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raj Kumar\OneDrive\Desktop\"/>
    </mc:Choice>
  </mc:AlternateContent>
  <bookViews>
    <workbookView xWindow="0" yWindow="0" windowWidth="20490" windowHeight="7650" tabRatio="680" firstSheet="11" activeTab="15"/>
  </bookViews>
  <sheets>
    <sheet name="Assumption" sheetId="8" r:id="rId1"/>
    <sheet name="Historical P&amp;L" sheetId="1" r:id="rId2"/>
    <sheet name="p&amp;l" sheetId="4" r:id="rId3"/>
    <sheet name="income statement" sheetId="12" r:id="rId4"/>
    <sheet name="Historical Balance Sheet" sheetId="2" r:id="rId5"/>
    <sheet name="B_S Items" sheetId="11" r:id="rId6"/>
    <sheet name="Balancesheet" sheetId="13" r:id="rId7"/>
    <sheet name="common size statement" sheetId="5" r:id="rId8"/>
    <sheet name="Historical Cashflow statement" sheetId="3" r:id="rId9"/>
    <sheet name="Cash Flow" sheetId="14" r:id="rId10"/>
    <sheet name="Cost Build-up" sheetId="7" r:id="rId11"/>
    <sheet name="Revenue Build-up" sheetId="6" r:id="rId12"/>
    <sheet name="FAS" sheetId="10" r:id="rId13"/>
    <sheet name="Working Capital Build-up" sheetId="9" r:id="rId14"/>
    <sheet name="Market Return" sheetId="15" r:id="rId15"/>
    <sheet name="Beta Calculation" sheetId="16" r:id="rId16"/>
    <sheet name="DCF Valuation" sheetId="17" r:id="rId17"/>
    <sheet name="Ratio Analysis" sheetId="18" r:id="rId18"/>
    <sheet name="Charts" sheetId="19" r:id="rId19"/>
  </sheets>
  <externalReferences>
    <externalReference r:id="rId2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7" l="1"/>
  <c r="H65" i="18"/>
  <c r="G65" i="18"/>
  <c r="F65" i="18"/>
  <c r="E65" i="18"/>
  <c r="H63" i="18"/>
  <c r="H67" i="18" s="1"/>
  <c r="G63" i="18"/>
  <c r="G67" i="18" s="1"/>
  <c r="F63" i="18"/>
  <c r="E63" i="18"/>
  <c r="H61" i="18"/>
  <c r="G61" i="18"/>
  <c r="F61" i="18"/>
  <c r="F67" i="18" s="1"/>
  <c r="E61" i="18"/>
  <c r="E67" i="18" s="1"/>
  <c r="D67" i="18"/>
  <c r="D65" i="18"/>
  <c r="D63" i="18"/>
  <c r="D61" i="18"/>
  <c r="H57" i="18"/>
  <c r="G57" i="18"/>
  <c r="F57" i="18"/>
  <c r="E57" i="18"/>
  <c r="H55" i="18"/>
  <c r="G55" i="18"/>
  <c r="F55" i="18"/>
  <c r="E55" i="18"/>
  <c r="H53" i="18"/>
  <c r="G53" i="18"/>
  <c r="F53" i="18"/>
  <c r="E53" i="18"/>
  <c r="H51" i="18"/>
  <c r="G51" i="18"/>
  <c r="F51" i="18"/>
  <c r="E51" i="18"/>
  <c r="H49" i="18"/>
  <c r="G49" i="18"/>
  <c r="F49" i="18"/>
  <c r="E49" i="18"/>
  <c r="D57" i="18"/>
  <c r="D55" i="18"/>
  <c r="D53" i="18"/>
  <c r="D51" i="18"/>
  <c r="D49" i="18"/>
  <c r="H45" i="18"/>
  <c r="G45" i="18"/>
  <c r="F45" i="18"/>
  <c r="E45" i="18"/>
  <c r="H43" i="18"/>
  <c r="G43" i="18"/>
  <c r="F43" i="18"/>
  <c r="E43" i="18"/>
  <c r="H41" i="18"/>
  <c r="G41" i="18"/>
  <c r="F41" i="18"/>
  <c r="E41" i="18"/>
  <c r="H39" i="18"/>
  <c r="G39" i="18"/>
  <c r="F39" i="18"/>
  <c r="E39" i="18"/>
  <c r="D45" i="18"/>
  <c r="D43" i="18"/>
  <c r="D41" i="18"/>
  <c r="D39" i="18"/>
  <c r="H35" i="18"/>
  <c r="G35" i="18"/>
  <c r="F35" i="18"/>
  <c r="E35" i="18"/>
  <c r="H33" i="18"/>
  <c r="G33" i="18"/>
  <c r="F33" i="18"/>
  <c r="E33" i="18"/>
  <c r="H31" i="18"/>
  <c r="G31" i="18"/>
  <c r="F31" i="18"/>
  <c r="E31" i="18"/>
  <c r="D35" i="18"/>
  <c r="D33" i="18"/>
  <c r="D31" i="18"/>
  <c r="H27" i="18"/>
  <c r="G27" i="18"/>
  <c r="F27" i="18"/>
  <c r="E27" i="18"/>
  <c r="H25" i="18"/>
  <c r="G25" i="18"/>
  <c r="F25" i="18"/>
  <c r="E25" i="18"/>
  <c r="H23" i="18"/>
  <c r="G23" i="18"/>
  <c r="F23" i="18"/>
  <c r="E23" i="18"/>
  <c r="D27" i="18"/>
  <c r="D25" i="18"/>
  <c r="D23" i="18"/>
  <c r="H19" i="18"/>
  <c r="G19" i="18"/>
  <c r="F19" i="18"/>
  <c r="E19" i="18"/>
  <c r="H17" i="18"/>
  <c r="G17" i="18"/>
  <c r="F17" i="18"/>
  <c r="E17" i="18"/>
  <c r="D19" i="18"/>
  <c r="D17" i="18"/>
  <c r="H21" i="18"/>
  <c r="G21" i="18"/>
  <c r="F21" i="18"/>
  <c r="E21" i="18"/>
  <c r="D21" i="18"/>
  <c r="H15" i="18"/>
  <c r="G15" i="18"/>
  <c r="F15" i="18"/>
  <c r="E15" i="18"/>
  <c r="D15" i="18"/>
  <c r="H13" i="18"/>
  <c r="G13" i="18"/>
  <c r="F13" i="18"/>
  <c r="E13" i="18"/>
  <c r="D13" i="18"/>
  <c r="H11" i="18"/>
  <c r="G11" i="18"/>
  <c r="F11" i="18"/>
  <c r="E11" i="18"/>
  <c r="D11" i="18"/>
  <c r="E6" i="18"/>
  <c r="F6" i="18" s="1"/>
  <c r="G6" i="18" s="1"/>
  <c r="H6" i="18" s="1"/>
  <c r="I6" i="18" s="1"/>
  <c r="J6" i="18" s="1"/>
  <c r="K6" i="18" s="1"/>
  <c r="L6" i="18" s="1"/>
  <c r="M6" i="18" s="1"/>
  <c r="N6" i="18" s="1"/>
  <c r="O6" i="18" s="1"/>
  <c r="P6" i="18" s="1"/>
  <c r="Q6" i="18" s="1"/>
  <c r="R6" i="18" s="1"/>
  <c r="D31" i="4"/>
  <c r="B31" i="11"/>
  <c r="D31" i="12"/>
  <c r="F33" i="17"/>
  <c r="H14" i="17"/>
  <c r="G14" i="17"/>
  <c r="F14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3" i="17"/>
  <c r="E14" i="17"/>
  <c r="E12" i="17"/>
  <c r="H10" i="17"/>
  <c r="H11" i="17" s="1"/>
  <c r="G10" i="17"/>
  <c r="F10" i="17"/>
  <c r="H9" i="17"/>
  <c r="G9" i="17"/>
  <c r="F9" i="17"/>
  <c r="F11" i="17" s="1"/>
  <c r="E10" i="17"/>
  <c r="E9" i="17"/>
  <c r="E11" i="17" s="1"/>
  <c r="C32" i="17"/>
  <c r="C28" i="17"/>
  <c r="H34" i="7"/>
  <c r="G34" i="7"/>
  <c r="F34" i="7"/>
  <c r="E34" i="7"/>
  <c r="D34" i="7"/>
  <c r="C23" i="17"/>
  <c r="C21" i="17"/>
  <c r="C20" i="17"/>
  <c r="C17" i="8"/>
  <c r="C15" i="8"/>
  <c r="J11" i="16"/>
  <c r="E15" i="17" l="1"/>
  <c r="C22" i="17"/>
  <c r="C24" i="17" s="1"/>
  <c r="G11" i="17"/>
  <c r="G15" i="17" s="1"/>
  <c r="H15" i="17"/>
  <c r="F15" i="17"/>
  <c r="J10" i="16" l="1"/>
  <c r="J9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F12" i="15"/>
  <c r="F11" i="15"/>
  <c r="F10" i="15"/>
  <c r="F9" i="15"/>
  <c r="I31" i="12" l="1"/>
  <c r="I320" i="10"/>
  <c r="J320" i="10" s="1"/>
  <c r="K320" i="10" s="1"/>
  <c r="L320" i="10" s="1"/>
  <c r="M320" i="10" s="1"/>
  <c r="N320" i="10" s="1"/>
  <c r="O320" i="10" s="1"/>
  <c r="P320" i="10" s="1"/>
  <c r="Q320" i="10" s="1"/>
  <c r="R320" i="10" s="1"/>
  <c r="I318" i="10"/>
  <c r="J318" i="10" s="1"/>
  <c r="K318" i="10" s="1"/>
  <c r="L318" i="10" s="1"/>
  <c r="M318" i="10" s="1"/>
  <c r="N318" i="10" s="1"/>
  <c r="O318" i="10" s="1"/>
  <c r="P318" i="10" s="1"/>
  <c r="Q318" i="10" s="1"/>
  <c r="R318" i="10" s="1"/>
  <c r="I314" i="10"/>
  <c r="J314" i="10" s="1"/>
  <c r="K314" i="10" s="1"/>
  <c r="L314" i="10" s="1"/>
  <c r="M314" i="10" s="1"/>
  <c r="N314" i="10" s="1"/>
  <c r="O314" i="10" s="1"/>
  <c r="P314" i="10" s="1"/>
  <c r="Q314" i="10" s="1"/>
  <c r="R314" i="10" s="1"/>
  <c r="J310" i="10"/>
  <c r="K310" i="10" s="1"/>
  <c r="L310" i="10" s="1"/>
  <c r="M310" i="10" s="1"/>
  <c r="N310" i="10" s="1"/>
  <c r="O310" i="10" s="1"/>
  <c r="P310" i="10" s="1"/>
  <c r="Q310" i="10" s="1"/>
  <c r="R310" i="10" s="1"/>
  <c r="I310" i="10"/>
  <c r="I304" i="10"/>
  <c r="J304" i="10" s="1"/>
  <c r="K304" i="10" s="1"/>
  <c r="L304" i="10" s="1"/>
  <c r="M304" i="10" s="1"/>
  <c r="N304" i="10" s="1"/>
  <c r="O304" i="10" s="1"/>
  <c r="P304" i="10" s="1"/>
  <c r="Q304" i="10" s="1"/>
  <c r="R304" i="10" s="1"/>
  <c r="I303" i="10"/>
  <c r="J303" i="10" s="1"/>
  <c r="K303" i="10" s="1"/>
  <c r="L303" i="10" s="1"/>
  <c r="M303" i="10" s="1"/>
  <c r="N303" i="10" s="1"/>
  <c r="O303" i="10" s="1"/>
  <c r="P303" i="10" s="1"/>
  <c r="Q303" i="10" s="1"/>
  <c r="R303" i="10" s="1"/>
  <c r="I301" i="10"/>
  <c r="J301" i="10" s="1"/>
  <c r="K301" i="10" s="1"/>
  <c r="L301" i="10" s="1"/>
  <c r="M301" i="10" s="1"/>
  <c r="N301" i="10" s="1"/>
  <c r="O301" i="10" s="1"/>
  <c r="P301" i="10" s="1"/>
  <c r="Q301" i="10" s="1"/>
  <c r="R301" i="10" s="1"/>
  <c r="I297" i="10"/>
  <c r="J297" i="10" s="1"/>
  <c r="K297" i="10" s="1"/>
  <c r="L297" i="10" s="1"/>
  <c r="M297" i="10" s="1"/>
  <c r="N297" i="10" s="1"/>
  <c r="O297" i="10" s="1"/>
  <c r="P297" i="10" s="1"/>
  <c r="Q297" i="10" s="1"/>
  <c r="R297" i="10" s="1"/>
  <c r="I295" i="10"/>
  <c r="J295" i="10" s="1"/>
  <c r="K295" i="10" s="1"/>
  <c r="L295" i="10" s="1"/>
  <c r="M295" i="10" s="1"/>
  <c r="N295" i="10" s="1"/>
  <c r="O295" i="10" s="1"/>
  <c r="P295" i="10" s="1"/>
  <c r="Q295" i="10" s="1"/>
  <c r="R295" i="10" s="1"/>
  <c r="I183" i="10"/>
  <c r="J183" i="10" s="1"/>
  <c r="K183" i="10" s="1"/>
  <c r="L183" i="10" s="1"/>
  <c r="M183" i="10" s="1"/>
  <c r="N183" i="10" s="1"/>
  <c r="O183" i="10" s="1"/>
  <c r="P183" i="10" s="1"/>
  <c r="Q183" i="10" s="1"/>
  <c r="R183" i="10" s="1"/>
  <c r="I181" i="10"/>
  <c r="J181" i="10" s="1"/>
  <c r="K181" i="10" s="1"/>
  <c r="L181" i="10" s="1"/>
  <c r="M181" i="10" s="1"/>
  <c r="N181" i="10" s="1"/>
  <c r="O181" i="10" s="1"/>
  <c r="P181" i="10" s="1"/>
  <c r="Q181" i="10" s="1"/>
  <c r="R181" i="10" s="1"/>
  <c r="I282" i="10"/>
  <c r="I179" i="10"/>
  <c r="J179" i="10" s="1"/>
  <c r="K179" i="10" s="1"/>
  <c r="L179" i="10" s="1"/>
  <c r="M179" i="10" s="1"/>
  <c r="N179" i="10" s="1"/>
  <c r="O179" i="10" s="1"/>
  <c r="P179" i="10" s="1"/>
  <c r="Q179" i="10" s="1"/>
  <c r="R179" i="10" s="1"/>
  <c r="I280" i="10"/>
  <c r="I175" i="10"/>
  <c r="J175" i="10" s="1"/>
  <c r="K175" i="10" s="1"/>
  <c r="L175" i="10" s="1"/>
  <c r="M175" i="10" s="1"/>
  <c r="N175" i="10" s="1"/>
  <c r="O175" i="10" s="1"/>
  <c r="P175" i="10" s="1"/>
  <c r="Q175" i="10" s="1"/>
  <c r="R175" i="10" s="1"/>
  <c r="I174" i="10"/>
  <c r="J174" i="10" s="1"/>
  <c r="K174" i="10" s="1"/>
  <c r="L174" i="10" s="1"/>
  <c r="M174" i="10" s="1"/>
  <c r="N174" i="10" s="1"/>
  <c r="O174" i="10" s="1"/>
  <c r="P174" i="10" s="1"/>
  <c r="Q174" i="10" s="1"/>
  <c r="R174" i="10" s="1"/>
  <c r="I172" i="10"/>
  <c r="J172" i="10" s="1"/>
  <c r="K172" i="10" s="1"/>
  <c r="L172" i="10" s="1"/>
  <c r="M172" i="10" s="1"/>
  <c r="N172" i="10" s="1"/>
  <c r="O172" i="10" s="1"/>
  <c r="P172" i="10" s="1"/>
  <c r="Q172" i="10" s="1"/>
  <c r="R172" i="10" s="1"/>
  <c r="I144" i="10"/>
  <c r="J144" i="10" s="1"/>
  <c r="K144" i="10" s="1"/>
  <c r="L144" i="10" s="1"/>
  <c r="M144" i="10" s="1"/>
  <c r="N144" i="10" s="1"/>
  <c r="O144" i="10" s="1"/>
  <c r="P144" i="10" s="1"/>
  <c r="Q144" i="10" s="1"/>
  <c r="R144" i="10" s="1"/>
  <c r="I142" i="10"/>
  <c r="J142" i="10" s="1"/>
  <c r="K142" i="10" s="1"/>
  <c r="L142" i="10" s="1"/>
  <c r="M142" i="10" s="1"/>
  <c r="N142" i="10" s="1"/>
  <c r="O142" i="10" s="1"/>
  <c r="P142" i="10" s="1"/>
  <c r="Q142" i="10" s="1"/>
  <c r="R142" i="10" s="1"/>
  <c r="I140" i="10"/>
  <c r="J140" i="10" s="1"/>
  <c r="K140" i="10" s="1"/>
  <c r="L140" i="10" s="1"/>
  <c r="M140" i="10" s="1"/>
  <c r="N140" i="10" s="1"/>
  <c r="O140" i="10" s="1"/>
  <c r="P140" i="10" s="1"/>
  <c r="Q140" i="10" s="1"/>
  <c r="R140" i="10" s="1"/>
  <c r="I136" i="10"/>
  <c r="J136" i="10" s="1"/>
  <c r="K136" i="10" s="1"/>
  <c r="L136" i="10" s="1"/>
  <c r="M136" i="10" s="1"/>
  <c r="N136" i="10" s="1"/>
  <c r="O136" i="10" s="1"/>
  <c r="P136" i="10" s="1"/>
  <c r="Q136" i="10" s="1"/>
  <c r="R136" i="10" s="1"/>
  <c r="I133" i="10"/>
  <c r="J133" i="10" s="1"/>
  <c r="K133" i="10" s="1"/>
  <c r="L133" i="10" s="1"/>
  <c r="M133" i="10" s="1"/>
  <c r="N133" i="10" s="1"/>
  <c r="O133" i="10" s="1"/>
  <c r="P133" i="10" s="1"/>
  <c r="Q133" i="10" s="1"/>
  <c r="R133" i="10" s="1"/>
  <c r="I132" i="10"/>
  <c r="J132" i="10" s="1"/>
  <c r="K132" i="10" s="1"/>
  <c r="L132" i="10" s="1"/>
  <c r="M132" i="10" s="1"/>
  <c r="N132" i="10" s="1"/>
  <c r="O132" i="10" s="1"/>
  <c r="P132" i="10" s="1"/>
  <c r="Q132" i="10" s="1"/>
  <c r="R132" i="10" s="1"/>
  <c r="I127" i="10"/>
  <c r="J127" i="10" s="1"/>
  <c r="K127" i="10" s="1"/>
  <c r="L127" i="10" s="1"/>
  <c r="M127" i="10" s="1"/>
  <c r="N127" i="10" s="1"/>
  <c r="O127" i="10" s="1"/>
  <c r="P127" i="10" s="1"/>
  <c r="Q127" i="10" s="1"/>
  <c r="R127" i="10" s="1"/>
  <c r="I125" i="10"/>
  <c r="J125" i="10" s="1"/>
  <c r="K125" i="10" s="1"/>
  <c r="L125" i="10" s="1"/>
  <c r="M125" i="10" s="1"/>
  <c r="N125" i="10" s="1"/>
  <c r="O125" i="10" s="1"/>
  <c r="P125" i="10" s="1"/>
  <c r="Q125" i="10" s="1"/>
  <c r="R125" i="10" s="1"/>
  <c r="I124" i="10"/>
  <c r="J124" i="10" s="1"/>
  <c r="K124" i="10" s="1"/>
  <c r="L124" i="10" s="1"/>
  <c r="M124" i="10" s="1"/>
  <c r="N124" i="10" s="1"/>
  <c r="O124" i="10" s="1"/>
  <c r="P124" i="10" s="1"/>
  <c r="Q124" i="10" s="1"/>
  <c r="R124" i="10" s="1"/>
  <c r="I123" i="10"/>
  <c r="J123" i="10" s="1"/>
  <c r="K123" i="10" s="1"/>
  <c r="L123" i="10" s="1"/>
  <c r="M123" i="10" s="1"/>
  <c r="N123" i="10" s="1"/>
  <c r="O123" i="10" s="1"/>
  <c r="P123" i="10" s="1"/>
  <c r="Q123" i="10" s="1"/>
  <c r="R123" i="10" s="1"/>
  <c r="I122" i="10"/>
  <c r="J122" i="10" s="1"/>
  <c r="K122" i="10" s="1"/>
  <c r="L122" i="10" s="1"/>
  <c r="M122" i="10" s="1"/>
  <c r="N122" i="10" s="1"/>
  <c r="O122" i="10" s="1"/>
  <c r="P122" i="10" s="1"/>
  <c r="Q122" i="10" s="1"/>
  <c r="R122" i="10" s="1"/>
  <c r="I119" i="10"/>
  <c r="J119" i="10" s="1"/>
  <c r="K119" i="10" s="1"/>
  <c r="L119" i="10" s="1"/>
  <c r="M119" i="10" s="1"/>
  <c r="N119" i="10" s="1"/>
  <c r="O119" i="10" s="1"/>
  <c r="P119" i="10" s="1"/>
  <c r="Q119" i="10" s="1"/>
  <c r="R119" i="10" s="1"/>
  <c r="I118" i="10"/>
  <c r="J118" i="10" s="1"/>
  <c r="K118" i="10" s="1"/>
  <c r="L118" i="10" s="1"/>
  <c r="M118" i="10" s="1"/>
  <c r="N118" i="10" s="1"/>
  <c r="O118" i="10" s="1"/>
  <c r="P118" i="10" s="1"/>
  <c r="Q118" i="10" s="1"/>
  <c r="R118" i="10" s="1"/>
  <c r="I117" i="10"/>
  <c r="J117" i="10" s="1"/>
  <c r="K117" i="10" s="1"/>
  <c r="L117" i="10" s="1"/>
  <c r="M117" i="10" s="1"/>
  <c r="N117" i="10" s="1"/>
  <c r="O117" i="10" s="1"/>
  <c r="P117" i="10" s="1"/>
  <c r="Q117" i="10" s="1"/>
  <c r="R117" i="10" s="1"/>
  <c r="I116" i="10"/>
  <c r="J116" i="10" s="1"/>
  <c r="K116" i="10" s="1"/>
  <c r="L116" i="10" s="1"/>
  <c r="M116" i="10" s="1"/>
  <c r="N116" i="10" s="1"/>
  <c r="O116" i="10" s="1"/>
  <c r="P116" i="10" s="1"/>
  <c r="Q116" i="10" s="1"/>
  <c r="R116" i="10" s="1"/>
  <c r="I115" i="10"/>
  <c r="J115" i="10" s="1"/>
  <c r="K115" i="10" s="1"/>
  <c r="L115" i="10" s="1"/>
  <c r="M115" i="10" s="1"/>
  <c r="N115" i="10" s="1"/>
  <c r="O115" i="10" s="1"/>
  <c r="P115" i="10" s="1"/>
  <c r="Q115" i="10" s="1"/>
  <c r="R115" i="10" s="1"/>
  <c r="I110" i="10"/>
  <c r="J110" i="10" s="1"/>
  <c r="K110" i="10" s="1"/>
  <c r="L110" i="10" s="1"/>
  <c r="M110" i="10" s="1"/>
  <c r="N110" i="10" s="1"/>
  <c r="O110" i="10" s="1"/>
  <c r="P110" i="10" s="1"/>
  <c r="Q110" i="10" s="1"/>
  <c r="R110" i="10" s="1"/>
  <c r="I108" i="10"/>
  <c r="J108" i="10" s="1"/>
  <c r="K108" i="10" s="1"/>
  <c r="L108" i="10" s="1"/>
  <c r="M108" i="10" s="1"/>
  <c r="N108" i="10" s="1"/>
  <c r="O108" i="10" s="1"/>
  <c r="P108" i="10" s="1"/>
  <c r="Q108" i="10" s="1"/>
  <c r="R108" i="10" s="1"/>
  <c r="I107" i="10"/>
  <c r="J107" i="10" s="1"/>
  <c r="K107" i="10" s="1"/>
  <c r="L107" i="10" s="1"/>
  <c r="M107" i="10" s="1"/>
  <c r="N107" i="10" s="1"/>
  <c r="O107" i="10" s="1"/>
  <c r="P107" i="10" s="1"/>
  <c r="Q107" i="10" s="1"/>
  <c r="R107" i="10" s="1"/>
  <c r="I106" i="10"/>
  <c r="J106" i="10" s="1"/>
  <c r="K106" i="10" s="1"/>
  <c r="L106" i="10" s="1"/>
  <c r="M106" i="10" s="1"/>
  <c r="N106" i="10" s="1"/>
  <c r="O106" i="10" s="1"/>
  <c r="P106" i="10" s="1"/>
  <c r="Q106" i="10" s="1"/>
  <c r="R106" i="10" s="1"/>
  <c r="I105" i="10"/>
  <c r="J105" i="10" s="1"/>
  <c r="K105" i="10" s="1"/>
  <c r="L105" i="10" s="1"/>
  <c r="M105" i="10" s="1"/>
  <c r="N105" i="10" s="1"/>
  <c r="O105" i="10" s="1"/>
  <c r="P105" i="10" s="1"/>
  <c r="Q105" i="10" s="1"/>
  <c r="R105" i="10" s="1"/>
  <c r="I102" i="10"/>
  <c r="J102" i="10" s="1"/>
  <c r="K102" i="10" s="1"/>
  <c r="L102" i="10" s="1"/>
  <c r="M102" i="10" s="1"/>
  <c r="N102" i="10" s="1"/>
  <c r="O102" i="10" s="1"/>
  <c r="P102" i="10" s="1"/>
  <c r="Q102" i="10" s="1"/>
  <c r="R102" i="10" s="1"/>
  <c r="I101" i="10"/>
  <c r="J101" i="10" s="1"/>
  <c r="K101" i="10" s="1"/>
  <c r="L101" i="10" s="1"/>
  <c r="M101" i="10" s="1"/>
  <c r="N101" i="10" s="1"/>
  <c r="O101" i="10" s="1"/>
  <c r="P101" i="10" s="1"/>
  <c r="Q101" i="10" s="1"/>
  <c r="R101" i="10" s="1"/>
  <c r="I99" i="10"/>
  <c r="J99" i="10" s="1"/>
  <c r="K99" i="10" s="1"/>
  <c r="L99" i="10" s="1"/>
  <c r="M99" i="10" s="1"/>
  <c r="N99" i="10" s="1"/>
  <c r="O99" i="10" s="1"/>
  <c r="P99" i="10" s="1"/>
  <c r="Q99" i="10" s="1"/>
  <c r="R99" i="10" s="1"/>
  <c r="I98" i="10"/>
  <c r="J98" i="10" s="1"/>
  <c r="K98" i="10" s="1"/>
  <c r="L98" i="10" s="1"/>
  <c r="M98" i="10" s="1"/>
  <c r="N98" i="10" s="1"/>
  <c r="O98" i="10" s="1"/>
  <c r="P98" i="10" s="1"/>
  <c r="Q98" i="10" s="1"/>
  <c r="R98" i="10" s="1"/>
  <c r="I93" i="10"/>
  <c r="J93" i="10" s="1"/>
  <c r="K93" i="10" s="1"/>
  <c r="L93" i="10" s="1"/>
  <c r="M93" i="10" s="1"/>
  <c r="N93" i="10" s="1"/>
  <c r="O93" i="10" s="1"/>
  <c r="P93" i="10" s="1"/>
  <c r="Q93" i="10" s="1"/>
  <c r="R93" i="10" s="1"/>
  <c r="I92" i="10"/>
  <c r="J92" i="10" s="1"/>
  <c r="K92" i="10" s="1"/>
  <c r="L92" i="10" s="1"/>
  <c r="M92" i="10" s="1"/>
  <c r="N92" i="10" s="1"/>
  <c r="O92" i="10" s="1"/>
  <c r="P92" i="10" s="1"/>
  <c r="Q92" i="10" s="1"/>
  <c r="R92" i="10" s="1"/>
  <c r="I91" i="10"/>
  <c r="J91" i="10" s="1"/>
  <c r="K91" i="10" s="1"/>
  <c r="L91" i="10" s="1"/>
  <c r="M91" i="10" s="1"/>
  <c r="N91" i="10" s="1"/>
  <c r="O91" i="10" s="1"/>
  <c r="P91" i="10" s="1"/>
  <c r="Q91" i="10" s="1"/>
  <c r="R91" i="10" s="1"/>
  <c r="I90" i="10"/>
  <c r="J90" i="10" s="1"/>
  <c r="K90" i="10" s="1"/>
  <c r="L90" i="10" s="1"/>
  <c r="M90" i="10" s="1"/>
  <c r="N90" i="10" s="1"/>
  <c r="O90" i="10" s="1"/>
  <c r="P90" i="10" s="1"/>
  <c r="Q90" i="10" s="1"/>
  <c r="R90" i="10" s="1"/>
  <c r="I89" i="10"/>
  <c r="J89" i="10" s="1"/>
  <c r="K89" i="10" s="1"/>
  <c r="L89" i="10" s="1"/>
  <c r="M89" i="10" s="1"/>
  <c r="N89" i="10" s="1"/>
  <c r="O89" i="10" s="1"/>
  <c r="P89" i="10" s="1"/>
  <c r="Q89" i="10" s="1"/>
  <c r="R89" i="10" s="1"/>
  <c r="I88" i="10"/>
  <c r="J88" i="10" s="1"/>
  <c r="K88" i="10" s="1"/>
  <c r="L88" i="10" s="1"/>
  <c r="M88" i="10" s="1"/>
  <c r="N88" i="10" s="1"/>
  <c r="O88" i="10" s="1"/>
  <c r="P88" i="10" s="1"/>
  <c r="Q88" i="10" s="1"/>
  <c r="R88" i="10" s="1"/>
  <c r="I85" i="10"/>
  <c r="J85" i="10" s="1"/>
  <c r="K85" i="10" s="1"/>
  <c r="L85" i="10" s="1"/>
  <c r="M85" i="10" s="1"/>
  <c r="N85" i="10" s="1"/>
  <c r="O85" i="10" s="1"/>
  <c r="P85" i="10" s="1"/>
  <c r="Q85" i="10" s="1"/>
  <c r="R85" i="10" s="1"/>
  <c r="I84" i="10"/>
  <c r="J84" i="10" s="1"/>
  <c r="K84" i="10" s="1"/>
  <c r="L84" i="10" s="1"/>
  <c r="M84" i="10" s="1"/>
  <c r="N84" i="10" s="1"/>
  <c r="O84" i="10" s="1"/>
  <c r="P84" i="10" s="1"/>
  <c r="Q84" i="10" s="1"/>
  <c r="R84" i="10" s="1"/>
  <c r="I83" i="10"/>
  <c r="J83" i="10" s="1"/>
  <c r="K83" i="10" s="1"/>
  <c r="L83" i="10" s="1"/>
  <c r="M83" i="10" s="1"/>
  <c r="N83" i="10" s="1"/>
  <c r="O83" i="10" s="1"/>
  <c r="P83" i="10" s="1"/>
  <c r="Q83" i="10" s="1"/>
  <c r="R83" i="10" s="1"/>
  <c r="I82" i="10"/>
  <c r="J82" i="10" s="1"/>
  <c r="K82" i="10" s="1"/>
  <c r="L82" i="10" s="1"/>
  <c r="M82" i="10" s="1"/>
  <c r="N82" i="10" s="1"/>
  <c r="O82" i="10" s="1"/>
  <c r="P82" i="10" s="1"/>
  <c r="Q82" i="10" s="1"/>
  <c r="R82" i="10" s="1"/>
  <c r="I81" i="10"/>
  <c r="J81" i="10" s="1"/>
  <c r="K81" i="10" s="1"/>
  <c r="L81" i="10" s="1"/>
  <c r="M81" i="10" s="1"/>
  <c r="N81" i="10" s="1"/>
  <c r="O81" i="10" s="1"/>
  <c r="P81" i="10" s="1"/>
  <c r="Q81" i="10" s="1"/>
  <c r="R81" i="10" s="1"/>
  <c r="K76" i="10"/>
  <c r="L76" i="10" s="1"/>
  <c r="M76" i="10" s="1"/>
  <c r="N76" i="10" s="1"/>
  <c r="O76" i="10" s="1"/>
  <c r="P76" i="10" s="1"/>
  <c r="Q76" i="10" s="1"/>
  <c r="R76" i="10" s="1"/>
  <c r="J76" i="10"/>
  <c r="I76" i="10"/>
  <c r="K74" i="10"/>
  <c r="L74" i="10" s="1"/>
  <c r="M74" i="10" s="1"/>
  <c r="N74" i="10" s="1"/>
  <c r="O74" i="10" s="1"/>
  <c r="P74" i="10" s="1"/>
  <c r="Q74" i="10" s="1"/>
  <c r="R74" i="10" s="1"/>
  <c r="J74" i="10"/>
  <c r="I74" i="10"/>
  <c r="I73" i="10"/>
  <c r="J73" i="10" s="1"/>
  <c r="K73" i="10" s="1"/>
  <c r="L73" i="10" s="1"/>
  <c r="M73" i="10" s="1"/>
  <c r="N73" i="10" s="1"/>
  <c r="O73" i="10" s="1"/>
  <c r="P73" i="10" s="1"/>
  <c r="Q73" i="10" s="1"/>
  <c r="R73" i="10" s="1"/>
  <c r="K72" i="10"/>
  <c r="L72" i="10" s="1"/>
  <c r="M72" i="10" s="1"/>
  <c r="N72" i="10" s="1"/>
  <c r="O72" i="10" s="1"/>
  <c r="P72" i="10" s="1"/>
  <c r="Q72" i="10" s="1"/>
  <c r="R72" i="10" s="1"/>
  <c r="J72" i="10"/>
  <c r="I72" i="10"/>
  <c r="I71" i="10"/>
  <c r="J71" i="10" s="1"/>
  <c r="K71" i="10" s="1"/>
  <c r="L71" i="10" s="1"/>
  <c r="M71" i="10" s="1"/>
  <c r="N71" i="10" s="1"/>
  <c r="O71" i="10" s="1"/>
  <c r="P71" i="10" s="1"/>
  <c r="Q71" i="10" s="1"/>
  <c r="R71" i="10" s="1"/>
  <c r="I68" i="10"/>
  <c r="J68" i="10" s="1"/>
  <c r="K68" i="10" s="1"/>
  <c r="L68" i="10" s="1"/>
  <c r="M68" i="10" s="1"/>
  <c r="N68" i="10" s="1"/>
  <c r="O68" i="10" s="1"/>
  <c r="P68" i="10" s="1"/>
  <c r="Q68" i="10" s="1"/>
  <c r="R68" i="10" s="1"/>
  <c r="I67" i="10"/>
  <c r="J67" i="10" s="1"/>
  <c r="K67" i="10" s="1"/>
  <c r="L67" i="10" s="1"/>
  <c r="M67" i="10" s="1"/>
  <c r="N67" i="10" s="1"/>
  <c r="O67" i="10" s="1"/>
  <c r="P67" i="10" s="1"/>
  <c r="Q67" i="10" s="1"/>
  <c r="R67" i="10" s="1"/>
  <c r="I66" i="10"/>
  <c r="J66" i="10" s="1"/>
  <c r="K66" i="10" s="1"/>
  <c r="L66" i="10" s="1"/>
  <c r="M66" i="10" s="1"/>
  <c r="N66" i="10" s="1"/>
  <c r="O66" i="10" s="1"/>
  <c r="P66" i="10" s="1"/>
  <c r="Q66" i="10" s="1"/>
  <c r="R66" i="10" s="1"/>
  <c r="I65" i="10"/>
  <c r="J65" i="10" s="1"/>
  <c r="K65" i="10" s="1"/>
  <c r="L65" i="10" s="1"/>
  <c r="M65" i="10" s="1"/>
  <c r="N65" i="10" s="1"/>
  <c r="O65" i="10" s="1"/>
  <c r="P65" i="10" s="1"/>
  <c r="Q65" i="10" s="1"/>
  <c r="R65" i="10" s="1"/>
  <c r="I64" i="10"/>
  <c r="J64" i="10" s="1"/>
  <c r="K64" i="10" s="1"/>
  <c r="L64" i="10" s="1"/>
  <c r="M64" i="10" s="1"/>
  <c r="N64" i="10" s="1"/>
  <c r="O64" i="10" s="1"/>
  <c r="P64" i="10" s="1"/>
  <c r="Q64" i="10" s="1"/>
  <c r="R64" i="10" s="1"/>
  <c r="I57" i="10"/>
  <c r="J57" i="10" s="1"/>
  <c r="K57" i="10" s="1"/>
  <c r="L57" i="10" s="1"/>
  <c r="M57" i="10" s="1"/>
  <c r="N57" i="10" s="1"/>
  <c r="O57" i="10" s="1"/>
  <c r="P57" i="10" s="1"/>
  <c r="Q57" i="10" s="1"/>
  <c r="R57" i="10" s="1"/>
  <c r="I55" i="10"/>
  <c r="J55" i="10" s="1"/>
  <c r="K55" i="10" s="1"/>
  <c r="L55" i="10" s="1"/>
  <c r="M55" i="10" s="1"/>
  <c r="N55" i="10" s="1"/>
  <c r="O55" i="10" s="1"/>
  <c r="P55" i="10" s="1"/>
  <c r="Q55" i="10" s="1"/>
  <c r="R55" i="10" s="1"/>
  <c r="I51" i="10"/>
  <c r="J51" i="10" s="1"/>
  <c r="K51" i="10" s="1"/>
  <c r="L51" i="10" s="1"/>
  <c r="M51" i="10" s="1"/>
  <c r="N51" i="10" s="1"/>
  <c r="O51" i="10" s="1"/>
  <c r="P51" i="10" s="1"/>
  <c r="Q51" i="10" s="1"/>
  <c r="R51" i="10" s="1"/>
  <c r="I47" i="10"/>
  <c r="J47" i="10" s="1"/>
  <c r="K47" i="10" s="1"/>
  <c r="L47" i="10" s="1"/>
  <c r="M47" i="10" s="1"/>
  <c r="N47" i="10" s="1"/>
  <c r="O47" i="10" s="1"/>
  <c r="P47" i="10" s="1"/>
  <c r="Q47" i="10" s="1"/>
  <c r="R47" i="10" s="1"/>
  <c r="I42" i="10"/>
  <c r="J42" i="10" s="1"/>
  <c r="K42" i="10" s="1"/>
  <c r="L42" i="10" s="1"/>
  <c r="M42" i="10" s="1"/>
  <c r="N42" i="10" s="1"/>
  <c r="O42" i="10" s="1"/>
  <c r="P42" i="10" s="1"/>
  <c r="Q42" i="10" s="1"/>
  <c r="R42" i="10" s="1"/>
  <c r="I41" i="10"/>
  <c r="J41" i="10" s="1"/>
  <c r="K41" i="10" s="1"/>
  <c r="L41" i="10" s="1"/>
  <c r="M41" i="10" s="1"/>
  <c r="N41" i="10" s="1"/>
  <c r="O41" i="10" s="1"/>
  <c r="P41" i="10" s="1"/>
  <c r="Q41" i="10" s="1"/>
  <c r="R41" i="10" s="1"/>
  <c r="I40" i="10"/>
  <c r="J40" i="10" s="1"/>
  <c r="K40" i="10" s="1"/>
  <c r="L40" i="10" s="1"/>
  <c r="M40" i="10" s="1"/>
  <c r="N40" i="10" s="1"/>
  <c r="O40" i="10" s="1"/>
  <c r="P40" i="10" s="1"/>
  <c r="Q40" i="10" s="1"/>
  <c r="R40" i="10" s="1"/>
  <c r="I39" i="10"/>
  <c r="J39" i="10" s="1"/>
  <c r="K39" i="10" s="1"/>
  <c r="L39" i="10" s="1"/>
  <c r="M39" i="10" s="1"/>
  <c r="N39" i="10" s="1"/>
  <c r="O39" i="10" s="1"/>
  <c r="P39" i="10" s="1"/>
  <c r="Q39" i="10" s="1"/>
  <c r="R39" i="10" s="1"/>
  <c r="I38" i="10"/>
  <c r="J38" i="10" s="1"/>
  <c r="K38" i="10" s="1"/>
  <c r="L38" i="10" s="1"/>
  <c r="M38" i="10" s="1"/>
  <c r="N38" i="10" s="1"/>
  <c r="O38" i="10" s="1"/>
  <c r="P38" i="10" s="1"/>
  <c r="Q38" i="10" s="1"/>
  <c r="R38" i="10" s="1"/>
  <c r="I37" i="10"/>
  <c r="J37" i="10" s="1"/>
  <c r="K37" i="10" s="1"/>
  <c r="L37" i="10" s="1"/>
  <c r="M37" i="10" s="1"/>
  <c r="N37" i="10" s="1"/>
  <c r="O37" i="10" s="1"/>
  <c r="P37" i="10" s="1"/>
  <c r="Q37" i="10" s="1"/>
  <c r="R37" i="10" s="1"/>
  <c r="I34" i="10"/>
  <c r="J34" i="10" s="1"/>
  <c r="K34" i="10" s="1"/>
  <c r="L34" i="10" s="1"/>
  <c r="M34" i="10" s="1"/>
  <c r="N34" i="10" s="1"/>
  <c r="O34" i="10" s="1"/>
  <c r="P34" i="10" s="1"/>
  <c r="Q34" i="10" s="1"/>
  <c r="R34" i="10" s="1"/>
  <c r="I33" i="10"/>
  <c r="J33" i="10" s="1"/>
  <c r="K33" i="10" s="1"/>
  <c r="L33" i="10" s="1"/>
  <c r="M33" i="10" s="1"/>
  <c r="N33" i="10" s="1"/>
  <c r="O33" i="10" s="1"/>
  <c r="P33" i="10" s="1"/>
  <c r="Q33" i="10" s="1"/>
  <c r="R33" i="10" s="1"/>
  <c r="I32" i="10"/>
  <c r="J32" i="10" s="1"/>
  <c r="K32" i="10" s="1"/>
  <c r="L32" i="10" s="1"/>
  <c r="M32" i="10" s="1"/>
  <c r="N32" i="10" s="1"/>
  <c r="O32" i="10" s="1"/>
  <c r="P32" i="10" s="1"/>
  <c r="Q32" i="10" s="1"/>
  <c r="R32" i="10" s="1"/>
  <c r="I31" i="10"/>
  <c r="J31" i="10" s="1"/>
  <c r="K31" i="10" s="1"/>
  <c r="L31" i="10" s="1"/>
  <c r="M31" i="10" s="1"/>
  <c r="N31" i="10" s="1"/>
  <c r="O31" i="10" s="1"/>
  <c r="P31" i="10" s="1"/>
  <c r="Q31" i="10" s="1"/>
  <c r="R31" i="10" s="1"/>
  <c r="I30" i="10"/>
  <c r="J30" i="10" s="1"/>
  <c r="K30" i="10" s="1"/>
  <c r="L30" i="10" s="1"/>
  <c r="M30" i="10" s="1"/>
  <c r="N30" i="10" s="1"/>
  <c r="O30" i="10" s="1"/>
  <c r="P30" i="10" s="1"/>
  <c r="Q30" i="10" s="1"/>
  <c r="R30" i="10" s="1"/>
  <c r="K13" i="10"/>
  <c r="L13" i="10" s="1"/>
  <c r="M13" i="10" s="1"/>
  <c r="N13" i="10" s="1"/>
  <c r="O13" i="10" s="1"/>
  <c r="P13" i="10" s="1"/>
  <c r="Q13" i="10" s="1"/>
  <c r="R13" i="10" s="1"/>
  <c r="J13" i="10"/>
  <c r="I13" i="10"/>
  <c r="F33" i="14"/>
  <c r="F36" i="14"/>
  <c r="F35" i="14"/>
  <c r="F38" i="14" s="1"/>
  <c r="F34" i="14"/>
  <c r="H36" i="14"/>
  <c r="G36" i="14"/>
  <c r="E36" i="14"/>
  <c r="H35" i="14"/>
  <c r="G35" i="14"/>
  <c r="E35" i="14"/>
  <c r="H34" i="14"/>
  <c r="G34" i="14"/>
  <c r="E34" i="14"/>
  <c r="H33" i="14"/>
  <c r="G33" i="14"/>
  <c r="G38" i="14" s="1"/>
  <c r="E33" i="14"/>
  <c r="F42" i="14"/>
  <c r="D42" i="14"/>
  <c r="D36" i="14"/>
  <c r="D35" i="14"/>
  <c r="D34" i="14"/>
  <c r="D33" i="14"/>
  <c r="H27" i="14"/>
  <c r="G27" i="14"/>
  <c r="F27" i="14"/>
  <c r="E27" i="14"/>
  <c r="H26" i="14"/>
  <c r="G26" i="14"/>
  <c r="F26" i="14"/>
  <c r="E26" i="14"/>
  <c r="H25" i="14"/>
  <c r="G25" i="14"/>
  <c r="F25" i="14"/>
  <c r="E25" i="14"/>
  <c r="H24" i="14"/>
  <c r="G24" i="14"/>
  <c r="F24" i="14"/>
  <c r="E24" i="14"/>
  <c r="H23" i="14"/>
  <c r="G23" i="14"/>
  <c r="F23" i="14"/>
  <c r="E23" i="14"/>
  <c r="H22" i="14"/>
  <c r="I22" i="14" s="1"/>
  <c r="J22" i="14" s="1"/>
  <c r="K22" i="14" s="1"/>
  <c r="L22" i="14" s="1"/>
  <c r="M22" i="14" s="1"/>
  <c r="N22" i="14" s="1"/>
  <c r="O22" i="14" s="1"/>
  <c r="P22" i="14" s="1"/>
  <c r="Q22" i="14" s="1"/>
  <c r="R22" i="14" s="1"/>
  <c r="G22" i="14"/>
  <c r="G29" i="14" s="1"/>
  <c r="F22" i="14"/>
  <c r="F29" i="14" s="1"/>
  <c r="E22" i="14"/>
  <c r="E29" i="14" s="1"/>
  <c r="D27" i="14"/>
  <c r="D24" i="14"/>
  <c r="D22" i="14"/>
  <c r="D23" i="14"/>
  <c r="D26" i="14"/>
  <c r="D25" i="14"/>
  <c r="H15" i="14"/>
  <c r="G15" i="14"/>
  <c r="F15" i="14"/>
  <c r="E15" i="14"/>
  <c r="D15" i="14"/>
  <c r="H12" i="14"/>
  <c r="G12" i="14"/>
  <c r="F12" i="14"/>
  <c r="E12" i="14"/>
  <c r="D12" i="14"/>
  <c r="H32" i="3"/>
  <c r="G32" i="3"/>
  <c r="F32" i="3"/>
  <c r="E32" i="3"/>
  <c r="D32" i="3"/>
  <c r="H16" i="14"/>
  <c r="G16" i="14"/>
  <c r="F16" i="14"/>
  <c r="E16" i="14"/>
  <c r="D16" i="14"/>
  <c r="H38" i="9"/>
  <c r="G38" i="9"/>
  <c r="F38" i="9"/>
  <c r="E38" i="9"/>
  <c r="D38" i="9"/>
  <c r="H14" i="14"/>
  <c r="G14" i="14"/>
  <c r="F14" i="14"/>
  <c r="E14" i="14"/>
  <c r="D14" i="14"/>
  <c r="D27" i="12"/>
  <c r="E7" i="14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H31" i="12"/>
  <c r="G31" i="12"/>
  <c r="F31" i="12"/>
  <c r="E31" i="12"/>
  <c r="H31" i="4"/>
  <c r="H30" i="4"/>
  <c r="G30" i="4"/>
  <c r="G31" i="4" s="1"/>
  <c r="F30" i="4"/>
  <c r="F31" i="4" s="1"/>
  <c r="E30" i="4"/>
  <c r="E31" i="4" s="1"/>
  <c r="D30" i="4"/>
  <c r="H33" i="13"/>
  <c r="G33" i="13"/>
  <c r="F33" i="13"/>
  <c r="E33" i="13"/>
  <c r="H32" i="13"/>
  <c r="G32" i="13"/>
  <c r="F32" i="13"/>
  <c r="E32" i="13"/>
  <c r="D33" i="13"/>
  <c r="D32" i="13"/>
  <c r="H49" i="13"/>
  <c r="F30" i="17" s="1"/>
  <c r="G49" i="13"/>
  <c r="F49" i="13"/>
  <c r="E49" i="13"/>
  <c r="E50" i="13" s="1"/>
  <c r="H48" i="13"/>
  <c r="H50" i="13" s="1"/>
  <c r="G48" i="13"/>
  <c r="G50" i="13" s="1"/>
  <c r="F48" i="13"/>
  <c r="F50" i="13" s="1"/>
  <c r="E48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H70" i="13"/>
  <c r="G70" i="13"/>
  <c r="F70" i="13"/>
  <c r="E70" i="13"/>
  <c r="H69" i="13"/>
  <c r="G69" i="13"/>
  <c r="F69" i="13"/>
  <c r="E69" i="13"/>
  <c r="H68" i="13"/>
  <c r="G68" i="13"/>
  <c r="F68" i="13"/>
  <c r="E68" i="13"/>
  <c r="H67" i="13"/>
  <c r="G67" i="13"/>
  <c r="F67" i="13"/>
  <c r="E67" i="13"/>
  <c r="H65" i="13"/>
  <c r="G65" i="13"/>
  <c r="F65" i="13"/>
  <c r="E65" i="13"/>
  <c r="H64" i="13"/>
  <c r="G64" i="13"/>
  <c r="F64" i="13"/>
  <c r="E64" i="13"/>
  <c r="D70" i="13"/>
  <c r="D69" i="13"/>
  <c r="D68" i="13"/>
  <c r="D67" i="13"/>
  <c r="D65" i="13"/>
  <c r="D64" i="13"/>
  <c r="H59" i="13"/>
  <c r="G59" i="13"/>
  <c r="F59" i="13"/>
  <c r="E59" i="13"/>
  <c r="H58" i="13"/>
  <c r="G58" i="13"/>
  <c r="F58" i="13"/>
  <c r="E58" i="13"/>
  <c r="H57" i="13"/>
  <c r="G57" i="13"/>
  <c r="F57" i="13"/>
  <c r="E57" i="13"/>
  <c r="H56" i="13"/>
  <c r="G56" i="13"/>
  <c r="F56" i="13"/>
  <c r="E56" i="13"/>
  <c r="E60" i="13" s="1"/>
  <c r="H55" i="13"/>
  <c r="C33" i="17" s="1"/>
  <c r="G55" i="13"/>
  <c r="F55" i="13"/>
  <c r="F60" i="13" s="1"/>
  <c r="E55" i="13"/>
  <c r="D59" i="13"/>
  <c r="D58" i="13"/>
  <c r="D57" i="13"/>
  <c r="D56" i="13"/>
  <c r="D55" i="13"/>
  <c r="D49" i="13"/>
  <c r="D48" i="13"/>
  <c r="D50" i="13" s="1"/>
  <c r="D47" i="13"/>
  <c r="H40" i="13"/>
  <c r="G40" i="13"/>
  <c r="F40" i="13"/>
  <c r="E40" i="13"/>
  <c r="H39" i="13"/>
  <c r="G39" i="13"/>
  <c r="F39" i="13"/>
  <c r="E39" i="13"/>
  <c r="H38" i="13"/>
  <c r="G38" i="13"/>
  <c r="F38" i="13"/>
  <c r="E38" i="13"/>
  <c r="H37" i="13"/>
  <c r="G37" i="13"/>
  <c r="F37" i="13"/>
  <c r="E37" i="13"/>
  <c r="H36" i="13"/>
  <c r="G36" i="13"/>
  <c r="F36" i="13"/>
  <c r="E36" i="13"/>
  <c r="H35" i="13"/>
  <c r="G35" i="13"/>
  <c r="F35" i="13"/>
  <c r="E35" i="13"/>
  <c r="D40" i="13"/>
  <c r="D39" i="13"/>
  <c r="D38" i="13"/>
  <c r="D37" i="13"/>
  <c r="D36" i="13"/>
  <c r="D35" i="13"/>
  <c r="H29" i="13"/>
  <c r="F28" i="17" s="1"/>
  <c r="G29" i="13"/>
  <c r="F29" i="13"/>
  <c r="E29" i="13"/>
  <c r="D29" i="13"/>
  <c r="H23" i="13"/>
  <c r="G23" i="13"/>
  <c r="F23" i="13"/>
  <c r="E23" i="13"/>
  <c r="H22" i="13"/>
  <c r="G22" i="13"/>
  <c r="F22" i="13"/>
  <c r="E22" i="13"/>
  <c r="H21" i="13"/>
  <c r="G21" i="13"/>
  <c r="F21" i="13"/>
  <c r="E21" i="13"/>
  <c r="H20" i="13"/>
  <c r="H24" i="13" s="1"/>
  <c r="G20" i="13"/>
  <c r="G24" i="13" s="1"/>
  <c r="F20" i="13"/>
  <c r="F24" i="13" s="1"/>
  <c r="E20" i="13"/>
  <c r="E24" i="13" s="1"/>
  <c r="H19" i="13"/>
  <c r="G19" i="13"/>
  <c r="F19" i="13"/>
  <c r="E19" i="13"/>
  <c r="H17" i="13"/>
  <c r="G17" i="13"/>
  <c r="F17" i="13"/>
  <c r="E17" i="13"/>
  <c r="H16" i="13"/>
  <c r="G16" i="13"/>
  <c r="F16" i="13"/>
  <c r="E16" i="13"/>
  <c r="H15" i="13"/>
  <c r="I15" i="13" s="1"/>
  <c r="J15" i="13" s="1"/>
  <c r="K15" i="13" s="1"/>
  <c r="L15" i="13" s="1"/>
  <c r="M15" i="13" s="1"/>
  <c r="N15" i="13" s="1"/>
  <c r="O15" i="13" s="1"/>
  <c r="P15" i="13" s="1"/>
  <c r="Q15" i="13" s="1"/>
  <c r="R15" i="13" s="1"/>
  <c r="G15" i="13"/>
  <c r="F15" i="13"/>
  <c r="E15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H12" i="13"/>
  <c r="G12" i="13"/>
  <c r="F12" i="13"/>
  <c r="E12" i="13"/>
  <c r="D23" i="13"/>
  <c r="D24" i="13" s="1"/>
  <c r="D22" i="13"/>
  <c r="D21" i="13"/>
  <c r="D20" i="13"/>
  <c r="D19" i="13"/>
  <c r="D17" i="13"/>
  <c r="D16" i="13"/>
  <c r="D15" i="13"/>
  <c r="D14" i="13"/>
  <c r="D13" i="13"/>
  <c r="D12" i="13"/>
  <c r="E7" i="13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H27" i="12"/>
  <c r="G27" i="12"/>
  <c r="F27" i="12"/>
  <c r="E27" i="12"/>
  <c r="H25" i="12"/>
  <c r="G25" i="12"/>
  <c r="F25" i="12"/>
  <c r="E25" i="12"/>
  <c r="D25" i="12"/>
  <c r="H23" i="12"/>
  <c r="G23" i="12"/>
  <c r="F23" i="12"/>
  <c r="E23" i="12"/>
  <c r="D23" i="12"/>
  <c r="H18" i="12"/>
  <c r="G18" i="12"/>
  <c r="F18" i="12"/>
  <c r="E18" i="12"/>
  <c r="D18" i="12"/>
  <c r="H15" i="12"/>
  <c r="G15" i="12"/>
  <c r="F15" i="12"/>
  <c r="E15" i="12"/>
  <c r="D15" i="12"/>
  <c r="H26" i="12"/>
  <c r="G26" i="12"/>
  <c r="F26" i="12"/>
  <c r="E26" i="12"/>
  <c r="D26" i="12"/>
  <c r="H22" i="12"/>
  <c r="G22" i="12"/>
  <c r="F22" i="12"/>
  <c r="E22" i="12"/>
  <c r="H21" i="12"/>
  <c r="G21" i="12"/>
  <c r="F21" i="12"/>
  <c r="E21" i="12"/>
  <c r="H20" i="12"/>
  <c r="G20" i="12"/>
  <c r="F20" i="12"/>
  <c r="E20" i="12"/>
  <c r="D22" i="12"/>
  <c r="D21" i="12"/>
  <c r="D20" i="12"/>
  <c r="H14" i="12"/>
  <c r="G14" i="12"/>
  <c r="F14" i="12"/>
  <c r="E14" i="12"/>
  <c r="H11" i="12"/>
  <c r="G11" i="12"/>
  <c r="F11" i="12"/>
  <c r="E11" i="12"/>
  <c r="H10" i="12"/>
  <c r="H12" i="12" s="1"/>
  <c r="G10" i="12"/>
  <c r="G12" i="12" s="1"/>
  <c r="F10" i="12"/>
  <c r="F12" i="12" s="1"/>
  <c r="E10" i="12"/>
  <c r="E12" i="12" s="1"/>
  <c r="H17" i="12"/>
  <c r="G17" i="12"/>
  <c r="F17" i="12"/>
  <c r="E17" i="12"/>
  <c r="D17" i="12"/>
  <c r="D14" i="12"/>
  <c r="D12" i="12"/>
  <c r="D11" i="12"/>
  <c r="D10" i="12"/>
  <c r="E7" i="12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L13" i="11"/>
  <c r="M13" i="11" s="1"/>
  <c r="N13" i="11" s="1"/>
  <c r="O13" i="11" s="1"/>
  <c r="P13" i="11" s="1"/>
  <c r="Q13" i="11" s="1"/>
  <c r="R13" i="11" s="1"/>
  <c r="K13" i="11"/>
  <c r="J25" i="11"/>
  <c r="K25" i="11" s="1"/>
  <c r="L25" i="11" s="1"/>
  <c r="M25" i="11" s="1"/>
  <c r="N25" i="11" s="1"/>
  <c r="O25" i="11" s="1"/>
  <c r="P25" i="11" s="1"/>
  <c r="Q25" i="11" s="1"/>
  <c r="R25" i="11" s="1"/>
  <c r="I13" i="11"/>
  <c r="J13" i="11" s="1"/>
  <c r="I65" i="11"/>
  <c r="J65" i="11" s="1"/>
  <c r="K65" i="11" s="1"/>
  <c r="L65" i="11" s="1"/>
  <c r="M65" i="11" s="1"/>
  <c r="N65" i="11" s="1"/>
  <c r="O65" i="11" s="1"/>
  <c r="P65" i="11" s="1"/>
  <c r="Q65" i="11" s="1"/>
  <c r="R65" i="11" s="1"/>
  <c r="I19" i="11"/>
  <c r="J19" i="11" s="1"/>
  <c r="K19" i="11" s="1"/>
  <c r="L19" i="11" s="1"/>
  <c r="M19" i="11" s="1"/>
  <c r="N19" i="11" s="1"/>
  <c r="O19" i="11" s="1"/>
  <c r="P19" i="11" s="1"/>
  <c r="Q19" i="11" s="1"/>
  <c r="R19" i="11" s="1"/>
  <c r="H65" i="11"/>
  <c r="G65" i="11"/>
  <c r="F65" i="11"/>
  <c r="E65" i="11"/>
  <c r="D65" i="11"/>
  <c r="H63" i="11"/>
  <c r="G63" i="11"/>
  <c r="F63" i="11"/>
  <c r="E63" i="11"/>
  <c r="D63" i="1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H61" i="11"/>
  <c r="G61" i="11"/>
  <c r="F61" i="11"/>
  <c r="E61" i="11"/>
  <c r="D61" i="1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H59" i="11"/>
  <c r="G59" i="11"/>
  <c r="F59" i="11"/>
  <c r="E59" i="11"/>
  <c r="D59" i="1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H57" i="11"/>
  <c r="G57" i="11"/>
  <c r="F57" i="1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E57" i="11"/>
  <c r="D57" i="11"/>
  <c r="H55" i="1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G55" i="11"/>
  <c r="F55" i="11"/>
  <c r="E55" i="11"/>
  <c r="D55" i="11"/>
  <c r="B65" i="11"/>
  <c r="B63" i="11"/>
  <c r="B61" i="11"/>
  <c r="B59" i="11"/>
  <c r="B57" i="11"/>
  <c r="B55" i="11"/>
  <c r="H51" i="11"/>
  <c r="G51" i="11"/>
  <c r="F51" i="11"/>
  <c r="E51" i="11"/>
  <c r="D51" i="1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H49" i="11"/>
  <c r="G49" i="11"/>
  <c r="F49" i="11"/>
  <c r="E49" i="11"/>
  <c r="H47" i="11"/>
  <c r="G47" i="11"/>
  <c r="F47" i="11"/>
  <c r="E47" i="11"/>
  <c r="H45" i="1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G45" i="11"/>
  <c r="F45" i="11"/>
  <c r="E45" i="11"/>
  <c r="H43" i="11"/>
  <c r="G43" i="11"/>
  <c r="F43" i="11"/>
  <c r="E43" i="11"/>
  <c r="D49" i="11"/>
  <c r="D47" i="1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D45" i="11"/>
  <c r="D43" i="1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B51" i="11"/>
  <c r="B49" i="11"/>
  <c r="B47" i="11"/>
  <c r="B45" i="11"/>
  <c r="B43" i="11"/>
  <c r="H36" i="11"/>
  <c r="H37" i="11" s="1"/>
  <c r="G36" i="11"/>
  <c r="G37" i="11" s="1"/>
  <c r="F36" i="11"/>
  <c r="F37" i="11" s="1"/>
  <c r="E36" i="11"/>
  <c r="E37" i="11" s="1"/>
  <c r="H34" i="11"/>
  <c r="H35" i="11" s="1"/>
  <c r="G34" i="11"/>
  <c r="G35" i="11" s="1"/>
  <c r="F34" i="11"/>
  <c r="F35" i="11" s="1"/>
  <c r="E34" i="11"/>
  <c r="E35" i="11" s="1"/>
  <c r="H32" i="11"/>
  <c r="H33" i="11" s="1"/>
  <c r="G32" i="11"/>
  <c r="G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F32" i="11"/>
  <c r="F33" i="11" s="1"/>
  <c r="E32" i="11"/>
  <c r="E33" i="11" s="1"/>
  <c r="H30" i="11"/>
  <c r="H31" i="11" s="1"/>
  <c r="G30" i="11"/>
  <c r="G31" i="11" s="1"/>
  <c r="F30" i="11"/>
  <c r="F31" i="11" s="1"/>
  <c r="E30" i="11"/>
  <c r="E31" i="11" s="1"/>
  <c r="H28" i="11"/>
  <c r="H29" i="11" s="1"/>
  <c r="G28" i="11"/>
  <c r="G29" i="11" s="1"/>
  <c r="F28" i="11"/>
  <c r="F29" i="11" s="1"/>
  <c r="E28" i="11"/>
  <c r="E29" i="11" s="1"/>
  <c r="H26" i="1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G26" i="11"/>
  <c r="G27" i="11" s="1"/>
  <c r="F26" i="11"/>
  <c r="F27" i="11" s="1"/>
  <c r="E26" i="11"/>
  <c r="E27" i="11" s="1"/>
  <c r="H24" i="11"/>
  <c r="H25" i="11" s="1"/>
  <c r="G24" i="11"/>
  <c r="G25" i="11" s="1"/>
  <c r="F24" i="11"/>
  <c r="F25" i="11" s="1"/>
  <c r="E24" i="11"/>
  <c r="E25" i="11" s="1"/>
  <c r="D36" i="11"/>
  <c r="D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D34" i="11"/>
  <c r="D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D32" i="11"/>
  <c r="D33" i="11" s="1"/>
  <c r="D30" i="11"/>
  <c r="D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D28" i="11"/>
  <c r="D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D26" i="11"/>
  <c r="D27" i="11" s="1"/>
  <c r="D24" i="11"/>
  <c r="D25" i="11" s="1"/>
  <c r="B37" i="11"/>
  <c r="B35" i="11"/>
  <c r="B33" i="11"/>
  <c r="B29" i="11"/>
  <c r="B27" i="11"/>
  <c r="B25" i="11"/>
  <c r="D12" i="11"/>
  <c r="D13" i="11" s="1"/>
  <c r="B21" i="11"/>
  <c r="B19" i="11"/>
  <c r="B17" i="11"/>
  <c r="B15" i="11"/>
  <c r="B13" i="11"/>
  <c r="H20" i="11"/>
  <c r="H21" i="11" s="1"/>
  <c r="G20" i="11"/>
  <c r="G21" i="11" s="1"/>
  <c r="F20" i="11"/>
  <c r="F21" i="11" s="1"/>
  <c r="E20" i="11"/>
  <c r="E21" i="11" s="1"/>
  <c r="H18" i="11"/>
  <c r="H19" i="11" s="1"/>
  <c r="G18" i="11"/>
  <c r="G19" i="11" s="1"/>
  <c r="F18" i="11"/>
  <c r="F19" i="11" s="1"/>
  <c r="E18" i="11"/>
  <c r="E19" i="11" s="1"/>
  <c r="H16" i="11"/>
  <c r="H17" i="11" s="1"/>
  <c r="G16" i="11"/>
  <c r="G17" i="11" s="1"/>
  <c r="F16" i="11"/>
  <c r="F17" i="11" s="1"/>
  <c r="E16" i="11"/>
  <c r="E17" i="11" s="1"/>
  <c r="H14" i="11"/>
  <c r="H15" i="11" s="1"/>
  <c r="G14" i="11"/>
  <c r="G15" i="11" s="1"/>
  <c r="F14" i="11"/>
  <c r="F15" i="11" s="1"/>
  <c r="E14" i="11"/>
  <c r="E15" i="11" s="1"/>
  <c r="D20" i="11"/>
  <c r="D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D18" i="11"/>
  <c r="D19" i="11" s="1"/>
  <c r="D16" i="11"/>
  <c r="D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D14" i="11"/>
  <c r="D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H12" i="11"/>
  <c r="H13" i="11" s="1"/>
  <c r="G12" i="11"/>
  <c r="G13" i="11" s="1"/>
  <c r="F12" i="11"/>
  <c r="F13" i="11" s="1"/>
  <c r="E12" i="11"/>
  <c r="E13" i="11" s="1"/>
  <c r="E7" i="1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H386" i="10"/>
  <c r="G386" i="10"/>
  <c r="F386" i="10"/>
  <c r="E386" i="10"/>
  <c r="D386" i="10"/>
  <c r="K384" i="10"/>
  <c r="L384" i="10" s="1"/>
  <c r="M384" i="10" s="1"/>
  <c r="N384" i="10" s="1"/>
  <c r="O384" i="10" s="1"/>
  <c r="P384" i="10" s="1"/>
  <c r="Q384" i="10" s="1"/>
  <c r="R384" i="10" s="1"/>
  <c r="J384" i="10"/>
  <c r="I384" i="10"/>
  <c r="I383" i="10"/>
  <c r="J383" i="10" s="1"/>
  <c r="H381" i="10"/>
  <c r="G381" i="10"/>
  <c r="F381" i="10"/>
  <c r="E381" i="10"/>
  <c r="D381" i="10"/>
  <c r="D279" i="10"/>
  <c r="D372" i="10" s="1"/>
  <c r="G279" i="10"/>
  <c r="F279" i="10"/>
  <c r="I365" i="10"/>
  <c r="I352" i="10"/>
  <c r="J352" i="10" s="1"/>
  <c r="K352" i="10" s="1"/>
  <c r="L352" i="10" s="1"/>
  <c r="M352" i="10" s="1"/>
  <c r="N352" i="10" s="1"/>
  <c r="O352" i="10" s="1"/>
  <c r="P352" i="10" s="1"/>
  <c r="Q352" i="10" s="1"/>
  <c r="R352" i="10" s="1"/>
  <c r="I351" i="10"/>
  <c r="J351" i="10" s="1"/>
  <c r="K351" i="10" s="1"/>
  <c r="L351" i="10" s="1"/>
  <c r="M351" i="10" s="1"/>
  <c r="N351" i="10" s="1"/>
  <c r="O351" i="10" s="1"/>
  <c r="P351" i="10" s="1"/>
  <c r="Q351" i="10" s="1"/>
  <c r="R351" i="10" s="1"/>
  <c r="I350" i="10"/>
  <c r="J350" i="10" s="1"/>
  <c r="K350" i="10" s="1"/>
  <c r="L350" i="10" s="1"/>
  <c r="M350" i="10" s="1"/>
  <c r="N350" i="10" s="1"/>
  <c r="O350" i="10" s="1"/>
  <c r="P350" i="10" s="1"/>
  <c r="Q350" i="10" s="1"/>
  <c r="R350" i="10" s="1"/>
  <c r="I349" i="10"/>
  <c r="J349" i="10" s="1"/>
  <c r="K349" i="10" s="1"/>
  <c r="L349" i="10" s="1"/>
  <c r="M349" i="10" s="1"/>
  <c r="N349" i="10" s="1"/>
  <c r="O349" i="10" s="1"/>
  <c r="P349" i="10" s="1"/>
  <c r="Q349" i="10" s="1"/>
  <c r="R349" i="10" s="1"/>
  <c r="I348" i="10"/>
  <c r="J348" i="10" s="1"/>
  <c r="K348" i="10" s="1"/>
  <c r="L348" i="10" s="1"/>
  <c r="M348" i="10" s="1"/>
  <c r="N348" i="10" s="1"/>
  <c r="O348" i="10" s="1"/>
  <c r="P348" i="10" s="1"/>
  <c r="Q348" i="10" s="1"/>
  <c r="R348" i="10" s="1"/>
  <c r="I360" i="10"/>
  <c r="J360" i="10" s="1"/>
  <c r="K360" i="10" s="1"/>
  <c r="L360" i="10" s="1"/>
  <c r="M360" i="10" s="1"/>
  <c r="N360" i="10" s="1"/>
  <c r="O360" i="10" s="1"/>
  <c r="P360" i="10" s="1"/>
  <c r="Q360" i="10" s="1"/>
  <c r="R360" i="10" s="1"/>
  <c r="I359" i="10"/>
  <c r="J359" i="10" s="1"/>
  <c r="K359" i="10" s="1"/>
  <c r="L359" i="10" s="1"/>
  <c r="M359" i="10" s="1"/>
  <c r="N359" i="10" s="1"/>
  <c r="O359" i="10" s="1"/>
  <c r="P359" i="10" s="1"/>
  <c r="Q359" i="10" s="1"/>
  <c r="R359" i="10" s="1"/>
  <c r="I358" i="10"/>
  <c r="J358" i="10" s="1"/>
  <c r="K358" i="10" s="1"/>
  <c r="L358" i="10" s="1"/>
  <c r="M358" i="10" s="1"/>
  <c r="N358" i="10" s="1"/>
  <c r="O358" i="10" s="1"/>
  <c r="P358" i="10" s="1"/>
  <c r="Q358" i="10" s="1"/>
  <c r="R358" i="10" s="1"/>
  <c r="I357" i="10"/>
  <c r="J357" i="10" s="1"/>
  <c r="K357" i="10" s="1"/>
  <c r="L357" i="10" s="1"/>
  <c r="M357" i="10" s="1"/>
  <c r="N357" i="10" s="1"/>
  <c r="O357" i="10" s="1"/>
  <c r="P357" i="10" s="1"/>
  <c r="Q357" i="10" s="1"/>
  <c r="R357" i="10" s="1"/>
  <c r="I356" i="10"/>
  <c r="J356" i="10" s="1"/>
  <c r="K356" i="10" s="1"/>
  <c r="L356" i="10" s="1"/>
  <c r="M356" i="10" s="1"/>
  <c r="N356" i="10" s="1"/>
  <c r="O356" i="10" s="1"/>
  <c r="P356" i="10" s="1"/>
  <c r="Q356" i="10" s="1"/>
  <c r="R356" i="10" s="1"/>
  <c r="I355" i="10"/>
  <c r="J355" i="10" s="1"/>
  <c r="K355" i="10" s="1"/>
  <c r="L355" i="10" s="1"/>
  <c r="M355" i="10" s="1"/>
  <c r="N355" i="10" s="1"/>
  <c r="O355" i="10" s="1"/>
  <c r="P355" i="10" s="1"/>
  <c r="Q355" i="10" s="1"/>
  <c r="R355" i="10" s="1"/>
  <c r="I293" i="10"/>
  <c r="J293" i="10" s="1"/>
  <c r="K246" i="10"/>
  <c r="L246" i="10" s="1"/>
  <c r="M246" i="10" s="1"/>
  <c r="N246" i="10" s="1"/>
  <c r="O246" i="10" s="1"/>
  <c r="P246" i="10" s="1"/>
  <c r="Q246" i="10" s="1"/>
  <c r="R246" i="10" s="1"/>
  <c r="J246" i="10"/>
  <c r="I246" i="10"/>
  <c r="I284" i="10"/>
  <c r="K171" i="10"/>
  <c r="K273" i="10" s="1"/>
  <c r="J171" i="10"/>
  <c r="I171" i="10"/>
  <c r="I340" i="10"/>
  <c r="I338" i="10"/>
  <c r="I336" i="10"/>
  <c r="I334" i="10"/>
  <c r="I332" i="10"/>
  <c r="I330" i="10"/>
  <c r="I328" i="10"/>
  <c r="I327" i="10"/>
  <c r="H315" i="10"/>
  <c r="I285" i="10"/>
  <c r="I283" i="10"/>
  <c r="I281" i="10"/>
  <c r="I279" i="10"/>
  <c r="I277" i="10"/>
  <c r="I275" i="10"/>
  <c r="J273" i="10"/>
  <c r="I273" i="10"/>
  <c r="I272" i="10"/>
  <c r="R269" i="10"/>
  <c r="Q269" i="10"/>
  <c r="P269" i="10"/>
  <c r="O269" i="10"/>
  <c r="N269" i="10"/>
  <c r="M269" i="10"/>
  <c r="L269" i="10"/>
  <c r="K269" i="10"/>
  <c r="J269" i="10"/>
  <c r="I269" i="10"/>
  <c r="R261" i="10"/>
  <c r="Q261" i="10"/>
  <c r="P261" i="10"/>
  <c r="O261" i="10"/>
  <c r="N261" i="10"/>
  <c r="M261" i="10"/>
  <c r="L261" i="10"/>
  <c r="K261" i="10"/>
  <c r="J261" i="10"/>
  <c r="I261" i="10"/>
  <c r="I255" i="10"/>
  <c r="J255" i="10" s="1"/>
  <c r="K255" i="10" s="1"/>
  <c r="L255" i="10" s="1"/>
  <c r="M255" i="10" s="1"/>
  <c r="N255" i="10" s="1"/>
  <c r="O255" i="10" s="1"/>
  <c r="P255" i="10" s="1"/>
  <c r="Q255" i="10" s="1"/>
  <c r="R255" i="10" s="1"/>
  <c r="I252" i="10"/>
  <c r="R235" i="10"/>
  <c r="Q235" i="10"/>
  <c r="P235" i="10"/>
  <c r="O235" i="10"/>
  <c r="N235" i="10"/>
  <c r="M235" i="10"/>
  <c r="L235" i="10"/>
  <c r="K235" i="10"/>
  <c r="J235" i="10"/>
  <c r="I235" i="10"/>
  <c r="R218" i="10"/>
  <c r="Q218" i="10"/>
  <c r="P218" i="10"/>
  <c r="O218" i="10"/>
  <c r="N218" i="10"/>
  <c r="M218" i="10"/>
  <c r="L218" i="10"/>
  <c r="K218" i="10"/>
  <c r="J218" i="10"/>
  <c r="I218" i="10"/>
  <c r="R201" i="10"/>
  <c r="Q201" i="10"/>
  <c r="P201" i="10"/>
  <c r="O201" i="10"/>
  <c r="N201" i="10"/>
  <c r="M201" i="10"/>
  <c r="L201" i="10"/>
  <c r="K201" i="10"/>
  <c r="J201" i="10"/>
  <c r="I201" i="10"/>
  <c r="I157" i="10"/>
  <c r="I372" i="10" s="1"/>
  <c r="I155" i="10"/>
  <c r="I354" i="10"/>
  <c r="J354" i="10" s="1"/>
  <c r="I316" i="10"/>
  <c r="I299" i="10"/>
  <c r="I262" i="10"/>
  <c r="J262" i="10" s="1"/>
  <c r="K262" i="10" s="1"/>
  <c r="L262" i="10" s="1"/>
  <c r="M262" i="10" s="1"/>
  <c r="N262" i="10" s="1"/>
  <c r="O262" i="10" s="1"/>
  <c r="P262" i="10" s="1"/>
  <c r="Q262" i="10" s="1"/>
  <c r="R262" i="10" s="1"/>
  <c r="I245" i="10"/>
  <c r="J245" i="10" s="1"/>
  <c r="K245" i="10" s="1"/>
  <c r="I228" i="10"/>
  <c r="J228" i="10" s="1"/>
  <c r="K228" i="10" s="1"/>
  <c r="L228" i="10" s="1"/>
  <c r="M228" i="10" s="1"/>
  <c r="N228" i="10" s="1"/>
  <c r="O228" i="10" s="1"/>
  <c r="P228" i="10" s="1"/>
  <c r="Q228" i="10" s="1"/>
  <c r="R228" i="10" s="1"/>
  <c r="I211" i="10"/>
  <c r="J211" i="10" s="1"/>
  <c r="K211" i="10" s="1"/>
  <c r="L211" i="10" s="1"/>
  <c r="M211" i="10" s="1"/>
  <c r="N211" i="10" s="1"/>
  <c r="O211" i="10" s="1"/>
  <c r="P211" i="10" s="1"/>
  <c r="Q211" i="10" s="1"/>
  <c r="R211" i="10" s="1"/>
  <c r="I194" i="10"/>
  <c r="J194" i="10" s="1"/>
  <c r="K194" i="10" s="1"/>
  <c r="L194" i="10" s="1"/>
  <c r="M194" i="10" s="1"/>
  <c r="N194" i="10" s="1"/>
  <c r="O194" i="10" s="1"/>
  <c r="P194" i="10" s="1"/>
  <c r="Q194" i="10" s="1"/>
  <c r="R194" i="10" s="1"/>
  <c r="I177" i="10"/>
  <c r="I138" i="10"/>
  <c r="I121" i="10"/>
  <c r="I104" i="10"/>
  <c r="I87" i="10"/>
  <c r="I70" i="10"/>
  <c r="I53" i="10"/>
  <c r="I36" i="10"/>
  <c r="H384" i="10"/>
  <c r="G384" i="10"/>
  <c r="F384" i="10"/>
  <c r="E384" i="10"/>
  <c r="H378" i="10"/>
  <c r="G378" i="10"/>
  <c r="F378" i="10"/>
  <c r="E378" i="10"/>
  <c r="H377" i="10"/>
  <c r="G377" i="10"/>
  <c r="F377" i="10"/>
  <c r="E377" i="10"/>
  <c r="H376" i="10"/>
  <c r="G376" i="10"/>
  <c r="F376" i="10"/>
  <c r="E376" i="10"/>
  <c r="H375" i="10"/>
  <c r="G375" i="10"/>
  <c r="F375" i="10"/>
  <c r="E375" i="10"/>
  <c r="H374" i="10"/>
  <c r="G374" i="10"/>
  <c r="F374" i="10"/>
  <c r="E374" i="10"/>
  <c r="H373" i="10"/>
  <c r="G373" i="10"/>
  <c r="F373" i="10"/>
  <c r="E373" i="10"/>
  <c r="H372" i="10"/>
  <c r="G372" i="10"/>
  <c r="F372" i="10"/>
  <c r="E372" i="10"/>
  <c r="G370" i="10"/>
  <c r="F370" i="10"/>
  <c r="E370" i="10"/>
  <c r="G369" i="10"/>
  <c r="F369" i="10"/>
  <c r="E369" i="10"/>
  <c r="G368" i="10"/>
  <c r="E368" i="10"/>
  <c r="G367" i="10"/>
  <c r="F367" i="10"/>
  <c r="E367" i="10"/>
  <c r="G366" i="10"/>
  <c r="F366" i="10"/>
  <c r="E365" i="10"/>
  <c r="D378" i="10"/>
  <c r="D377" i="10"/>
  <c r="D376" i="10"/>
  <c r="D375" i="10"/>
  <c r="D374" i="10"/>
  <c r="D373" i="10"/>
  <c r="D371" i="10"/>
  <c r="D370" i="10"/>
  <c r="D369" i="10"/>
  <c r="D368" i="10"/>
  <c r="D367" i="10"/>
  <c r="D366" i="10"/>
  <c r="D365" i="10"/>
  <c r="E347" i="10"/>
  <c r="E353" i="10" s="1"/>
  <c r="F347" i="10" s="1"/>
  <c r="F353" i="10" s="1"/>
  <c r="D361" i="10"/>
  <c r="D353" i="10"/>
  <c r="H340" i="10"/>
  <c r="G340" i="10"/>
  <c r="F340" i="10"/>
  <c r="E340" i="10"/>
  <c r="D340" i="10"/>
  <c r="H339" i="10"/>
  <c r="G339" i="10"/>
  <c r="F339" i="10"/>
  <c r="E339" i="10"/>
  <c r="D339" i="10"/>
  <c r="H338" i="10"/>
  <c r="G338" i="10"/>
  <c r="F338" i="10"/>
  <c r="E338" i="10"/>
  <c r="D338" i="10"/>
  <c r="H337" i="10"/>
  <c r="G337" i="10"/>
  <c r="F337" i="10"/>
  <c r="E337" i="10"/>
  <c r="D337" i="10"/>
  <c r="H336" i="10"/>
  <c r="G336" i="10"/>
  <c r="F336" i="10"/>
  <c r="E336" i="10"/>
  <c r="D336" i="10"/>
  <c r="H335" i="10"/>
  <c r="G335" i="10"/>
  <c r="F335" i="10"/>
  <c r="E335" i="10"/>
  <c r="D335" i="10"/>
  <c r="H334" i="10"/>
  <c r="G334" i="10"/>
  <c r="F334" i="10"/>
  <c r="E334" i="10"/>
  <c r="D334" i="10"/>
  <c r="H332" i="10"/>
  <c r="G332" i="10"/>
  <c r="F332" i="10"/>
  <c r="E332" i="10"/>
  <c r="D332" i="10"/>
  <c r="H331" i="10"/>
  <c r="G331" i="10"/>
  <c r="F331" i="10"/>
  <c r="E331" i="10"/>
  <c r="D331" i="10"/>
  <c r="H330" i="10"/>
  <c r="G330" i="10"/>
  <c r="F330" i="10"/>
  <c r="E330" i="10"/>
  <c r="D330" i="10"/>
  <c r="H329" i="10"/>
  <c r="G329" i="10"/>
  <c r="F329" i="10"/>
  <c r="E329" i="10"/>
  <c r="D329" i="10"/>
  <c r="H328" i="10"/>
  <c r="G328" i="10"/>
  <c r="F328" i="10"/>
  <c r="E328" i="10"/>
  <c r="D328" i="10"/>
  <c r="D327" i="10"/>
  <c r="D315" i="10"/>
  <c r="E309" i="10" s="1"/>
  <c r="E315" i="10" s="1"/>
  <c r="D298" i="10"/>
  <c r="E292" i="10" s="1"/>
  <c r="E298" i="10" s="1"/>
  <c r="F292" i="10" s="1"/>
  <c r="F298" i="10" s="1"/>
  <c r="G292" i="10" s="1"/>
  <c r="G298" i="10" s="1"/>
  <c r="H292" i="10" s="1"/>
  <c r="H298" i="10" s="1"/>
  <c r="H306" i="10" s="1"/>
  <c r="H285" i="10"/>
  <c r="G285" i="10"/>
  <c r="F285" i="10"/>
  <c r="E285" i="10"/>
  <c r="H284" i="10"/>
  <c r="G284" i="10"/>
  <c r="F284" i="10"/>
  <c r="E284" i="10"/>
  <c r="H283" i="10"/>
  <c r="G283" i="10"/>
  <c r="F283" i="10"/>
  <c r="E283" i="10"/>
  <c r="H282" i="10"/>
  <c r="G282" i="10"/>
  <c r="F282" i="10"/>
  <c r="E282" i="10"/>
  <c r="H281" i="10"/>
  <c r="G281" i="10"/>
  <c r="F281" i="10"/>
  <c r="E281" i="10"/>
  <c r="H280" i="10"/>
  <c r="G280" i="10"/>
  <c r="F280" i="10"/>
  <c r="E280" i="10"/>
  <c r="H279" i="10"/>
  <c r="E279" i="10"/>
  <c r="H277" i="10"/>
  <c r="G277" i="10"/>
  <c r="F277" i="10"/>
  <c r="E277" i="10"/>
  <c r="H276" i="10"/>
  <c r="G276" i="10"/>
  <c r="F276" i="10"/>
  <c r="E276" i="10"/>
  <c r="H275" i="10"/>
  <c r="G275" i="10"/>
  <c r="F275" i="10"/>
  <c r="E275" i="10"/>
  <c r="H274" i="10"/>
  <c r="G274" i="10"/>
  <c r="F274" i="10"/>
  <c r="E274" i="10"/>
  <c r="H273" i="10"/>
  <c r="G273" i="10"/>
  <c r="F273" i="10"/>
  <c r="E273" i="10"/>
  <c r="D285" i="10"/>
  <c r="D284" i="10"/>
  <c r="D283" i="10"/>
  <c r="D282" i="10"/>
  <c r="D281" i="10"/>
  <c r="D280" i="10"/>
  <c r="D277" i="10"/>
  <c r="D276" i="10"/>
  <c r="D275" i="10"/>
  <c r="D274" i="10"/>
  <c r="D273" i="10"/>
  <c r="D272" i="10"/>
  <c r="E255" i="10"/>
  <c r="E261" i="10" s="1"/>
  <c r="E269" i="10" s="1"/>
  <c r="D261" i="10"/>
  <c r="D244" i="10"/>
  <c r="E238" i="10" s="1"/>
  <c r="E244" i="10" s="1"/>
  <c r="D227" i="10"/>
  <c r="D235" i="10" s="1"/>
  <c r="D210" i="10"/>
  <c r="E204" i="10" s="1"/>
  <c r="E210" i="10" s="1"/>
  <c r="D193" i="10"/>
  <c r="E187" i="10" s="1"/>
  <c r="E193" i="10" s="1"/>
  <c r="E201" i="10" s="1"/>
  <c r="D176" i="10"/>
  <c r="E170" i="10" s="1"/>
  <c r="E176" i="10" s="1"/>
  <c r="F170" i="10" s="1"/>
  <c r="F176" i="10" s="1"/>
  <c r="H163" i="10"/>
  <c r="G163" i="10"/>
  <c r="F163" i="10"/>
  <c r="E163" i="10"/>
  <c r="D163" i="10"/>
  <c r="H162" i="10"/>
  <c r="G162" i="10"/>
  <c r="F162" i="10"/>
  <c r="E162" i="10"/>
  <c r="D162" i="10"/>
  <c r="H161" i="10"/>
  <c r="G161" i="10"/>
  <c r="F161" i="10"/>
  <c r="E161" i="10"/>
  <c r="D161" i="10"/>
  <c r="H160" i="10"/>
  <c r="G160" i="10"/>
  <c r="F160" i="10"/>
  <c r="E160" i="10"/>
  <c r="D160" i="10"/>
  <c r="H159" i="10"/>
  <c r="G159" i="10"/>
  <c r="F159" i="10"/>
  <c r="E159" i="10"/>
  <c r="D159" i="10"/>
  <c r="H158" i="10"/>
  <c r="G158" i="10"/>
  <c r="F158" i="10"/>
  <c r="E158" i="10"/>
  <c r="D158" i="10"/>
  <c r="H157" i="10"/>
  <c r="G157" i="10"/>
  <c r="F157" i="10"/>
  <c r="E157" i="10"/>
  <c r="D157" i="10"/>
  <c r="H155" i="10"/>
  <c r="H370" i="10" s="1"/>
  <c r="G155" i="10"/>
  <c r="F155" i="10"/>
  <c r="E155" i="10"/>
  <c r="D155" i="10"/>
  <c r="H154" i="10"/>
  <c r="H369" i="10" s="1"/>
  <c r="G154" i="10"/>
  <c r="F154" i="10"/>
  <c r="E154" i="10"/>
  <c r="D154" i="10"/>
  <c r="H153" i="10"/>
  <c r="H368" i="10" s="1"/>
  <c r="G153" i="10"/>
  <c r="F153" i="10"/>
  <c r="F368" i="10" s="1"/>
  <c r="E153" i="10"/>
  <c r="D153" i="10"/>
  <c r="H152" i="10"/>
  <c r="H367" i="10" s="1"/>
  <c r="G152" i="10"/>
  <c r="F152" i="10"/>
  <c r="E152" i="10"/>
  <c r="D152" i="10"/>
  <c r="H151" i="10"/>
  <c r="H366" i="10" s="1"/>
  <c r="G151" i="10"/>
  <c r="F151" i="10"/>
  <c r="E151" i="10"/>
  <c r="E366" i="10" s="1"/>
  <c r="D151" i="10"/>
  <c r="D150" i="10"/>
  <c r="D137" i="10"/>
  <c r="E131" i="10" s="1"/>
  <c r="E137" i="10" s="1"/>
  <c r="D120" i="10"/>
  <c r="D128" i="10" s="1"/>
  <c r="D103" i="10"/>
  <c r="D111" i="10" s="1"/>
  <c r="D86" i="10"/>
  <c r="D94" i="10" s="1"/>
  <c r="D69" i="10"/>
  <c r="D77" i="10" s="1"/>
  <c r="D52" i="10"/>
  <c r="D60" i="10" s="1"/>
  <c r="D35" i="10"/>
  <c r="D43" i="10" s="1"/>
  <c r="D18" i="10"/>
  <c r="E12" i="10" s="1"/>
  <c r="E18" i="10" s="1"/>
  <c r="E7" i="10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J28" i="9"/>
  <c r="K28" i="9" s="1"/>
  <c r="L28" i="9" s="1"/>
  <c r="M28" i="9" s="1"/>
  <c r="N28" i="9" s="1"/>
  <c r="O28" i="9" s="1"/>
  <c r="P28" i="9" s="1"/>
  <c r="Q28" i="9" s="1"/>
  <c r="R28" i="9" s="1"/>
  <c r="H29" i="9"/>
  <c r="H30" i="9" s="1"/>
  <c r="G29" i="9"/>
  <c r="G30" i="9" s="1"/>
  <c r="F29" i="9"/>
  <c r="F30" i="9" s="1"/>
  <c r="E29" i="9"/>
  <c r="E30" i="9" s="1"/>
  <c r="H27" i="9"/>
  <c r="H28" i="9" s="1"/>
  <c r="G27" i="9"/>
  <c r="G28" i="9" s="1"/>
  <c r="F27" i="9"/>
  <c r="F28" i="9" s="1"/>
  <c r="E27" i="9"/>
  <c r="E28" i="9" s="1"/>
  <c r="H25" i="9"/>
  <c r="H26" i="9" s="1"/>
  <c r="G25" i="9"/>
  <c r="G26" i="9" s="1"/>
  <c r="F25" i="9"/>
  <c r="F26" i="9" s="1"/>
  <c r="E25" i="9"/>
  <c r="E26" i="9" s="1"/>
  <c r="D29" i="9"/>
  <c r="D30" i="9" s="1"/>
  <c r="D27" i="9"/>
  <c r="D28" i="9" s="1"/>
  <c r="D25" i="9"/>
  <c r="D26" i="9" s="1"/>
  <c r="G60" i="13" l="1"/>
  <c r="I49" i="11"/>
  <c r="D60" i="13"/>
  <c r="F29" i="17"/>
  <c r="C34" i="17"/>
  <c r="H60" i="13"/>
  <c r="H38" i="14"/>
  <c r="H18" i="14"/>
  <c r="D38" i="14"/>
  <c r="D29" i="14"/>
  <c r="E38" i="14"/>
  <c r="H29" i="14"/>
  <c r="H41" i="14" s="1"/>
  <c r="I370" i="10"/>
  <c r="I337" i="10"/>
  <c r="J177" i="10"/>
  <c r="D18" i="14"/>
  <c r="G18" i="14"/>
  <c r="G41" i="14" s="1"/>
  <c r="F18" i="14"/>
  <c r="F41" i="14" s="1"/>
  <c r="F43" i="14" s="1"/>
  <c r="E18" i="14"/>
  <c r="E41" i="14" s="1"/>
  <c r="I30" i="9"/>
  <c r="J30" i="9" s="1"/>
  <c r="K30" i="9" s="1"/>
  <c r="L30" i="9" s="1"/>
  <c r="M30" i="9" s="1"/>
  <c r="N30" i="9" s="1"/>
  <c r="O30" i="9" s="1"/>
  <c r="P30" i="9" s="1"/>
  <c r="Q30" i="9" s="1"/>
  <c r="R30" i="9" s="1"/>
  <c r="I26" i="9"/>
  <c r="J26" i="9" s="1"/>
  <c r="K26" i="9" s="1"/>
  <c r="L26" i="9" s="1"/>
  <c r="M26" i="9" s="1"/>
  <c r="N26" i="9" s="1"/>
  <c r="O26" i="9" s="1"/>
  <c r="P26" i="9" s="1"/>
  <c r="Q26" i="9" s="1"/>
  <c r="R26" i="9" s="1"/>
  <c r="J31" i="12"/>
  <c r="K31" i="12"/>
  <c r="K383" i="10"/>
  <c r="L383" i="10" s="1"/>
  <c r="M383" i="10" s="1"/>
  <c r="N383" i="10" s="1"/>
  <c r="O383" i="10" s="1"/>
  <c r="P383" i="10" s="1"/>
  <c r="Q383" i="10" s="1"/>
  <c r="R383" i="10" s="1"/>
  <c r="K354" i="10"/>
  <c r="I335" i="10"/>
  <c r="I339" i="10"/>
  <c r="J316" i="10"/>
  <c r="K316" i="10" s="1"/>
  <c r="L316" i="10" s="1"/>
  <c r="M316" i="10" s="1"/>
  <c r="N316" i="10" s="1"/>
  <c r="O316" i="10" s="1"/>
  <c r="P316" i="10" s="1"/>
  <c r="Q316" i="10" s="1"/>
  <c r="R316" i="10" s="1"/>
  <c r="J338" i="10"/>
  <c r="J335" i="10"/>
  <c r="J339" i="10"/>
  <c r="J336" i="10"/>
  <c r="J340" i="10"/>
  <c r="J299" i="10"/>
  <c r="J329" i="10"/>
  <c r="J330" i="10"/>
  <c r="J331" i="10"/>
  <c r="K293" i="10"/>
  <c r="J328" i="10"/>
  <c r="J332" i="10"/>
  <c r="I331" i="10"/>
  <c r="I329" i="10"/>
  <c r="L245" i="10"/>
  <c r="M245" i="10" s="1"/>
  <c r="N245" i="10" s="1"/>
  <c r="O245" i="10" s="1"/>
  <c r="P245" i="10" s="1"/>
  <c r="Q245" i="10" s="1"/>
  <c r="R245" i="10" s="1"/>
  <c r="R252" i="10" s="1"/>
  <c r="Q252" i="10"/>
  <c r="J252" i="10"/>
  <c r="N252" i="10"/>
  <c r="K252" i="10"/>
  <c r="O252" i="10"/>
  <c r="L252" i="10"/>
  <c r="P252" i="10"/>
  <c r="J283" i="10"/>
  <c r="J281" i="10"/>
  <c r="J285" i="10"/>
  <c r="J279" i="10"/>
  <c r="J274" i="10"/>
  <c r="J275" i="10"/>
  <c r="J276" i="10"/>
  <c r="J277" i="10"/>
  <c r="I274" i="10"/>
  <c r="I276" i="10"/>
  <c r="L171" i="10"/>
  <c r="J138" i="10"/>
  <c r="K138" i="10" s="1"/>
  <c r="L138" i="10" s="1"/>
  <c r="M138" i="10" s="1"/>
  <c r="N138" i="10" s="1"/>
  <c r="O138" i="10" s="1"/>
  <c r="P138" i="10" s="1"/>
  <c r="Q138" i="10" s="1"/>
  <c r="R138" i="10" s="1"/>
  <c r="I153" i="10"/>
  <c r="I368" i="10" s="1"/>
  <c r="J121" i="10"/>
  <c r="K121" i="10" s="1"/>
  <c r="L121" i="10" s="1"/>
  <c r="M121" i="10" s="1"/>
  <c r="N121" i="10" s="1"/>
  <c r="O121" i="10" s="1"/>
  <c r="P121" i="10" s="1"/>
  <c r="Q121" i="10" s="1"/>
  <c r="R121" i="10" s="1"/>
  <c r="J104" i="10"/>
  <c r="K104" i="10" s="1"/>
  <c r="L104" i="10" s="1"/>
  <c r="M104" i="10" s="1"/>
  <c r="N104" i="10" s="1"/>
  <c r="O104" i="10" s="1"/>
  <c r="P104" i="10" s="1"/>
  <c r="Q104" i="10" s="1"/>
  <c r="R104" i="10" s="1"/>
  <c r="J87" i="10"/>
  <c r="K87" i="10"/>
  <c r="L87" i="10" s="1"/>
  <c r="M87" i="10" s="1"/>
  <c r="N87" i="10" s="1"/>
  <c r="O87" i="10" s="1"/>
  <c r="P87" i="10" s="1"/>
  <c r="Q87" i="10" s="1"/>
  <c r="R87" i="10" s="1"/>
  <c r="I158" i="10"/>
  <c r="J70" i="10"/>
  <c r="K70" i="10" s="1"/>
  <c r="L70" i="10" s="1"/>
  <c r="M70" i="10" s="1"/>
  <c r="N70" i="10" s="1"/>
  <c r="O70" i="10" s="1"/>
  <c r="P70" i="10" s="1"/>
  <c r="Q70" i="10" s="1"/>
  <c r="R70" i="10" s="1"/>
  <c r="I151" i="10"/>
  <c r="I366" i="10" s="1"/>
  <c r="I160" i="10"/>
  <c r="I375" i="10" s="1"/>
  <c r="I162" i="10"/>
  <c r="J53" i="10"/>
  <c r="K53" i="10" s="1"/>
  <c r="L53" i="10" s="1"/>
  <c r="M53" i="10" s="1"/>
  <c r="N53" i="10" s="1"/>
  <c r="O53" i="10" s="1"/>
  <c r="P53" i="10" s="1"/>
  <c r="Q53" i="10" s="1"/>
  <c r="R53" i="10" s="1"/>
  <c r="I163" i="10"/>
  <c r="I378" i="10" s="1"/>
  <c r="J163" i="10"/>
  <c r="J36" i="10"/>
  <c r="I161" i="10"/>
  <c r="I376" i="10" s="1"/>
  <c r="I159" i="10"/>
  <c r="I374" i="10" s="1"/>
  <c r="I381" i="10" s="1"/>
  <c r="I17" i="12" s="1"/>
  <c r="J160" i="10"/>
  <c r="J158" i="10"/>
  <c r="J162" i="10"/>
  <c r="I154" i="10"/>
  <c r="I369" i="10" s="1"/>
  <c r="J151" i="10"/>
  <c r="I152" i="10"/>
  <c r="K151" i="10"/>
  <c r="J153" i="10"/>
  <c r="J368" i="10" s="1"/>
  <c r="J155" i="10"/>
  <c r="I292" i="10"/>
  <c r="I298" i="10" s="1"/>
  <c r="E333" i="10"/>
  <c r="E327" i="10"/>
  <c r="G347" i="10"/>
  <c r="G353" i="10" s="1"/>
  <c r="F361" i="10"/>
  <c r="D333" i="10"/>
  <c r="E361" i="10"/>
  <c r="D218" i="10"/>
  <c r="D184" i="10"/>
  <c r="D278" i="10"/>
  <c r="E221" i="10"/>
  <c r="E227" i="10" s="1"/>
  <c r="F221" i="10" s="1"/>
  <c r="F227" i="10" s="1"/>
  <c r="E80" i="10"/>
  <c r="E86" i="10" s="1"/>
  <c r="F80" i="10" s="1"/>
  <c r="F86" i="10" s="1"/>
  <c r="G80" i="10" s="1"/>
  <c r="G86" i="10" s="1"/>
  <c r="H80" i="10" s="1"/>
  <c r="H86" i="10" s="1"/>
  <c r="D201" i="10"/>
  <c r="D252" i="10"/>
  <c r="D269" i="10"/>
  <c r="F309" i="10"/>
  <c r="E323" i="10"/>
  <c r="F204" i="10"/>
  <c r="F210" i="10" s="1"/>
  <c r="E218" i="10"/>
  <c r="G170" i="10"/>
  <c r="G176" i="10" s="1"/>
  <c r="H170" i="10" s="1"/>
  <c r="H176" i="10" s="1"/>
  <c r="F184" i="10"/>
  <c r="F238" i="10"/>
  <c r="F244" i="10" s="1"/>
  <c r="E252" i="10"/>
  <c r="D306" i="10"/>
  <c r="E114" i="10"/>
  <c r="E120" i="10" s="1"/>
  <c r="F114" i="10" s="1"/>
  <c r="F120" i="10" s="1"/>
  <c r="G114" i="10" s="1"/>
  <c r="G120" i="10" s="1"/>
  <c r="H114" i="10" s="1"/>
  <c r="H120" i="10" s="1"/>
  <c r="D156" i="10"/>
  <c r="F255" i="10"/>
  <c r="D323" i="10"/>
  <c r="D341" i="10" s="1"/>
  <c r="F306" i="10"/>
  <c r="G306" i="10"/>
  <c r="E306" i="10"/>
  <c r="E184" i="10"/>
  <c r="F187" i="10"/>
  <c r="F193" i="10" s="1"/>
  <c r="E63" i="10"/>
  <c r="E69" i="10" s="1"/>
  <c r="E77" i="10" s="1"/>
  <c r="E97" i="10"/>
  <c r="E103" i="10" s="1"/>
  <c r="F97" i="10" s="1"/>
  <c r="F103" i="10" s="1"/>
  <c r="G97" i="10" s="1"/>
  <c r="G103" i="10" s="1"/>
  <c r="H97" i="10" s="1"/>
  <c r="H103" i="10" s="1"/>
  <c r="F131" i="10"/>
  <c r="F137" i="10" s="1"/>
  <c r="G131" i="10" s="1"/>
  <c r="G137" i="10" s="1"/>
  <c r="H131" i="10" s="1"/>
  <c r="H137" i="10" s="1"/>
  <c r="E145" i="10"/>
  <c r="D26" i="10"/>
  <c r="E46" i="10"/>
  <c r="E52" i="10" s="1"/>
  <c r="F46" i="10" s="1"/>
  <c r="F52" i="10" s="1"/>
  <c r="G46" i="10" s="1"/>
  <c r="G52" i="10" s="1"/>
  <c r="H46" i="10" s="1"/>
  <c r="H52" i="10" s="1"/>
  <c r="D145" i="10"/>
  <c r="G128" i="10"/>
  <c r="E29" i="10"/>
  <c r="E35" i="10" s="1"/>
  <c r="F12" i="10"/>
  <c r="E26" i="10"/>
  <c r="J49" i="11" l="1"/>
  <c r="D41" i="14"/>
  <c r="D43" i="14" s="1"/>
  <c r="J366" i="10"/>
  <c r="I373" i="10"/>
  <c r="I377" i="10"/>
  <c r="I367" i="10"/>
  <c r="J378" i="10"/>
  <c r="J370" i="10"/>
  <c r="I14" i="14"/>
  <c r="L31" i="12"/>
  <c r="L354" i="10"/>
  <c r="J337" i="10"/>
  <c r="K340" i="10"/>
  <c r="K339" i="10"/>
  <c r="K338" i="10"/>
  <c r="K336" i="10"/>
  <c r="K299" i="10"/>
  <c r="J334" i="10"/>
  <c r="K335" i="10"/>
  <c r="K337" i="10"/>
  <c r="J292" i="10"/>
  <c r="I306" i="10"/>
  <c r="K328" i="10"/>
  <c r="K366" i="10" s="1"/>
  <c r="L293" i="10"/>
  <c r="K330" i="10"/>
  <c r="K332" i="10"/>
  <c r="K331" i="10"/>
  <c r="K329" i="10"/>
  <c r="M252" i="10"/>
  <c r="J280" i="10"/>
  <c r="J373" i="10" s="1"/>
  <c r="J284" i="10"/>
  <c r="J377" i="10" s="1"/>
  <c r="K285" i="10"/>
  <c r="K283" i="10"/>
  <c r="K281" i="10"/>
  <c r="K177" i="10"/>
  <c r="J282" i="10"/>
  <c r="J375" i="10" s="1"/>
  <c r="K277" i="10"/>
  <c r="K275" i="10"/>
  <c r="K276" i="10"/>
  <c r="K274" i="10"/>
  <c r="L273" i="10"/>
  <c r="M171" i="10"/>
  <c r="K163" i="10"/>
  <c r="K36" i="10"/>
  <c r="L36" i="10" s="1"/>
  <c r="M36" i="10" s="1"/>
  <c r="K158" i="10"/>
  <c r="K162" i="10"/>
  <c r="K160" i="10"/>
  <c r="J161" i="10"/>
  <c r="J376" i="10" s="1"/>
  <c r="J159" i="10"/>
  <c r="J374" i="10" s="1"/>
  <c r="J381" i="10" s="1"/>
  <c r="J17" i="12" s="1"/>
  <c r="J157" i="10"/>
  <c r="K153" i="10"/>
  <c r="K368" i="10" s="1"/>
  <c r="J154" i="10"/>
  <c r="J369" i="10" s="1"/>
  <c r="J152" i="10"/>
  <c r="J367" i="10" s="1"/>
  <c r="K155" i="10"/>
  <c r="K370" i="10" s="1"/>
  <c r="L151" i="10"/>
  <c r="H184" i="10"/>
  <c r="I170" i="10"/>
  <c r="I176" i="10" s="1"/>
  <c r="H145" i="10"/>
  <c r="I131" i="10"/>
  <c r="I137" i="10" s="1"/>
  <c r="H128" i="10"/>
  <c r="I114" i="10"/>
  <c r="I120" i="10" s="1"/>
  <c r="H111" i="10"/>
  <c r="I97" i="10"/>
  <c r="I103" i="10" s="1"/>
  <c r="H94" i="10"/>
  <c r="I80" i="10"/>
  <c r="I86" i="10" s="1"/>
  <c r="H60" i="10"/>
  <c r="I46" i="10"/>
  <c r="I52" i="10" s="1"/>
  <c r="E341" i="10"/>
  <c r="F315" i="10"/>
  <c r="F327" i="10"/>
  <c r="H347" i="10"/>
  <c r="H353" i="10" s="1"/>
  <c r="G361" i="10"/>
  <c r="G94" i="10"/>
  <c r="G111" i="10"/>
  <c r="D286" i="10"/>
  <c r="D379" i="10" s="1"/>
  <c r="E278" i="10"/>
  <c r="E235" i="10"/>
  <c r="E286" i="10" s="1"/>
  <c r="D164" i="10"/>
  <c r="G145" i="10"/>
  <c r="E94" i="10"/>
  <c r="F111" i="10"/>
  <c r="E272" i="10"/>
  <c r="F94" i="10"/>
  <c r="E111" i="10"/>
  <c r="F128" i="10"/>
  <c r="E156" i="10"/>
  <c r="E371" i="10" s="1"/>
  <c r="E128" i="10"/>
  <c r="E150" i="10"/>
  <c r="G221" i="10"/>
  <c r="G227" i="10" s="1"/>
  <c r="F235" i="10"/>
  <c r="F18" i="10"/>
  <c r="F26" i="10" s="1"/>
  <c r="G184" i="10"/>
  <c r="G255" i="10"/>
  <c r="F261" i="10"/>
  <c r="F272" i="10"/>
  <c r="G238" i="10"/>
  <c r="G244" i="10" s="1"/>
  <c r="F252" i="10"/>
  <c r="G204" i="10"/>
  <c r="G210" i="10" s="1"/>
  <c r="F218" i="10"/>
  <c r="F63" i="10"/>
  <c r="F69" i="10" s="1"/>
  <c r="G63" i="10" s="1"/>
  <c r="G69" i="10" s="1"/>
  <c r="H63" i="10" s="1"/>
  <c r="H69" i="10" s="1"/>
  <c r="F201" i="10"/>
  <c r="G187" i="10"/>
  <c r="G193" i="10" s="1"/>
  <c r="F145" i="10"/>
  <c r="F60" i="10"/>
  <c r="E60" i="10"/>
  <c r="G60" i="10"/>
  <c r="F29" i="10"/>
  <c r="F35" i="10" s="1"/>
  <c r="E43" i="10"/>
  <c r="K49" i="11" l="1"/>
  <c r="J372" i="10"/>
  <c r="K378" i="10"/>
  <c r="K377" i="10"/>
  <c r="J14" i="14"/>
  <c r="M31" i="12"/>
  <c r="M354" i="10"/>
  <c r="L335" i="10"/>
  <c r="L339" i="10"/>
  <c r="L336" i="10"/>
  <c r="L338" i="10"/>
  <c r="L340" i="10"/>
  <c r="L337" i="10"/>
  <c r="L299" i="10"/>
  <c r="K334" i="10"/>
  <c r="L329" i="10"/>
  <c r="L331" i="10"/>
  <c r="L330" i="10"/>
  <c r="L332" i="10"/>
  <c r="M293" i="10"/>
  <c r="L328" i="10"/>
  <c r="L366" i="10" s="1"/>
  <c r="J298" i="10"/>
  <c r="K282" i="10"/>
  <c r="K375" i="10" s="1"/>
  <c r="K280" i="10"/>
  <c r="K373" i="10" s="1"/>
  <c r="L283" i="10"/>
  <c r="L177" i="10"/>
  <c r="K279" i="10"/>
  <c r="K284" i="10"/>
  <c r="L281" i="10"/>
  <c r="L285" i="10"/>
  <c r="L275" i="10"/>
  <c r="L274" i="10"/>
  <c r="L276" i="10"/>
  <c r="L277" i="10"/>
  <c r="N171" i="10"/>
  <c r="M273" i="10"/>
  <c r="J170" i="10"/>
  <c r="I278" i="10"/>
  <c r="I184" i="10"/>
  <c r="I286" i="10" s="1"/>
  <c r="I16" i="13" s="1"/>
  <c r="J131" i="10"/>
  <c r="J137" i="10" s="1"/>
  <c r="I145" i="10"/>
  <c r="J114" i="10"/>
  <c r="J120" i="10" s="1"/>
  <c r="I128" i="10"/>
  <c r="J97" i="10"/>
  <c r="J103" i="10" s="1"/>
  <c r="I111" i="10"/>
  <c r="J80" i="10"/>
  <c r="J86" i="10" s="1"/>
  <c r="I94" i="10"/>
  <c r="J46" i="10"/>
  <c r="J52" i="10" s="1"/>
  <c r="I60" i="10"/>
  <c r="L163" i="10"/>
  <c r="L378" i="10" s="1"/>
  <c r="K157" i="10"/>
  <c r="K161" i="10"/>
  <c r="K376" i="10" s="1"/>
  <c r="K159" i="10"/>
  <c r="K374" i="10" s="1"/>
  <c r="K381" i="10" s="1"/>
  <c r="K17" i="12" s="1"/>
  <c r="L160" i="10"/>
  <c r="L158" i="10"/>
  <c r="L162" i="10"/>
  <c r="M151" i="10"/>
  <c r="K152" i="10"/>
  <c r="K367" i="10" s="1"/>
  <c r="L153" i="10"/>
  <c r="L155" i="10"/>
  <c r="K154" i="10"/>
  <c r="K369" i="10" s="1"/>
  <c r="H361" i="10"/>
  <c r="I347" i="10"/>
  <c r="I353" i="10" s="1"/>
  <c r="H77" i="10"/>
  <c r="I63" i="10"/>
  <c r="I69" i="10" s="1"/>
  <c r="G309" i="10"/>
  <c r="F333" i="10"/>
  <c r="F323" i="10"/>
  <c r="F341" i="10" s="1"/>
  <c r="F77" i="10"/>
  <c r="G12" i="10"/>
  <c r="G77" i="10"/>
  <c r="E164" i="10"/>
  <c r="E379" i="10" s="1"/>
  <c r="H255" i="10"/>
  <c r="G261" i="10"/>
  <c r="G272" i="10"/>
  <c r="H238" i="10"/>
  <c r="H244" i="10" s="1"/>
  <c r="G252" i="10"/>
  <c r="H221" i="10"/>
  <c r="H227" i="10" s="1"/>
  <c r="G235" i="10"/>
  <c r="G18" i="10"/>
  <c r="H12" i="10" s="1"/>
  <c r="F150" i="10"/>
  <c r="F365" i="10" s="1"/>
  <c r="H204" i="10"/>
  <c r="H210" i="10" s="1"/>
  <c r="G218" i="10"/>
  <c r="F269" i="10"/>
  <c r="F286" i="10" s="1"/>
  <c r="F278" i="10"/>
  <c r="F156" i="10"/>
  <c r="F371" i="10" s="1"/>
  <c r="H187" i="10"/>
  <c r="H193" i="10" s="1"/>
  <c r="G201" i="10"/>
  <c r="G29" i="10"/>
  <c r="G35" i="10" s="1"/>
  <c r="F43" i="10"/>
  <c r="L49" i="11" l="1"/>
  <c r="K372" i="10"/>
  <c r="L368" i="10"/>
  <c r="L370" i="10"/>
  <c r="K14" i="14"/>
  <c r="N31" i="12"/>
  <c r="J347" i="10"/>
  <c r="J353" i="10" s="1"/>
  <c r="I361" i="10"/>
  <c r="N354" i="10"/>
  <c r="M337" i="10"/>
  <c r="M335" i="10"/>
  <c r="M339" i="10"/>
  <c r="M338" i="10"/>
  <c r="M299" i="10"/>
  <c r="L334" i="10"/>
  <c r="M340" i="10"/>
  <c r="M336" i="10"/>
  <c r="K292" i="10"/>
  <c r="J306" i="10"/>
  <c r="M332" i="10"/>
  <c r="M331" i="10"/>
  <c r="M329" i="10"/>
  <c r="N293" i="10"/>
  <c r="M328" i="10"/>
  <c r="M366" i="10" s="1"/>
  <c r="M330" i="10"/>
  <c r="M281" i="10"/>
  <c r="M177" i="10"/>
  <c r="L279" i="10"/>
  <c r="L280" i="10"/>
  <c r="L373" i="10" s="1"/>
  <c r="M285" i="10"/>
  <c r="L284" i="10"/>
  <c r="L377" i="10" s="1"/>
  <c r="M283" i="10"/>
  <c r="L282" i="10"/>
  <c r="L375" i="10" s="1"/>
  <c r="M277" i="10"/>
  <c r="M274" i="10"/>
  <c r="M276" i="10"/>
  <c r="M275" i="10"/>
  <c r="N273" i="10"/>
  <c r="O171" i="10"/>
  <c r="J176" i="10"/>
  <c r="J272" i="10"/>
  <c r="K131" i="10"/>
  <c r="K137" i="10" s="1"/>
  <c r="J145" i="10"/>
  <c r="K114" i="10"/>
  <c r="K120" i="10" s="1"/>
  <c r="J128" i="10"/>
  <c r="K97" i="10"/>
  <c r="K103" i="10" s="1"/>
  <c r="J111" i="10"/>
  <c r="K80" i="10"/>
  <c r="K86" i="10" s="1"/>
  <c r="J94" i="10"/>
  <c r="J63" i="10"/>
  <c r="J69" i="10" s="1"/>
  <c r="I77" i="10"/>
  <c r="K46" i="10"/>
  <c r="K52" i="10" s="1"/>
  <c r="J60" i="10"/>
  <c r="M163" i="10"/>
  <c r="N36" i="10"/>
  <c r="O36" i="10" s="1"/>
  <c r="M162" i="10"/>
  <c r="M160" i="10"/>
  <c r="L161" i="10"/>
  <c r="L376" i="10" s="1"/>
  <c r="M158" i="10"/>
  <c r="L159" i="10"/>
  <c r="L374" i="10" s="1"/>
  <c r="L381" i="10" s="1"/>
  <c r="L17" i="12" s="1"/>
  <c r="L157" i="10"/>
  <c r="L154" i="10"/>
  <c r="L369" i="10" s="1"/>
  <c r="M155" i="10"/>
  <c r="L152" i="10"/>
  <c r="L367" i="10" s="1"/>
  <c r="M153" i="10"/>
  <c r="M368" i="10" s="1"/>
  <c r="N151" i="10"/>
  <c r="H252" i="10"/>
  <c r="I238" i="10"/>
  <c r="I244" i="10" s="1"/>
  <c r="J238" i="10" s="1"/>
  <c r="J244" i="10" s="1"/>
  <c r="K238" i="10" s="1"/>
  <c r="K244" i="10" s="1"/>
  <c r="L238" i="10" s="1"/>
  <c r="L244" i="10" s="1"/>
  <c r="M238" i="10" s="1"/>
  <c r="M244" i="10" s="1"/>
  <c r="N238" i="10" s="1"/>
  <c r="N244" i="10" s="1"/>
  <c r="O238" i="10" s="1"/>
  <c r="O244" i="10" s="1"/>
  <c r="P238" i="10" s="1"/>
  <c r="P244" i="10" s="1"/>
  <c r="Q238" i="10" s="1"/>
  <c r="Q244" i="10" s="1"/>
  <c r="R238" i="10" s="1"/>
  <c r="R244" i="10" s="1"/>
  <c r="H235" i="10"/>
  <c r="I221" i="10"/>
  <c r="I227" i="10" s="1"/>
  <c r="J221" i="10" s="1"/>
  <c r="J227" i="10" s="1"/>
  <c r="K221" i="10" s="1"/>
  <c r="K227" i="10" s="1"/>
  <c r="L221" i="10" s="1"/>
  <c r="L227" i="10" s="1"/>
  <c r="M221" i="10" s="1"/>
  <c r="M227" i="10" s="1"/>
  <c r="N221" i="10" s="1"/>
  <c r="N227" i="10" s="1"/>
  <c r="O221" i="10" s="1"/>
  <c r="O227" i="10" s="1"/>
  <c r="P221" i="10" s="1"/>
  <c r="P227" i="10" s="1"/>
  <c r="Q221" i="10" s="1"/>
  <c r="Q227" i="10" s="1"/>
  <c r="R221" i="10" s="1"/>
  <c r="R227" i="10" s="1"/>
  <c r="H218" i="10"/>
  <c r="I204" i="10"/>
  <c r="I210" i="10" s="1"/>
  <c r="J204" i="10" s="1"/>
  <c r="J210" i="10" s="1"/>
  <c r="K204" i="10" s="1"/>
  <c r="K210" i="10" s="1"/>
  <c r="L204" i="10" s="1"/>
  <c r="L210" i="10" s="1"/>
  <c r="M204" i="10" s="1"/>
  <c r="M210" i="10" s="1"/>
  <c r="N204" i="10" s="1"/>
  <c r="N210" i="10" s="1"/>
  <c r="O204" i="10" s="1"/>
  <c r="O210" i="10" s="1"/>
  <c r="P204" i="10" s="1"/>
  <c r="P210" i="10" s="1"/>
  <c r="Q204" i="10" s="1"/>
  <c r="Q210" i="10" s="1"/>
  <c r="R204" i="10" s="1"/>
  <c r="R210" i="10" s="1"/>
  <c r="H201" i="10"/>
  <c r="I187" i="10"/>
  <c r="I193" i="10" s="1"/>
  <c r="J187" i="10" s="1"/>
  <c r="J193" i="10" s="1"/>
  <c r="K187" i="10" s="1"/>
  <c r="K193" i="10" s="1"/>
  <c r="L187" i="10" s="1"/>
  <c r="L193" i="10" s="1"/>
  <c r="M187" i="10" s="1"/>
  <c r="M193" i="10" s="1"/>
  <c r="N187" i="10" s="1"/>
  <c r="N193" i="10" s="1"/>
  <c r="O187" i="10" s="1"/>
  <c r="O193" i="10" s="1"/>
  <c r="P187" i="10" s="1"/>
  <c r="P193" i="10" s="1"/>
  <c r="Q187" i="10" s="1"/>
  <c r="Q193" i="10" s="1"/>
  <c r="R187" i="10" s="1"/>
  <c r="R193" i="10" s="1"/>
  <c r="F164" i="10"/>
  <c r="F379" i="10" s="1"/>
  <c r="G315" i="10"/>
  <c r="G327" i="10"/>
  <c r="G26" i="10"/>
  <c r="G156" i="10"/>
  <c r="G371" i="10" s="1"/>
  <c r="H272" i="10"/>
  <c r="H261" i="10"/>
  <c r="G150" i="10"/>
  <c r="G365" i="10" s="1"/>
  <c r="G269" i="10"/>
  <c r="G286" i="10" s="1"/>
  <c r="G278" i="10"/>
  <c r="H18" i="10"/>
  <c r="H29" i="10"/>
  <c r="H35" i="10" s="1"/>
  <c r="G43" i="10"/>
  <c r="M49" i="11" l="1"/>
  <c r="M378" i="10"/>
  <c r="L372" i="10"/>
  <c r="M370" i="10"/>
  <c r="L14" i="14"/>
  <c r="O31" i="12"/>
  <c r="K347" i="10"/>
  <c r="K353" i="10" s="1"/>
  <c r="J361" i="10"/>
  <c r="O354" i="10"/>
  <c r="N340" i="10"/>
  <c r="N335" i="10"/>
  <c r="N339" i="10"/>
  <c r="N337" i="10"/>
  <c r="N338" i="10"/>
  <c r="N336" i="10"/>
  <c r="N299" i="10"/>
  <c r="M334" i="10"/>
  <c r="N330" i="10"/>
  <c r="N329" i="10"/>
  <c r="N332" i="10"/>
  <c r="N331" i="10"/>
  <c r="N328" i="10"/>
  <c r="N366" i="10" s="1"/>
  <c r="O293" i="10"/>
  <c r="K298" i="10"/>
  <c r="N283" i="10"/>
  <c r="N285" i="10"/>
  <c r="M282" i="10"/>
  <c r="M375" i="10" s="1"/>
  <c r="M284" i="10"/>
  <c r="M377" i="10" s="1"/>
  <c r="M280" i="10"/>
  <c r="M373" i="10" s="1"/>
  <c r="N177" i="10"/>
  <c r="M279" i="10"/>
  <c r="N281" i="10"/>
  <c r="N274" i="10"/>
  <c r="N275" i="10"/>
  <c r="N276" i="10"/>
  <c r="N277" i="10"/>
  <c r="O273" i="10"/>
  <c r="P171" i="10"/>
  <c r="K170" i="10"/>
  <c r="J184" i="10"/>
  <c r="J286" i="10" s="1"/>
  <c r="J16" i="13" s="1"/>
  <c r="J278" i="10"/>
  <c r="L131" i="10"/>
  <c r="L137" i="10" s="1"/>
  <c r="K145" i="10"/>
  <c r="L114" i="10"/>
  <c r="L120" i="10" s="1"/>
  <c r="K128" i="10"/>
  <c r="L97" i="10"/>
  <c r="L103" i="10" s="1"/>
  <c r="K111" i="10"/>
  <c r="L80" i="10"/>
  <c r="L86" i="10" s="1"/>
  <c r="K94" i="10"/>
  <c r="K63" i="10"/>
  <c r="K69" i="10" s="1"/>
  <c r="J77" i="10"/>
  <c r="L46" i="10"/>
  <c r="L52" i="10" s="1"/>
  <c r="K60" i="10"/>
  <c r="N163" i="10"/>
  <c r="N378" i="10" s="1"/>
  <c r="M157" i="10"/>
  <c r="M161" i="10"/>
  <c r="M376" i="10" s="1"/>
  <c r="N158" i="10"/>
  <c r="N160" i="10"/>
  <c r="M159" i="10"/>
  <c r="M374" i="10" s="1"/>
  <c r="M381" i="10" s="1"/>
  <c r="M17" i="12" s="1"/>
  <c r="N162" i="10"/>
  <c r="N153" i="10"/>
  <c r="M154" i="10"/>
  <c r="M369" i="10" s="1"/>
  <c r="N155" i="10"/>
  <c r="I12" i="10"/>
  <c r="H26" i="10"/>
  <c r="O151" i="10"/>
  <c r="M152" i="10"/>
  <c r="M367" i="10" s="1"/>
  <c r="H43" i="10"/>
  <c r="H164" i="10" s="1"/>
  <c r="I29" i="10"/>
  <c r="I35" i="10" s="1"/>
  <c r="G333" i="10"/>
  <c r="H309" i="10"/>
  <c r="G323" i="10"/>
  <c r="G341" i="10" s="1"/>
  <c r="G164" i="10"/>
  <c r="G379" i="10" s="1"/>
  <c r="H269" i="10"/>
  <c r="H286" i="10" s="1"/>
  <c r="H278" i="10"/>
  <c r="H156" i="10"/>
  <c r="H150" i="10"/>
  <c r="N49" i="11" l="1"/>
  <c r="M372" i="10"/>
  <c r="N370" i="10"/>
  <c r="N368" i="10"/>
  <c r="M14" i="14"/>
  <c r="P31" i="12"/>
  <c r="L347" i="10"/>
  <c r="L353" i="10" s="1"/>
  <c r="K361" i="10"/>
  <c r="P354" i="10"/>
  <c r="O336" i="10"/>
  <c r="O335" i="10"/>
  <c r="O338" i="10"/>
  <c r="O340" i="10"/>
  <c r="O337" i="10"/>
  <c r="O299" i="10"/>
  <c r="N334" i="10"/>
  <c r="O339" i="10"/>
  <c r="L292" i="10"/>
  <c r="K306" i="10"/>
  <c r="O331" i="10"/>
  <c r="O329" i="10"/>
  <c r="P293" i="10"/>
  <c r="O328" i="10"/>
  <c r="O366" i="10" s="1"/>
  <c r="O332" i="10"/>
  <c r="O330" i="10"/>
  <c r="O285" i="10"/>
  <c r="O281" i="10"/>
  <c r="N280" i="10"/>
  <c r="N373" i="10" s="1"/>
  <c r="N282" i="10"/>
  <c r="N375" i="10" s="1"/>
  <c r="O283" i="10"/>
  <c r="N284" i="10"/>
  <c r="N377" i="10" s="1"/>
  <c r="O177" i="10"/>
  <c r="N279" i="10"/>
  <c r="O277" i="10"/>
  <c r="O275" i="10"/>
  <c r="O276" i="10"/>
  <c r="O274" i="10"/>
  <c r="P273" i="10"/>
  <c r="Q171" i="10"/>
  <c r="K176" i="10"/>
  <c r="K272" i="10"/>
  <c r="M131" i="10"/>
  <c r="M137" i="10" s="1"/>
  <c r="L145" i="10"/>
  <c r="M114" i="10"/>
  <c r="M120" i="10" s="1"/>
  <c r="L128" i="10"/>
  <c r="M97" i="10"/>
  <c r="M103" i="10" s="1"/>
  <c r="L111" i="10"/>
  <c r="M80" i="10"/>
  <c r="M86" i="10" s="1"/>
  <c r="L94" i="10"/>
  <c r="L63" i="10"/>
  <c r="L69" i="10" s="1"/>
  <c r="K77" i="10"/>
  <c r="M46" i="10"/>
  <c r="M52" i="10" s="1"/>
  <c r="L60" i="10"/>
  <c r="O163" i="10"/>
  <c r="P36" i="10"/>
  <c r="Q36" i="10" s="1"/>
  <c r="J29" i="10"/>
  <c r="J35" i="10" s="1"/>
  <c r="I43" i="10"/>
  <c r="O160" i="10"/>
  <c r="N159" i="10"/>
  <c r="N374" i="10" s="1"/>
  <c r="N381" i="10" s="1"/>
  <c r="N17" i="12" s="1"/>
  <c r="O162" i="10"/>
  <c r="N161" i="10"/>
  <c r="N376" i="10" s="1"/>
  <c r="O158" i="10"/>
  <c r="N157" i="10"/>
  <c r="O155" i="10"/>
  <c r="O153" i="10"/>
  <c r="O368" i="10" s="1"/>
  <c r="P151" i="10"/>
  <c r="N152" i="10"/>
  <c r="N367" i="10" s="1"/>
  <c r="N154" i="10"/>
  <c r="N369" i="10" s="1"/>
  <c r="I18" i="10"/>
  <c r="I150" i="10"/>
  <c r="I309" i="10"/>
  <c r="I315" i="10" s="1"/>
  <c r="H327" i="10"/>
  <c r="H365" i="10" s="1"/>
  <c r="O49" i="11" l="1"/>
  <c r="O378" i="10"/>
  <c r="N372" i="10"/>
  <c r="O375" i="10"/>
  <c r="O370" i="10"/>
  <c r="N14" i="14"/>
  <c r="Q31" i="12"/>
  <c r="M347" i="10"/>
  <c r="M353" i="10" s="1"/>
  <c r="L361" i="10"/>
  <c r="Q354" i="10"/>
  <c r="J309" i="10"/>
  <c r="I323" i="10"/>
  <c r="I341" i="10" s="1"/>
  <c r="I17" i="13" s="1"/>
  <c r="I333" i="10"/>
  <c r="P299" i="10"/>
  <c r="O334" i="10"/>
  <c r="P335" i="10"/>
  <c r="P340" i="10"/>
  <c r="P339" i="10"/>
  <c r="P337" i="10"/>
  <c r="P338" i="10"/>
  <c r="P336" i="10"/>
  <c r="Q293" i="10"/>
  <c r="P328" i="10"/>
  <c r="P366" i="10" s="1"/>
  <c r="P332" i="10"/>
  <c r="P330" i="10"/>
  <c r="P331" i="10"/>
  <c r="P329" i="10"/>
  <c r="L298" i="10"/>
  <c r="P281" i="10"/>
  <c r="O282" i="10"/>
  <c r="P283" i="10"/>
  <c r="P285" i="10"/>
  <c r="O284" i="10"/>
  <c r="O377" i="10" s="1"/>
  <c r="P177" i="10"/>
  <c r="O279" i="10"/>
  <c r="O280" i="10"/>
  <c r="O373" i="10" s="1"/>
  <c r="P274" i="10"/>
  <c r="P275" i="10"/>
  <c r="P276" i="10"/>
  <c r="P277" i="10"/>
  <c r="R171" i="10"/>
  <c r="R273" i="10" s="1"/>
  <c r="Q273" i="10"/>
  <c r="L170" i="10"/>
  <c r="K184" i="10"/>
  <c r="K286" i="10" s="1"/>
  <c r="K16" i="13" s="1"/>
  <c r="K278" i="10"/>
  <c r="N131" i="10"/>
  <c r="N137" i="10" s="1"/>
  <c r="M145" i="10"/>
  <c r="N114" i="10"/>
  <c r="N120" i="10" s="1"/>
  <c r="M128" i="10"/>
  <c r="N97" i="10"/>
  <c r="N103" i="10" s="1"/>
  <c r="M111" i="10"/>
  <c r="N80" i="10"/>
  <c r="N86" i="10" s="1"/>
  <c r="M94" i="10"/>
  <c r="M63" i="10"/>
  <c r="M69" i="10" s="1"/>
  <c r="L77" i="10"/>
  <c r="N46" i="10"/>
  <c r="N52" i="10" s="1"/>
  <c r="M60" i="10"/>
  <c r="P163" i="10"/>
  <c r="K29" i="10"/>
  <c r="K35" i="10" s="1"/>
  <c r="J43" i="10"/>
  <c r="O161" i="10"/>
  <c r="O376" i="10" s="1"/>
  <c r="P158" i="10"/>
  <c r="P162" i="10"/>
  <c r="P160" i="10"/>
  <c r="O157" i="10"/>
  <c r="O159" i="10"/>
  <c r="O374" i="10" s="1"/>
  <c r="O381" i="10" s="1"/>
  <c r="O17" i="12" s="1"/>
  <c r="O152" i="10"/>
  <c r="O367" i="10" s="1"/>
  <c r="P153" i="10"/>
  <c r="I156" i="10"/>
  <c r="I371" i="10" s="1"/>
  <c r="J12" i="10"/>
  <c r="I26" i="10"/>
  <c r="I164" i="10" s="1"/>
  <c r="O154" i="10"/>
  <c r="O369" i="10" s="1"/>
  <c r="R151" i="10"/>
  <c r="Q151" i="10"/>
  <c r="P155" i="10"/>
  <c r="H323" i="10"/>
  <c r="H341" i="10" s="1"/>
  <c r="H379" i="10" s="1"/>
  <c r="H333" i="10"/>
  <c r="H371" i="10" s="1"/>
  <c r="P49" i="11" l="1"/>
  <c r="P378" i="10"/>
  <c r="P368" i="10"/>
  <c r="P370" i="10"/>
  <c r="O372" i="10"/>
  <c r="P375" i="10"/>
  <c r="O14" i="14"/>
  <c r="I12" i="13"/>
  <c r="I379" i="10"/>
  <c r="I386" i="10" s="1"/>
  <c r="R31" i="12"/>
  <c r="N347" i="10"/>
  <c r="N353" i="10" s="1"/>
  <c r="M361" i="10"/>
  <c r="R354" i="10"/>
  <c r="J315" i="10"/>
  <c r="J327" i="10"/>
  <c r="R338" i="10"/>
  <c r="Q338" i="10"/>
  <c r="R339" i="10"/>
  <c r="Q339" i="10"/>
  <c r="R337" i="10"/>
  <c r="Q337" i="10"/>
  <c r="R335" i="10"/>
  <c r="Q335" i="10"/>
  <c r="R336" i="10"/>
  <c r="Q336" i="10"/>
  <c r="R340" i="10"/>
  <c r="Q340" i="10"/>
  <c r="Q299" i="10"/>
  <c r="P334" i="10"/>
  <c r="R331" i="10"/>
  <c r="Q331" i="10"/>
  <c r="M292" i="10"/>
  <c r="L306" i="10"/>
  <c r="R332" i="10"/>
  <c r="Q332" i="10"/>
  <c r="R329" i="10"/>
  <c r="Q329" i="10"/>
  <c r="R330" i="10"/>
  <c r="Q330" i="10"/>
  <c r="R293" i="10"/>
  <c r="R328" i="10" s="1"/>
  <c r="R366" i="10" s="1"/>
  <c r="Q328" i="10"/>
  <c r="Q366" i="10" s="1"/>
  <c r="R285" i="10"/>
  <c r="Q285" i="10"/>
  <c r="Q177" i="10"/>
  <c r="P279" i="10"/>
  <c r="P282" i="10"/>
  <c r="P280" i="10"/>
  <c r="P373" i="10" s="1"/>
  <c r="P284" i="10"/>
  <c r="P377" i="10" s="1"/>
  <c r="R283" i="10"/>
  <c r="Q283" i="10"/>
  <c r="R281" i="10"/>
  <c r="Q281" i="10"/>
  <c r="R274" i="10"/>
  <c r="Q274" i="10"/>
  <c r="R277" i="10"/>
  <c r="Q277" i="10"/>
  <c r="R275" i="10"/>
  <c r="Q275" i="10"/>
  <c r="R276" i="10"/>
  <c r="Q276" i="10"/>
  <c r="L176" i="10"/>
  <c r="L272" i="10"/>
  <c r="O131" i="10"/>
  <c r="O137" i="10" s="1"/>
  <c r="N145" i="10"/>
  <c r="O114" i="10"/>
  <c r="O120" i="10" s="1"/>
  <c r="N128" i="10"/>
  <c r="O97" i="10"/>
  <c r="O103" i="10" s="1"/>
  <c r="N111" i="10"/>
  <c r="O80" i="10"/>
  <c r="O86" i="10" s="1"/>
  <c r="N94" i="10"/>
  <c r="N63" i="10"/>
  <c r="N69" i="10" s="1"/>
  <c r="M77" i="10"/>
  <c r="O46" i="10"/>
  <c r="O52" i="10" s="1"/>
  <c r="N60" i="10"/>
  <c r="R163" i="10"/>
  <c r="R378" i="10" s="1"/>
  <c r="Q163" i="10"/>
  <c r="R36" i="10"/>
  <c r="L29" i="10"/>
  <c r="L35" i="10" s="1"/>
  <c r="K43" i="10"/>
  <c r="P159" i="10"/>
  <c r="P374" i="10" s="1"/>
  <c r="P381" i="10" s="1"/>
  <c r="P17" i="12" s="1"/>
  <c r="R160" i="10"/>
  <c r="Q160" i="10"/>
  <c r="R158" i="10"/>
  <c r="Q158" i="10"/>
  <c r="P157" i="10"/>
  <c r="P372" i="10" s="1"/>
  <c r="R162" i="10"/>
  <c r="Q162" i="10"/>
  <c r="P161" i="10"/>
  <c r="P376" i="10" s="1"/>
  <c r="R153" i="10"/>
  <c r="R368" i="10" s="1"/>
  <c r="Q153" i="10"/>
  <c r="P154" i="10"/>
  <c r="P369" i="10" s="1"/>
  <c r="J18" i="10"/>
  <c r="J150" i="10"/>
  <c r="R155" i="10"/>
  <c r="R370" i="10" s="1"/>
  <c r="Q155" i="10"/>
  <c r="P152" i="10"/>
  <c r="P367" i="10" s="1"/>
  <c r="Q49" i="11" l="1"/>
  <c r="Q378" i="10"/>
  <c r="J365" i="10"/>
  <c r="Q368" i="10"/>
  <c r="Q370" i="10"/>
  <c r="P14" i="14"/>
  <c r="O347" i="10"/>
  <c r="O353" i="10" s="1"/>
  <c r="N361" i="10"/>
  <c r="K309" i="10"/>
  <c r="J323" i="10"/>
  <c r="J341" i="10" s="1"/>
  <c r="J17" i="13" s="1"/>
  <c r="J333" i="10"/>
  <c r="R299" i="10"/>
  <c r="R334" i="10" s="1"/>
  <c r="Q334" i="10"/>
  <c r="M298" i="10"/>
  <c r="Q284" i="10"/>
  <c r="Q377" i="10" s="1"/>
  <c r="R284" i="10"/>
  <c r="R377" i="10" s="1"/>
  <c r="Q282" i="10"/>
  <c r="Q375" i="10" s="1"/>
  <c r="R282" i="10"/>
  <c r="R375" i="10" s="1"/>
  <c r="Q280" i="10"/>
  <c r="Q373" i="10" s="1"/>
  <c r="R280" i="10"/>
  <c r="R373" i="10" s="1"/>
  <c r="R177" i="10"/>
  <c r="R279" i="10" s="1"/>
  <c r="Q279" i="10"/>
  <c r="M170" i="10"/>
  <c r="L184" i="10"/>
  <c r="L286" i="10" s="1"/>
  <c r="L16" i="13" s="1"/>
  <c r="L278" i="10"/>
  <c r="P131" i="10"/>
  <c r="P137" i="10" s="1"/>
  <c r="O145" i="10"/>
  <c r="P114" i="10"/>
  <c r="P120" i="10" s="1"/>
  <c r="O128" i="10"/>
  <c r="P97" i="10"/>
  <c r="P103" i="10" s="1"/>
  <c r="O111" i="10"/>
  <c r="P80" i="10"/>
  <c r="P86" i="10" s="1"/>
  <c r="O94" i="10"/>
  <c r="O63" i="10"/>
  <c r="O69" i="10" s="1"/>
  <c r="N77" i="10"/>
  <c r="P46" i="10"/>
  <c r="P52" i="10" s="1"/>
  <c r="O60" i="10"/>
  <c r="M29" i="10"/>
  <c r="M35" i="10" s="1"/>
  <c r="L43" i="10"/>
  <c r="R157" i="10"/>
  <c r="Q157" i="10"/>
  <c r="Q159" i="10"/>
  <c r="Q374" i="10" s="1"/>
  <c r="Q381" i="10" s="1"/>
  <c r="Q17" i="12" s="1"/>
  <c r="R159" i="10"/>
  <c r="R374" i="10" s="1"/>
  <c r="R381" i="10" s="1"/>
  <c r="R17" i="12" s="1"/>
  <c r="Q161" i="10"/>
  <c r="Q376" i="10" s="1"/>
  <c r="R161" i="10"/>
  <c r="R376" i="10" s="1"/>
  <c r="Q154" i="10"/>
  <c r="Q369" i="10" s="1"/>
  <c r="R154" i="10"/>
  <c r="R369" i="10" s="1"/>
  <c r="Q152" i="10"/>
  <c r="Q367" i="10" s="1"/>
  <c r="R152" i="10"/>
  <c r="R367" i="10" s="1"/>
  <c r="K12" i="10"/>
  <c r="J156" i="10"/>
  <c r="J371" i="10" s="1"/>
  <c r="J26" i="10"/>
  <c r="J164" i="10" s="1"/>
  <c r="R49" i="11" l="1"/>
  <c r="Q372" i="10"/>
  <c r="R372" i="10"/>
  <c r="R14" i="14"/>
  <c r="Q14" i="14"/>
  <c r="J379" i="10"/>
  <c r="J386" i="10" s="1"/>
  <c r="J12" i="13"/>
  <c r="P347" i="10"/>
  <c r="P353" i="10" s="1"/>
  <c r="O361" i="10"/>
  <c r="K315" i="10"/>
  <c r="K327" i="10"/>
  <c r="N292" i="10"/>
  <c r="M306" i="10"/>
  <c r="M176" i="10"/>
  <c r="M272" i="10"/>
  <c r="Q131" i="10"/>
  <c r="Q137" i="10" s="1"/>
  <c r="P145" i="10"/>
  <c r="Q114" i="10"/>
  <c r="Q120" i="10" s="1"/>
  <c r="P128" i="10"/>
  <c r="Q97" i="10"/>
  <c r="Q103" i="10" s="1"/>
  <c r="P111" i="10"/>
  <c r="Q80" i="10"/>
  <c r="Q86" i="10" s="1"/>
  <c r="P94" i="10"/>
  <c r="P63" i="10"/>
  <c r="P69" i="10" s="1"/>
  <c r="O77" i="10"/>
  <c r="Q46" i="10"/>
  <c r="Q52" i="10" s="1"/>
  <c r="P60" i="10"/>
  <c r="N29" i="10"/>
  <c r="N35" i="10" s="1"/>
  <c r="M43" i="10"/>
  <c r="K18" i="10"/>
  <c r="K150" i="10"/>
  <c r="K365" i="10" s="1"/>
  <c r="Q347" i="10" l="1"/>
  <c r="Q353" i="10" s="1"/>
  <c r="P361" i="10"/>
  <c r="L309" i="10"/>
  <c r="K323" i="10"/>
  <c r="K341" i="10" s="1"/>
  <c r="K17" i="13" s="1"/>
  <c r="K333" i="10"/>
  <c r="N298" i="10"/>
  <c r="N170" i="10"/>
  <c r="M278" i="10"/>
  <c r="M184" i="10"/>
  <c r="M286" i="10" s="1"/>
  <c r="M16" i="13" s="1"/>
  <c r="R131" i="10"/>
  <c r="R137" i="10" s="1"/>
  <c r="R145" i="10" s="1"/>
  <c r="Q145" i="10"/>
  <c r="R114" i="10"/>
  <c r="R120" i="10" s="1"/>
  <c r="R128" i="10" s="1"/>
  <c r="Q128" i="10"/>
  <c r="R97" i="10"/>
  <c r="R103" i="10" s="1"/>
  <c r="R111" i="10" s="1"/>
  <c r="Q111" i="10"/>
  <c r="R80" i="10"/>
  <c r="R86" i="10" s="1"/>
  <c r="R94" i="10" s="1"/>
  <c r="Q94" i="10"/>
  <c r="Q63" i="10"/>
  <c r="Q69" i="10" s="1"/>
  <c r="P77" i="10"/>
  <c r="R46" i="10"/>
  <c r="R52" i="10" s="1"/>
  <c r="R60" i="10" s="1"/>
  <c r="Q60" i="10"/>
  <c r="O29" i="10"/>
  <c r="O35" i="10" s="1"/>
  <c r="N43" i="10"/>
  <c r="K156" i="10"/>
  <c r="K26" i="10"/>
  <c r="K164" i="10" s="1"/>
  <c r="L12" i="10"/>
  <c r="K371" i="10" l="1"/>
  <c r="K12" i="13"/>
  <c r="K379" i="10"/>
  <c r="K386" i="10" s="1"/>
  <c r="R347" i="10"/>
  <c r="R353" i="10" s="1"/>
  <c r="R361" i="10" s="1"/>
  <c r="Q361" i="10"/>
  <c r="L315" i="10"/>
  <c r="L327" i="10"/>
  <c r="O292" i="10"/>
  <c r="N306" i="10"/>
  <c r="N176" i="10"/>
  <c r="N272" i="10"/>
  <c r="R63" i="10"/>
  <c r="R69" i="10" s="1"/>
  <c r="R77" i="10" s="1"/>
  <c r="Q77" i="10"/>
  <c r="P29" i="10"/>
  <c r="P35" i="10" s="1"/>
  <c r="O43" i="10"/>
  <c r="L18" i="10"/>
  <c r="L150" i="10"/>
  <c r="L365" i="10" l="1"/>
  <c r="M309" i="10"/>
  <c r="L323" i="10"/>
  <c r="L341" i="10" s="1"/>
  <c r="L17" i="13" s="1"/>
  <c r="L333" i="10"/>
  <c r="O298" i="10"/>
  <c r="O170" i="10"/>
  <c r="N184" i="10"/>
  <c r="N286" i="10" s="1"/>
  <c r="N16" i="13" s="1"/>
  <c r="N278" i="10"/>
  <c r="Q29" i="10"/>
  <c r="Q35" i="10" s="1"/>
  <c r="P43" i="10"/>
  <c r="L156" i="10"/>
  <c r="L26" i="10"/>
  <c r="L164" i="10" s="1"/>
  <c r="M12" i="10"/>
  <c r="L371" i="10" l="1"/>
  <c r="L379" i="10"/>
  <c r="L386" i="10" s="1"/>
  <c r="L12" i="13"/>
  <c r="M315" i="10"/>
  <c r="M327" i="10"/>
  <c r="P292" i="10"/>
  <c r="O306" i="10"/>
  <c r="O176" i="10"/>
  <c r="O272" i="10"/>
  <c r="R29" i="10"/>
  <c r="R35" i="10" s="1"/>
  <c r="R43" i="10" s="1"/>
  <c r="Q43" i="10"/>
  <c r="M18" i="10"/>
  <c r="M150" i="10"/>
  <c r="M365" i="10" s="1"/>
  <c r="N309" i="10" l="1"/>
  <c r="M323" i="10"/>
  <c r="M341" i="10" s="1"/>
  <c r="M17" i="13" s="1"/>
  <c r="M333" i="10"/>
  <c r="P298" i="10"/>
  <c r="P170" i="10"/>
  <c r="O184" i="10"/>
  <c r="O286" i="10" s="1"/>
  <c r="O16" i="13" s="1"/>
  <c r="O278" i="10"/>
  <c r="N12" i="10"/>
  <c r="M26" i="10"/>
  <c r="M164" i="10" s="1"/>
  <c r="M156" i="10"/>
  <c r="M371" i="10" l="1"/>
  <c r="M12" i="13"/>
  <c r="M379" i="10"/>
  <c r="M386" i="10" s="1"/>
  <c r="N315" i="10"/>
  <c r="N327" i="10"/>
  <c r="Q292" i="10"/>
  <c r="P306" i="10"/>
  <c r="P176" i="10"/>
  <c r="P272" i="10"/>
  <c r="N18" i="10"/>
  <c r="N150" i="10"/>
  <c r="N365" i="10" s="1"/>
  <c r="O309" i="10" l="1"/>
  <c r="N323" i="10"/>
  <c r="N341" i="10" s="1"/>
  <c r="N17" i="13" s="1"/>
  <c r="N333" i="10"/>
  <c r="Q298" i="10"/>
  <c r="Q170" i="10"/>
  <c r="P184" i="10"/>
  <c r="P286" i="10" s="1"/>
  <c r="P16" i="13" s="1"/>
  <c r="P278" i="10"/>
  <c r="N26" i="10"/>
  <c r="N164" i="10" s="1"/>
  <c r="N156" i="10"/>
  <c r="O12" i="10"/>
  <c r="N371" i="10" l="1"/>
  <c r="N379" i="10"/>
  <c r="N386" i="10" s="1"/>
  <c r="N12" i="13"/>
  <c r="O315" i="10"/>
  <c r="O327" i="10"/>
  <c r="R292" i="10"/>
  <c r="Q306" i="10"/>
  <c r="Q176" i="10"/>
  <c r="Q272" i="10"/>
  <c r="O18" i="10"/>
  <c r="O150" i="10"/>
  <c r="O365" i="10" s="1"/>
  <c r="P309" i="10" l="1"/>
  <c r="O323" i="10"/>
  <c r="O341" i="10" s="1"/>
  <c r="O17" i="13" s="1"/>
  <c r="O333" i="10"/>
  <c r="R298" i="10"/>
  <c r="R170" i="10"/>
  <c r="Q278" i="10"/>
  <c r="Q184" i="10"/>
  <c r="Q286" i="10" s="1"/>
  <c r="Q16" i="13" s="1"/>
  <c r="O156" i="10"/>
  <c r="O371" i="10" s="1"/>
  <c r="O26" i="10"/>
  <c r="O164" i="10" s="1"/>
  <c r="P12" i="10"/>
  <c r="O12" i="13" l="1"/>
  <c r="O379" i="10"/>
  <c r="O386" i="10" s="1"/>
  <c r="P315" i="10"/>
  <c r="P327" i="10"/>
  <c r="R306" i="10"/>
  <c r="R176" i="10"/>
  <c r="R272" i="10"/>
  <c r="P150" i="10"/>
  <c r="P365" i="10" s="1"/>
  <c r="P18" i="10"/>
  <c r="Q309" i="10" l="1"/>
  <c r="P323" i="10"/>
  <c r="P341" i="10" s="1"/>
  <c r="P17" i="13" s="1"/>
  <c r="P333" i="10"/>
  <c r="R184" i="10"/>
  <c r="R286" i="10" s="1"/>
  <c r="R16" i="13" s="1"/>
  <c r="R278" i="10"/>
  <c r="P156" i="10"/>
  <c r="P26" i="10"/>
  <c r="P164" i="10" s="1"/>
  <c r="Q12" i="10"/>
  <c r="P371" i="10" l="1"/>
  <c r="P379" i="10"/>
  <c r="P386" i="10" s="1"/>
  <c r="P12" i="13"/>
  <c r="Q315" i="10"/>
  <c r="Q327" i="10"/>
  <c r="Q150" i="10"/>
  <c r="Q365" i="10" s="1"/>
  <c r="Q18" i="10"/>
  <c r="R309" i="10" l="1"/>
  <c r="Q323" i="10"/>
  <c r="Q341" i="10" s="1"/>
  <c r="Q17" i="13" s="1"/>
  <c r="Q333" i="10"/>
  <c r="Q26" i="10"/>
  <c r="Q164" i="10" s="1"/>
  <c r="Q156" i="10"/>
  <c r="R12" i="10"/>
  <c r="Q371" i="10" l="1"/>
  <c r="Q12" i="13"/>
  <c r="Q379" i="10"/>
  <c r="Q386" i="10" s="1"/>
  <c r="R315" i="10"/>
  <c r="R327" i="10"/>
  <c r="R18" i="10"/>
  <c r="R150" i="10"/>
  <c r="R365" i="10" s="1"/>
  <c r="R323" i="10" l="1"/>
  <c r="R341" i="10" s="1"/>
  <c r="R17" i="13" s="1"/>
  <c r="R333" i="10"/>
  <c r="R26" i="10"/>
  <c r="R164" i="10" s="1"/>
  <c r="R156" i="10"/>
  <c r="R371" i="10" l="1"/>
  <c r="R379" i="10"/>
  <c r="R386" i="10" s="1"/>
  <c r="R12" i="13"/>
  <c r="E9" i="9" l="1"/>
  <c r="H14" i="9"/>
  <c r="H66" i="13" s="1"/>
  <c r="H71" i="13" s="1"/>
  <c r="H73" i="13" s="1"/>
  <c r="H75" i="13" s="1"/>
  <c r="G14" i="9"/>
  <c r="G66" i="13" s="1"/>
  <c r="G71" i="13" s="1"/>
  <c r="G73" i="13" s="1"/>
  <c r="G75" i="13" s="1"/>
  <c r="F14" i="9"/>
  <c r="F66" i="13" s="1"/>
  <c r="F71" i="13" s="1"/>
  <c r="F73" i="13" s="1"/>
  <c r="F75" i="13" s="1"/>
  <c r="E14" i="9"/>
  <c r="E66" i="13" s="1"/>
  <c r="E71" i="13" s="1"/>
  <c r="E73" i="13" s="1"/>
  <c r="E75" i="13" s="1"/>
  <c r="H13" i="9"/>
  <c r="G13" i="9"/>
  <c r="G31" i="13" s="1"/>
  <c r="F13" i="9"/>
  <c r="F31" i="13" s="1"/>
  <c r="E13" i="9"/>
  <c r="E31" i="13" s="1"/>
  <c r="H12" i="9"/>
  <c r="G12" i="9"/>
  <c r="G27" i="13" s="1"/>
  <c r="G41" i="13" s="1"/>
  <c r="G43" i="13" s="1"/>
  <c r="F12" i="9"/>
  <c r="F27" i="13" s="1"/>
  <c r="F41" i="13" s="1"/>
  <c r="F43" i="13" s="1"/>
  <c r="E12" i="9"/>
  <c r="E27" i="13" s="1"/>
  <c r="D14" i="9"/>
  <c r="D66" i="13" s="1"/>
  <c r="D71" i="13" s="1"/>
  <c r="D73" i="13" s="1"/>
  <c r="D75" i="13" s="1"/>
  <c r="D13" i="9"/>
  <c r="D31" i="13" s="1"/>
  <c r="D12" i="9"/>
  <c r="D27" i="13" s="1"/>
  <c r="E7" i="9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K36" i="7"/>
  <c r="L36" i="7" s="1"/>
  <c r="M36" i="7" s="1"/>
  <c r="N36" i="7" s="1"/>
  <c r="O36" i="7" s="1"/>
  <c r="P36" i="7" s="1"/>
  <c r="Q36" i="7" s="1"/>
  <c r="R36" i="7" s="1"/>
  <c r="J36" i="7"/>
  <c r="I36" i="7"/>
  <c r="H36" i="7"/>
  <c r="G36" i="7"/>
  <c r="F36" i="7"/>
  <c r="E36" i="7"/>
  <c r="D36" i="7"/>
  <c r="I34" i="7"/>
  <c r="C27" i="17" s="1"/>
  <c r="C29" i="17" s="1"/>
  <c r="H33" i="7"/>
  <c r="G33" i="7"/>
  <c r="F33" i="7"/>
  <c r="E33" i="7"/>
  <c r="D33" i="7"/>
  <c r="I31" i="7"/>
  <c r="J31" i="7" s="1"/>
  <c r="I29" i="7"/>
  <c r="I27" i="7"/>
  <c r="J27" i="7" s="1"/>
  <c r="H31" i="7"/>
  <c r="G31" i="7"/>
  <c r="F31" i="7"/>
  <c r="E31" i="7"/>
  <c r="D31" i="7"/>
  <c r="H29" i="7"/>
  <c r="G29" i="7"/>
  <c r="F29" i="7"/>
  <c r="E29" i="7"/>
  <c r="H27" i="7"/>
  <c r="G27" i="7"/>
  <c r="F27" i="7"/>
  <c r="E27" i="7"/>
  <c r="D29" i="7"/>
  <c r="D27" i="7"/>
  <c r="H30" i="7"/>
  <c r="G30" i="7"/>
  <c r="F30" i="7"/>
  <c r="E30" i="7"/>
  <c r="H28" i="7"/>
  <c r="G28" i="7"/>
  <c r="F28" i="7"/>
  <c r="E28" i="7"/>
  <c r="H26" i="7"/>
  <c r="G26" i="7"/>
  <c r="F26" i="7"/>
  <c r="E26" i="7"/>
  <c r="D30" i="7"/>
  <c r="D28" i="7"/>
  <c r="D26" i="7"/>
  <c r="H17" i="7"/>
  <c r="D17" i="7"/>
  <c r="H16" i="7"/>
  <c r="G16" i="7"/>
  <c r="F16" i="7"/>
  <c r="E16" i="7"/>
  <c r="E17" i="7" s="1"/>
  <c r="H14" i="7"/>
  <c r="H15" i="7" s="1"/>
  <c r="G14" i="7"/>
  <c r="F14" i="7"/>
  <c r="E14" i="7"/>
  <c r="E15" i="7" s="1"/>
  <c r="D16" i="7"/>
  <c r="D14" i="7"/>
  <c r="H10" i="7"/>
  <c r="G10" i="7"/>
  <c r="F10" i="7"/>
  <c r="E10" i="7"/>
  <c r="D10" i="7"/>
  <c r="E7" i="7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I20" i="6"/>
  <c r="I17" i="6"/>
  <c r="C7" i="8"/>
  <c r="J28" i="6"/>
  <c r="K28" i="6" s="1"/>
  <c r="L28" i="6" s="1"/>
  <c r="M28" i="6" s="1"/>
  <c r="N28" i="6" s="1"/>
  <c r="O28" i="6" s="1"/>
  <c r="P28" i="6" s="1"/>
  <c r="Q28" i="6" s="1"/>
  <c r="R28" i="6" s="1"/>
  <c r="J27" i="6"/>
  <c r="K27" i="6" s="1"/>
  <c r="L27" i="6" s="1"/>
  <c r="M27" i="6" s="1"/>
  <c r="N27" i="6" s="1"/>
  <c r="O27" i="6" s="1"/>
  <c r="P27" i="6" s="1"/>
  <c r="Q27" i="6" s="1"/>
  <c r="R27" i="6" s="1"/>
  <c r="I28" i="6"/>
  <c r="I27" i="6"/>
  <c r="J26" i="6"/>
  <c r="K26" i="6" s="1"/>
  <c r="L26" i="6" s="1"/>
  <c r="M26" i="6" s="1"/>
  <c r="N26" i="6" s="1"/>
  <c r="O26" i="6" s="1"/>
  <c r="P26" i="6" s="1"/>
  <c r="Q26" i="6" s="1"/>
  <c r="R26" i="6" s="1"/>
  <c r="I26" i="6"/>
  <c r="C28" i="6"/>
  <c r="C27" i="6"/>
  <c r="C26" i="6"/>
  <c r="K25" i="6"/>
  <c r="L25" i="6" s="1"/>
  <c r="M25" i="6" s="1"/>
  <c r="N25" i="6" s="1"/>
  <c r="O25" i="6" s="1"/>
  <c r="P25" i="6" s="1"/>
  <c r="Q25" i="6" s="1"/>
  <c r="R25" i="6" s="1"/>
  <c r="J25" i="6"/>
  <c r="C14" i="8" l="1"/>
  <c r="I12" i="6" a="1"/>
  <c r="J12" i="6" s="1"/>
  <c r="F77" i="13"/>
  <c r="F78" i="13"/>
  <c r="G78" i="13"/>
  <c r="G77" i="13"/>
  <c r="J34" i="7"/>
  <c r="K34" i="7" s="1"/>
  <c r="L34" i="7" s="1"/>
  <c r="M34" i="7" s="1"/>
  <c r="N34" i="7" s="1"/>
  <c r="O34" i="7" s="1"/>
  <c r="P34" i="7" s="1"/>
  <c r="Q34" i="7" s="1"/>
  <c r="R34" i="7" s="1"/>
  <c r="H27" i="13"/>
  <c r="H31" i="13"/>
  <c r="F15" i="9"/>
  <c r="E41" i="13"/>
  <c r="E43" i="13" s="1"/>
  <c r="D19" i="9"/>
  <c r="G15" i="9"/>
  <c r="E19" i="9"/>
  <c r="D15" i="9"/>
  <c r="H15" i="9"/>
  <c r="D20" i="9"/>
  <c r="D41" i="13"/>
  <c r="D43" i="13" s="1"/>
  <c r="D77" i="13" s="1"/>
  <c r="E15" i="9"/>
  <c r="E21" i="9"/>
  <c r="D21" i="9"/>
  <c r="F9" i="9"/>
  <c r="E20" i="9"/>
  <c r="K31" i="7"/>
  <c r="J29" i="7"/>
  <c r="K27" i="7"/>
  <c r="F17" i="7"/>
  <c r="I17" i="7" s="1"/>
  <c r="E19" i="7"/>
  <c r="E21" i="7" s="1"/>
  <c r="E23" i="7" s="1"/>
  <c r="D15" i="7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G15" i="7"/>
  <c r="G17" i="7"/>
  <c r="F15" i="7"/>
  <c r="D21" i="7"/>
  <c r="D23" i="7" s="1"/>
  <c r="D19" i="7"/>
  <c r="H19" i="7"/>
  <c r="H21" i="7" s="1"/>
  <c r="H23" i="7" s="1"/>
  <c r="F21" i="7"/>
  <c r="F23" i="7" s="1"/>
  <c r="F19" i="7"/>
  <c r="G19" i="7"/>
  <c r="G21" i="7" s="1"/>
  <c r="G23" i="7" s="1"/>
  <c r="K12" i="6" l="1"/>
  <c r="O12" i="6"/>
  <c r="L12" i="6"/>
  <c r="P12" i="6"/>
  <c r="N12" i="6"/>
  <c r="Q12" i="6"/>
  <c r="M12" i="6"/>
  <c r="R12" i="6"/>
  <c r="I12" i="6"/>
  <c r="I11" i="6" s="1"/>
  <c r="I10" i="12" s="1"/>
  <c r="I48" i="11"/>
  <c r="I58" i="13" s="1"/>
  <c r="D78" i="13"/>
  <c r="E77" i="13"/>
  <c r="E78" i="13"/>
  <c r="H41" i="13"/>
  <c r="H43" i="13" s="1"/>
  <c r="E22" i="9"/>
  <c r="D22" i="9"/>
  <c r="I62" i="11"/>
  <c r="I69" i="13" s="1"/>
  <c r="I58" i="11"/>
  <c r="I67" i="13" s="1"/>
  <c r="I44" i="11"/>
  <c r="I56" i="13" s="1"/>
  <c r="I32" i="11"/>
  <c r="I38" i="13" s="1"/>
  <c r="I50" i="11"/>
  <c r="I59" i="13" s="1"/>
  <c r="I30" i="11"/>
  <c r="I37" i="13" s="1"/>
  <c r="I28" i="11"/>
  <c r="I36" i="13" s="1"/>
  <c r="I18" i="11"/>
  <c r="I22" i="13" s="1"/>
  <c r="I16" i="11"/>
  <c r="I21" i="13" s="1"/>
  <c r="I14" i="6"/>
  <c r="I10" i="7"/>
  <c r="G9" i="9"/>
  <c r="F21" i="9"/>
  <c r="F20" i="9"/>
  <c r="F19" i="9"/>
  <c r="L31" i="7"/>
  <c r="K29" i="7"/>
  <c r="L27" i="7"/>
  <c r="J17" i="7"/>
  <c r="I13" i="6" l="1"/>
  <c r="J13" i="6" s="1"/>
  <c r="I26" i="11"/>
  <c r="I35" i="13" s="1"/>
  <c r="I12" i="11"/>
  <c r="I19" i="13" s="1"/>
  <c r="I56" i="11"/>
  <c r="I65" i="13" s="1"/>
  <c r="I54" i="11"/>
  <c r="I64" i="13" s="1"/>
  <c r="I16" i="6"/>
  <c r="I21" i="12" s="1"/>
  <c r="I26" i="14" s="1"/>
  <c r="I29" i="14" s="1"/>
  <c r="I46" i="11"/>
  <c r="I57" i="13" s="1"/>
  <c r="I20" i="11"/>
  <c r="I23" i="13" s="1"/>
  <c r="I14" i="11"/>
  <c r="I20" i="13" s="1"/>
  <c r="I64" i="11"/>
  <c r="I70" i="13" s="1"/>
  <c r="I19" i="6"/>
  <c r="I26" i="12" s="1"/>
  <c r="J11" i="6"/>
  <c r="J10" i="12" s="1"/>
  <c r="I34" i="11"/>
  <c r="I39" i="13" s="1"/>
  <c r="I36" i="11"/>
  <c r="I40" i="13" s="1"/>
  <c r="I42" i="11"/>
  <c r="I55" i="13" s="1"/>
  <c r="I24" i="11"/>
  <c r="I29" i="13" s="1"/>
  <c r="I60" i="11"/>
  <c r="I68" i="13" s="1"/>
  <c r="I16" i="7"/>
  <c r="I49" i="18"/>
  <c r="H77" i="13"/>
  <c r="H78" i="13"/>
  <c r="I24" i="13"/>
  <c r="F22" i="9"/>
  <c r="I14" i="7"/>
  <c r="I27" i="9"/>
  <c r="I25" i="9"/>
  <c r="I29" i="9"/>
  <c r="I26" i="7"/>
  <c r="I28" i="7"/>
  <c r="I30" i="7"/>
  <c r="I22" i="12" s="1"/>
  <c r="J44" i="11"/>
  <c r="J56" i="13" s="1"/>
  <c r="J24" i="11"/>
  <c r="J29" i="13" s="1"/>
  <c r="J60" i="11"/>
  <c r="J68" i="13" s="1"/>
  <c r="J42" i="11"/>
  <c r="J20" i="11"/>
  <c r="J23" i="13" s="1"/>
  <c r="K11" i="6"/>
  <c r="H9" i="9"/>
  <c r="G19" i="9"/>
  <c r="G21" i="9"/>
  <c r="G20" i="9"/>
  <c r="M31" i="7"/>
  <c r="L29" i="7"/>
  <c r="M27" i="7"/>
  <c r="K17" i="7"/>
  <c r="I19" i="7" l="1"/>
  <c r="I11" i="18" s="1"/>
  <c r="J10" i="7"/>
  <c r="J30" i="7" s="1"/>
  <c r="J22" i="12" s="1"/>
  <c r="J26" i="11"/>
  <c r="J35" i="13" s="1"/>
  <c r="J46" i="11"/>
  <c r="J57" i="13" s="1"/>
  <c r="J64" i="11"/>
  <c r="J70" i="13" s="1"/>
  <c r="J28" i="11"/>
  <c r="J36" i="13" s="1"/>
  <c r="J54" i="11"/>
  <c r="J64" i="13" s="1"/>
  <c r="J12" i="11"/>
  <c r="J19" i="13" s="1"/>
  <c r="J30" i="11"/>
  <c r="J37" i="13" s="1"/>
  <c r="J50" i="11"/>
  <c r="J59" i="13" s="1"/>
  <c r="J14" i="11"/>
  <c r="J20" i="13" s="1"/>
  <c r="J24" i="13" s="1"/>
  <c r="J32" i="11"/>
  <c r="J38" i="13" s="1"/>
  <c r="J58" i="11"/>
  <c r="J67" i="13" s="1"/>
  <c r="I33" i="7"/>
  <c r="I20" i="12" s="1"/>
  <c r="I15" i="14" s="1"/>
  <c r="J48" i="11"/>
  <c r="J58" i="13" s="1"/>
  <c r="J16" i="11"/>
  <c r="J21" i="13" s="1"/>
  <c r="J34" i="11"/>
  <c r="J39" i="13" s="1"/>
  <c r="J56" i="11"/>
  <c r="J65" i="13" s="1"/>
  <c r="J18" i="11"/>
  <c r="J22" i="13" s="1"/>
  <c r="J36" i="11"/>
  <c r="J40" i="13" s="1"/>
  <c r="J62" i="11"/>
  <c r="J69" i="13" s="1"/>
  <c r="J14" i="6"/>
  <c r="K14" i="6" s="1"/>
  <c r="J49" i="18"/>
  <c r="I60" i="13"/>
  <c r="I11" i="12"/>
  <c r="I12" i="12" s="1"/>
  <c r="K10" i="12"/>
  <c r="K48" i="11"/>
  <c r="K58" i="13" s="1"/>
  <c r="I14" i="12"/>
  <c r="I15" i="12" s="1"/>
  <c r="J55" i="13"/>
  <c r="J33" i="7"/>
  <c r="J20" i="12" s="1"/>
  <c r="G22" i="9"/>
  <c r="L11" i="6"/>
  <c r="K64" i="11"/>
  <c r="K70" i="13" s="1"/>
  <c r="K60" i="11"/>
  <c r="K68" i="13" s="1"/>
  <c r="K56" i="11"/>
  <c r="K65" i="13" s="1"/>
  <c r="K62" i="11"/>
  <c r="K69" i="13" s="1"/>
  <c r="K50" i="11"/>
  <c r="K59" i="13" s="1"/>
  <c r="K42" i="11"/>
  <c r="K30" i="11"/>
  <c r="K37" i="13" s="1"/>
  <c r="K20" i="11"/>
  <c r="K23" i="13" s="1"/>
  <c r="K12" i="11"/>
  <c r="K19" i="13" s="1"/>
  <c r="K54" i="11"/>
  <c r="K64" i="13" s="1"/>
  <c r="K32" i="11"/>
  <c r="K38" i="13" s="1"/>
  <c r="K24" i="11"/>
  <c r="K29" i="13" s="1"/>
  <c r="K14" i="11"/>
  <c r="K20" i="13" s="1"/>
  <c r="K36" i="11"/>
  <c r="K40" i="13" s="1"/>
  <c r="K28" i="11"/>
  <c r="K36" i="13" s="1"/>
  <c r="K18" i="11"/>
  <c r="K22" i="13" s="1"/>
  <c r="K58" i="11"/>
  <c r="K67" i="13" s="1"/>
  <c r="K46" i="11"/>
  <c r="K57" i="13" s="1"/>
  <c r="K34" i="11"/>
  <c r="K39" i="13" s="1"/>
  <c r="K26" i="11"/>
  <c r="K35" i="13" s="1"/>
  <c r="K16" i="11"/>
  <c r="K21" i="13" s="1"/>
  <c r="K44" i="11"/>
  <c r="K56" i="13" s="1"/>
  <c r="K10" i="7"/>
  <c r="I21" i="7"/>
  <c r="I23" i="7" s="1"/>
  <c r="K13" i="6"/>
  <c r="J29" i="9"/>
  <c r="J27" i="9"/>
  <c r="J14" i="7"/>
  <c r="J28" i="7"/>
  <c r="I9" i="9"/>
  <c r="J9" i="9" s="1"/>
  <c r="K9" i="9" s="1"/>
  <c r="L9" i="9" s="1"/>
  <c r="M9" i="9" s="1"/>
  <c r="N9" i="9" s="1"/>
  <c r="O9" i="9" s="1"/>
  <c r="P9" i="9" s="1"/>
  <c r="Q9" i="9" s="1"/>
  <c r="R9" i="9" s="1"/>
  <c r="H19" i="9"/>
  <c r="H21" i="9"/>
  <c r="I21" i="9" s="1"/>
  <c r="H20" i="9"/>
  <c r="I20" i="9" s="1"/>
  <c r="N31" i="7"/>
  <c r="M29" i="7"/>
  <c r="N27" i="7"/>
  <c r="L17" i="7"/>
  <c r="K16" i="7"/>
  <c r="J26" i="7" l="1"/>
  <c r="J14" i="12" s="1"/>
  <c r="J25" i="9"/>
  <c r="J16" i="7"/>
  <c r="J19" i="7" s="1"/>
  <c r="I36" i="14"/>
  <c r="J60" i="13"/>
  <c r="K49" i="18"/>
  <c r="I18" i="12"/>
  <c r="I23" i="12" s="1"/>
  <c r="I13" i="18"/>
  <c r="L13" i="6"/>
  <c r="L10" i="12"/>
  <c r="L48" i="11"/>
  <c r="L58" i="13" s="1"/>
  <c r="J36" i="14"/>
  <c r="K33" i="7"/>
  <c r="K20" i="12" s="1"/>
  <c r="K55" i="13"/>
  <c r="K24" i="13"/>
  <c r="J20" i="9"/>
  <c r="I13" i="9"/>
  <c r="J21" i="9"/>
  <c r="K21" i="9" s="1"/>
  <c r="L21" i="9" s="1"/>
  <c r="M21" i="9" s="1"/>
  <c r="N21" i="9" s="1"/>
  <c r="O21" i="9" s="1"/>
  <c r="P21" i="9" s="1"/>
  <c r="Q21" i="9" s="1"/>
  <c r="R21" i="9" s="1"/>
  <c r="I14" i="9"/>
  <c r="H22" i="9"/>
  <c r="I19" i="9"/>
  <c r="L14" i="6"/>
  <c r="K25" i="9"/>
  <c r="K27" i="9"/>
  <c r="K29" i="9"/>
  <c r="K14" i="7"/>
  <c r="K19" i="7" s="1"/>
  <c r="K30" i="7"/>
  <c r="K22" i="12" s="1"/>
  <c r="K26" i="7"/>
  <c r="K28" i="7"/>
  <c r="M11" i="6"/>
  <c r="L64" i="11"/>
  <c r="L70" i="13" s="1"/>
  <c r="L60" i="11"/>
  <c r="L68" i="13" s="1"/>
  <c r="L56" i="11"/>
  <c r="L65" i="13" s="1"/>
  <c r="L50" i="11"/>
  <c r="L59" i="13" s="1"/>
  <c r="L46" i="11"/>
  <c r="L57" i="13" s="1"/>
  <c r="L42" i="11"/>
  <c r="L34" i="11"/>
  <c r="L39" i="13" s="1"/>
  <c r="L30" i="11"/>
  <c r="L37" i="13" s="1"/>
  <c r="L26" i="11"/>
  <c r="L35" i="13" s="1"/>
  <c r="L20" i="11"/>
  <c r="L23" i="13" s="1"/>
  <c r="L16" i="11"/>
  <c r="L21" i="13" s="1"/>
  <c r="L12" i="11"/>
  <c r="L19" i="13" s="1"/>
  <c r="L62" i="11"/>
  <c r="L69" i="13" s="1"/>
  <c r="L58" i="11"/>
  <c r="L67" i="13" s="1"/>
  <c r="L54" i="11"/>
  <c r="L64" i="13" s="1"/>
  <c r="L44" i="11"/>
  <c r="L56" i="13" s="1"/>
  <c r="L36" i="11"/>
  <c r="L40" i="13" s="1"/>
  <c r="L32" i="11"/>
  <c r="L38" i="13" s="1"/>
  <c r="L28" i="11"/>
  <c r="L36" i="13" s="1"/>
  <c r="L24" i="11"/>
  <c r="L29" i="13" s="1"/>
  <c r="L18" i="11"/>
  <c r="L22" i="13" s="1"/>
  <c r="L14" i="11"/>
  <c r="L20" i="13" s="1"/>
  <c r="L10" i="7"/>
  <c r="O31" i="7"/>
  <c r="N29" i="7"/>
  <c r="O27" i="7"/>
  <c r="M17" i="7"/>
  <c r="I25" i="12" l="1"/>
  <c r="I17" i="18"/>
  <c r="J11" i="18"/>
  <c r="L49" i="18"/>
  <c r="I9" i="17"/>
  <c r="K11" i="12"/>
  <c r="K12" i="12" s="1"/>
  <c r="K60" i="13"/>
  <c r="K11" i="18"/>
  <c r="I45" i="18"/>
  <c r="I15" i="18"/>
  <c r="L16" i="7"/>
  <c r="M10" i="12"/>
  <c r="M48" i="11"/>
  <c r="K14" i="12"/>
  <c r="I27" i="12"/>
  <c r="L33" i="7"/>
  <c r="L20" i="12" s="1"/>
  <c r="L55" i="13"/>
  <c r="K36" i="14"/>
  <c r="L24" i="13"/>
  <c r="J14" i="9"/>
  <c r="J66" i="13" s="1"/>
  <c r="J71" i="13" s="1"/>
  <c r="J73" i="13" s="1"/>
  <c r="J11" i="12"/>
  <c r="J12" i="12" s="1"/>
  <c r="J15" i="12" s="1"/>
  <c r="I66" i="13"/>
  <c r="I36" i="9"/>
  <c r="I31" i="13"/>
  <c r="I55" i="18" s="1"/>
  <c r="I34" i="9"/>
  <c r="I22" i="9"/>
  <c r="J19" i="9"/>
  <c r="J12" i="9" s="1"/>
  <c r="I12" i="9"/>
  <c r="K20" i="9"/>
  <c r="J13" i="9"/>
  <c r="J34" i="9" s="1"/>
  <c r="J21" i="7"/>
  <c r="J23" i="7" s="1"/>
  <c r="K21" i="7"/>
  <c r="K23" i="7" s="1"/>
  <c r="K14" i="9"/>
  <c r="N11" i="6"/>
  <c r="M62" i="11"/>
  <c r="M69" i="13" s="1"/>
  <c r="M58" i="11"/>
  <c r="M67" i="13" s="1"/>
  <c r="M54" i="11"/>
  <c r="M64" i="13" s="1"/>
  <c r="M64" i="11"/>
  <c r="M70" i="13" s="1"/>
  <c r="M60" i="11"/>
  <c r="M68" i="13" s="1"/>
  <c r="M56" i="11"/>
  <c r="M65" i="13" s="1"/>
  <c r="M58" i="13"/>
  <c r="M36" i="11"/>
  <c r="M40" i="13" s="1"/>
  <c r="M28" i="11"/>
  <c r="M36" i="13" s="1"/>
  <c r="M18" i="11"/>
  <c r="M22" i="13" s="1"/>
  <c r="M20" i="11"/>
  <c r="M23" i="13" s="1"/>
  <c r="M46" i="11"/>
  <c r="M57" i="13" s="1"/>
  <c r="M34" i="11"/>
  <c r="M39" i="13" s="1"/>
  <c r="M26" i="11"/>
  <c r="M35" i="13" s="1"/>
  <c r="M16" i="11"/>
  <c r="M21" i="13" s="1"/>
  <c r="M44" i="11"/>
  <c r="M56" i="13" s="1"/>
  <c r="M32" i="11"/>
  <c r="M38" i="13" s="1"/>
  <c r="M24" i="11"/>
  <c r="M29" i="13" s="1"/>
  <c r="M14" i="11"/>
  <c r="M20" i="13" s="1"/>
  <c r="M50" i="11"/>
  <c r="M59" i="13" s="1"/>
  <c r="M42" i="11"/>
  <c r="M30" i="11"/>
  <c r="M37" i="13" s="1"/>
  <c r="M12" i="11"/>
  <c r="M19" i="13" s="1"/>
  <c r="M10" i="7"/>
  <c r="M13" i="6"/>
  <c r="L25" i="9"/>
  <c r="L29" i="9"/>
  <c r="L27" i="9"/>
  <c r="L14" i="7"/>
  <c r="L19" i="7" s="1"/>
  <c r="L26" i="7"/>
  <c r="L30" i="7"/>
  <c r="L22" i="12" s="1"/>
  <c r="L28" i="7"/>
  <c r="M14" i="6"/>
  <c r="P31" i="7"/>
  <c r="O29" i="7"/>
  <c r="P27" i="7"/>
  <c r="N17" i="7"/>
  <c r="M49" i="18" l="1"/>
  <c r="L11" i="12"/>
  <c r="L12" i="12" s="1"/>
  <c r="L15" i="12" s="1"/>
  <c r="I12" i="14"/>
  <c r="I21" i="18"/>
  <c r="I61" i="18"/>
  <c r="J57" i="18"/>
  <c r="M16" i="7"/>
  <c r="I71" i="13"/>
  <c r="I73" i="13" s="1"/>
  <c r="I57" i="18"/>
  <c r="K15" i="12"/>
  <c r="L11" i="18"/>
  <c r="J18" i="12"/>
  <c r="J13" i="18"/>
  <c r="L60" i="13"/>
  <c r="I10" i="17"/>
  <c r="I11" i="17" s="1"/>
  <c r="I19" i="18"/>
  <c r="I30" i="12"/>
  <c r="I35" i="14" s="1"/>
  <c r="I38" i="14" s="1"/>
  <c r="N10" i="12"/>
  <c r="N48" i="11"/>
  <c r="N58" i="13" s="1"/>
  <c r="M24" i="13"/>
  <c r="L14" i="12"/>
  <c r="J36" i="9"/>
  <c r="M55" i="13"/>
  <c r="M33" i="7"/>
  <c r="M20" i="12" s="1"/>
  <c r="L36" i="14"/>
  <c r="J33" i="9"/>
  <c r="I33" i="9"/>
  <c r="I38" i="9" s="1"/>
  <c r="J31" i="13"/>
  <c r="J55" i="18" s="1"/>
  <c r="K66" i="13"/>
  <c r="K36" i="9"/>
  <c r="J15" i="9"/>
  <c r="J27" i="13"/>
  <c r="J53" i="18" s="1"/>
  <c r="L20" i="9"/>
  <c r="K13" i="9"/>
  <c r="K34" i="9" s="1"/>
  <c r="I27" i="13"/>
  <c r="I53" i="18" s="1"/>
  <c r="I15" i="9"/>
  <c r="K19" i="9"/>
  <c r="J22" i="9"/>
  <c r="N14" i="6"/>
  <c r="L21" i="7"/>
  <c r="L23" i="7" s="1"/>
  <c r="L14" i="9"/>
  <c r="N13" i="6"/>
  <c r="O11" i="6"/>
  <c r="O48" i="11" s="1"/>
  <c r="N62" i="11"/>
  <c r="N69" i="13" s="1"/>
  <c r="N58" i="11"/>
  <c r="N67" i="13" s="1"/>
  <c r="N54" i="11"/>
  <c r="N64" i="13" s="1"/>
  <c r="N44" i="11"/>
  <c r="N56" i="13" s="1"/>
  <c r="N36" i="11"/>
  <c r="N40" i="13" s="1"/>
  <c r="N32" i="11"/>
  <c r="N38" i="13" s="1"/>
  <c r="N28" i="11"/>
  <c r="N36" i="13" s="1"/>
  <c r="N24" i="11"/>
  <c r="N29" i="13" s="1"/>
  <c r="N18" i="11"/>
  <c r="N22" i="13" s="1"/>
  <c r="N14" i="11"/>
  <c r="N20" i="13" s="1"/>
  <c r="N64" i="11"/>
  <c r="N70" i="13" s="1"/>
  <c r="N60" i="11"/>
  <c r="N68" i="13" s="1"/>
  <c r="N56" i="11"/>
  <c r="N65" i="13" s="1"/>
  <c r="N50" i="11"/>
  <c r="N59" i="13" s="1"/>
  <c r="N46" i="11"/>
  <c r="N57" i="13" s="1"/>
  <c r="N42" i="11"/>
  <c r="N34" i="11"/>
  <c r="N39" i="13" s="1"/>
  <c r="N30" i="11"/>
  <c r="N37" i="13" s="1"/>
  <c r="N26" i="11"/>
  <c r="N35" i="13" s="1"/>
  <c r="N20" i="11"/>
  <c r="N23" i="13" s="1"/>
  <c r="N16" i="11"/>
  <c r="N21" i="13" s="1"/>
  <c r="N12" i="11"/>
  <c r="N19" i="13" s="1"/>
  <c r="N10" i="7"/>
  <c r="M25" i="9"/>
  <c r="M27" i="9"/>
  <c r="M29" i="9"/>
  <c r="M14" i="7"/>
  <c r="M19" i="7" s="1"/>
  <c r="M11" i="18" s="1"/>
  <c r="M26" i="7"/>
  <c r="M30" i="7"/>
  <c r="M22" i="12" s="1"/>
  <c r="M28" i="7"/>
  <c r="Q31" i="7"/>
  <c r="P29" i="7"/>
  <c r="Q27" i="7"/>
  <c r="O17" i="7"/>
  <c r="L18" i="12" l="1"/>
  <c r="L13" i="18"/>
  <c r="N16" i="7"/>
  <c r="M60" i="13"/>
  <c r="I70" i="11"/>
  <c r="I72" i="11" s="1"/>
  <c r="I49" i="13" s="1"/>
  <c r="K18" i="12"/>
  <c r="K13" i="18"/>
  <c r="N49" i="18"/>
  <c r="J9" i="17"/>
  <c r="J15" i="18"/>
  <c r="J45" i="18"/>
  <c r="M11" i="12"/>
  <c r="M12" i="12" s="1"/>
  <c r="K71" i="13"/>
  <c r="K73" i="13" s="1"/>
  <c r="K57" i="18"/>
  <c r="M14" i="12"/>
  <c r="J38" i="9"/>
  <c r="J16" i="14" s="1"/>
  <c r="N24" i="13"/>
  <c r="I16" i="14"/>
  <c r="I18" i="14" s="1"/>
  <c r="I41" i="14" s="1"/>
  <c r="I14" i="17"/>
  <c r="I15" i="17" s="1"/>
  <c r="M15" i="12"/>
  <c r="N55" i="13"/>
  <c r="N33" i="7"/>
  <c r="N20" i="12" s="1"/>
  <c r="O14" i="6"/>
  <c r="O10" i="12"/>
  <c r="M36" i="14"/>
  <c r="K31" i="13"/>
  <c r="K55" i="18" s="1"/>
  <c r="L66" i="13"/>
  <c r="L36" i="9"/>
  <c r="M20" i="9"/>
  <c r="L13" i="9"/>
  <c r="L19" i="9"/>
  <c r="K22" i="9"/>
  <c r="K12" i="9"/>
  <c r="M21" i="7"/>
  <c r="M23" i="7" s="1"/>
  <c r="M14" i="9"/>
  <c r="O64" i="11"/>
  <c r="O70" i="13" s="1"/>
  <c r="O60" i="11"/>
  <c r="O68" i="13" s="1"/>
  <c r="O56" i="11"/>
  <c r="O65" i="13" s="1"/>
  <c r="O62" i="11"/>
  <c r="O69" i="13" s="1"/>
  <c r="O58" i="11"/>
  <c r="O67" i="13" s="1"/>
  <c r="O46" i="11"/>
  <c r="O57" i="13" s="1"/>
  <c r="O34" i="11"/>
  <c r="O39" i="13" s="1"/>
  <c r="O26" i="11"/>
  <c r="O35" i="13" s="1"/>
  <c r="O16" i="11"/>
  <c r="O21" i="13" s="1"/>
  <c r="O36" i="11"/>
  <c r="O40" i="13" s="1"/>
  <c r="O28" i="11"/>
  <c r="O36" i="13" s="1"/>
  <c r="O44" i="11"/>
  <c r="O56" i="13" s="1"/>
  <c r="O32" i="11"/>
  <c r="O38" i="13" s="1"/>
  <c r="O24" i="11"/>
  <c r="O29" i="13" s="1"/>
  <c r="O14" i="11"/>
  <c r="O20" i="13" s="1"/>
  <c r="O54" i="11"/>
  <c r="O64" i="13" s="1"/>
  <c r="O50" i="11"/>
  <c r="O59" i="13" s="1"/>
  <c r="O42" i="11"/>
  <c r="O30" i="11"/>
  <c r="O37" i="13" s="1"/>
  <c r="O20" i="11"/>
  <c r="O23" i="13" s="1"/>
  <c r="O12" i="11"/>
  <c r="O19" i="13" s="1"/>
  <c r="O58" i="13"/>
  <c r="O18" i="11"/>
  <c r="O22" i="13" s="1"/>
  <c r="O10" i="7"/>
  <c r="P11" i="6"/>
  <c r="N25" i="9"/>
  <c r="N29" i="9"/>
  <c r="N27" i="9"/>
  <c r="N14" i="7"/>
  <c r="N19" i="7" s="1"/>
  <c r="N30" i="7"/>
  <c r="N22" i="12" s="1"/>
  <c r="N26" i="7"/>
  <c r="N28" i="7"/>
  <c r="O13" i="6"/>
  <c r="R31" i="7"/>
  <c r="Q29" i="7"/>
  <c r="R27" i="7"/>
  <c r="P17" i="7"/>
  <c r="N11" i="12" l="1"/>
  <c r="N12" i="12" s="1"/>
  <c r="O49" i="18"/>
  <c r="L71" i="13"/>
  <c r="L73" i="13" s="1"/>
  <c r="L57" i="18"/>
  <c r="O16" i="7"/>
  <c r="M18" i="12"/>
  <c r="M13" i="18"/>
  <c r="N11" i="18"/>
  <c r="N60" i="13"/>
  <c r="I48" i="13"/>
  <c r="I50" i="13" s="1"/>
  <c r="K9" i="17"/>
  <c r="K45" i="18"/>
  <c r="K15" i="18"/>
  <c r="L9" i="17"/>
  <c r="L15" i="18"/>
  <c r="L45" i="18"/>
  <c r="J14" i="17"/>
  <c r="P10" i="12"/>
  <c r="P48" i="11"/>
  <c r="P58" i="13" s="1"/>
  <c r="N14" i="12"/>
  <c r="O33" i="7"/>
  <c r="O20" i="12" s="1"/>
  <c r="O55" i="13"/>
  <c r="O24" i="13"/>
  <c r="N36" i="14"/>
  <c r="L31" i="13"/>
  <c r="L55" i="18" s="1"/>
  <c r="L34" i="9"/>
  <c r="K33" i="9"/>
  <c r="K38" i="9" s="1"/>
  <c r="M66" i="13"/>
  <c r="M36" i="9"/>
  <c r="K27" i="13"/>
  <c r="K53" i="18" s="1"/>
  <c r="K15" i="9"/>
  <c r="M19" i="9"/>
  <c r="L22" i="9"/>
  <c r="L12" i="9"/>
  <c r="N20" i="9"/>
  <c r="M13" i="9"/>
  <c r="P13" i="6"/>
  <c r="Q11" i="6"/>
  <c r="Q48" i="11" s="1"/>
  <c r="P64" i="11"/>
  <c r="P70" i="13" s="1"/>
  <c r="P60" i="11"/>
  <c r="P68" i="13" s="1"/>
  <c r="P56" i="11"/>
  <c r="P65" i="13" s="1"/>
  <c r="P50" i="11"/>
  <c r="P59" i="13" s="1"/>
  <c r="P46" i="11"/>
  <c r="P57" i="13" s="1"/>
  <c r="P42" i="11"/>
  <c r="P34" i="11"/>
  <c r="P39" i="13" s="1"/>
  <c r="P30" i="11"/>
  <c r="P37" i="13" s="1"/>
  <c r="P26" i="11"/>
  <c r="P35" i="13" s="1"/>
  <c r="P20" i="11"/>
  <c r="P23" i="13" s="1"/>
  <c r="P16" i="11"/>
  <c r="P21" i="13" s="1"/>
  <c r="P12" i="11"/>
  <c r="P19" i="13" s="1"/>
  <c r="P62" i="11"/>
  <c r="P69" i="13" s="1"/>
  <c r="P58" i="11"/>
  <c r="P67" i="13" s="1"/>
  <c r="P54" i="11"/>
  <c r="P64" i="13" s="1"/>
  <c r="P44" i="11"/>
  <c r="P56" i="13" s="1"/>
  <c r="P36" i="11"/>
  <c r="P40" i="13" s="1"/>
  <c r="P32" i="11"/>
  <c r="P38" i="13" s="1"/>
  <c r="P28" i="11"/>
  <c r="P36" i="13" s="1"/>
  <c r="P24" i="11"/>
  <c r="P29" i="13" s="1"/>
  <c r="P18" i="11"/>
  <c r="P22" i="13" s="1"/>
  <c r="P14" i="11"/>
  <c r="P20" i="13" s="1"/>
  <c r="P10" i="7"/>
  <c r="N21" i="7"/>
  <c r="N23" i="7" s="1"/>
  <c r="N14" i="9"/>
  <c r="O25" i="9"/>
  <c r="O29" i="9"/>
  <c r="O27" i="9"/>
  <c r="O14" i="7"/>
  <c r="O19" i="7" s="1"/>
  <c r="O11" i="18" s="1"/>
  <c r="O30" i="7"/>
  <c r="O22" i="12" s="1"/>
  <c r="O26" i="7"/>
  <c r="O28" i="7"/>
  <c r="P14" i="6"/>
  <c r="R29" i="7"/>
  <c r="Q17" i="7"/>
  <c r="N15" i="12" l="1"/>
  <c r="N18" i="12" s="1"/>
  <c r="M9" i="17"/>
  <c r="M45" i="18"/>
  <c r="M15" i="18"/>
  <c r="O60" i="13"/>
  <c r="M71" i="13"/>
  <c r="M73" i="13" s="1"/>
  <c r="M57" i="18"/>
  <c r="N13" i="18"/>
  <c r="I75" i="13"/>
  <c r="I32" i="13" s="1"/>
  <c r="I35" i="18" s="1"/>
  <c r="I41" i="18"/>
  <c r="I23" i="18"/>
  <c r="P49" i="18"/>
  <c r="P16" i="7"/>
  <c r="Q14" i="6"/>
  <c r="O11" i="12"/>
  <c r="O12" i="12" s="1"/>
  <c r="O14" i="12"/>
  <c r="P24" i="13"/>
  <c r="K16" i="14"/>
  <c r="K14" i="17"/>
  <c r="Q13" i="6"/>
  <c r="Q10" i="12"/>
  <c r="P33" i="7"/>
  <c r="P20" i="12" s="1"/>
  <c r="P55" i="13"/>
  <c r="O36" i="14"/>
  <c r="N66" i="13"/>
  <c r="N36" i="9"/>
  <c r="L33" i="9"/>
  <c r="L38" i="9" s="1"/>
  <c r="M31" i="13"/>
  <c r="M55" i="18" s="1"/>
  <c r="M34" i="9"/>
  <c r="N19" i="9"/>
  <c r="M22" i="9"/>
  <c r="M12" i="9"/>
  <c r="M33" i="9" s="1"/>
  <c r="L27" i="13"/>
  <c r="L53" i="18" s="1"/>
  <c r="L15" i="9"/>
  <c r="O20" i="9"/>
  <c r="N13" i="9"/>
  <c r="O21" i="7"/>
  <c r="O23" i="7" s="1"/>
  <c r="O14" i="9"/>
  <c r="P25" i="9"/>
  <c r="P27" i="9"/>
  <c r="P29" i="9"/>
  <c r="P14" i="7"/>
  <c r="P26" i="7"/>
  <c r="P30" i="7"/>
  <c r="P22" i="12" s="1"/>
  <c r="P28" i="7"/>
  <c r="R11" i="6"/>
  <c r="R48" i="11" s="1"/>
  <c r="Q62" i="11"/>
  <c r="Q69" i="13" s="1"/>
  <c r="Q58" i="11"/>
  <c r="Q67" i="13" s="1"/>
  <c r="Q54" i="11"/>
  <c r="Q64" i="13" s="1"/>
  <c r="Q64" i="11"/>
  <c r="Q70" i="13" s="1"/>
  <c r="Q60" i="11"/>
  <c r="Q68" i="13" s="1"/>
  <c r="Q44" i="11"/>
  <c r="Q56" i="13" s="1"/>
  <c r="Q32" i="11"/>
  <c r="Q38" i="13" s="1"/>
  <c r="Q24" i="11"/>
  <c r="Q29" i="13" s="1"/>
  <c r="Q14" i="11"/>
  <c r="Q20" i="13" s="1"/>
  <c r="Q16" i="11"/>
  <c r="Q21" i="13" s="1"/>
  <c r="Q50" i="11"/>
  <c r="Q59" i="13" s="1"/>
  <c r="Q42" i="11"/>
  <c r="Q30" i="11"/>
  <c r="Q37" i="13" s="1"/>
  <c r="Q20" i="11"/>
  <c r="Q23" i="13" s="1"/>
  <c r="Q12" i="11"/>
  <c r="Q19" i="13" s="1"/>
  <c r="Q26" i="11"/>
  <c r="Q35" i="13" s="1"/>
  <c r="Q58" i="13"/>
  <c r="Q36" i="11"/>
  <c r="Q40" i="13" s="1"/>
  <c r="Q28" i="11"/>
  <c r="Q36" i="13" s="1"/>
  <c r="Q18" i="11"/>
  <c r="Q22" i="13" s="1"/>
  <c r="Q56" i="11"/>
  <c r="Q65" i="13" s="1"/>
  <c r="Q46" i="11"/>
  <c r="Q57" i="13" s="1"/>
  <c r="Q34" i="11"/>
  <c r="Q39" i="13" s="1"/>
  <c r="Q10" i="7"/>
  <c r="R17" i="7"/>
  <c r="P19" i="7" l="1"/>
  <c r="P11" i="18" s="1"/>
  <c r="Q16" i="7"/>
  <c r="P60" i="13"/>
  <c r="N71" i="13"/>
  <c r="N73" i="13" s="1"/>
  <c r="N57" i="18"/>
  <c r="Q49" i="18"/>
  <c r="N9" i="17"/>
  <c r="N15" i="18"/>
  <c r="N45" i="18"/>
  <c r="O15" i="12"/>
  <c r="M38" i="9"/>
  <c r="M16" i="14" s="1"/>
  <c r="R14" i="6"/>
  <c r="Q24" i="13"/>
  <c r="L16" i="14"/>
  <c r="L14" i="17"/>
  <c r="P36" i="14"/>
  <c r="Q55" i="13"/>
  <c r="Q33" i="7"/>
  <c r="Q20" i="12" s="1"/>
  <c r="R13" i="6"/>
  <c r="R10" i="12"/>
  <c r="P14" i="12"/>
  <c r="N31" i="13"/>
  <c r="N55" i="18" s="1"/>
  <c r="N34" i="9"/>
  <c r="O66" i="13"/>
  <c r="O36" i="9"/>
  <c r="P20" i="9"/>
  <c r="O13" i="9"/>
  <c r="O34" i="9" s="1"/>
  <c r="M27" i="13"/>
  <c r="M53" i="18" s="1"/>
  <c r="M15" i="9"/>
  <c r="O19" i="9"/>
  <c r="N22" i="9"/>
  <c r="N12" i="9"/>
  <c r="N33" i="9" s="1"/>
  <c r="P21" i="7"/>
  <c r="P23" i="7" s="1"/>
  <c r="Q25" i="9"/>
  <c r="Q29" i="9"/>
  <c r="Q27" i="9"/>
  <c r="Q14" i="7"/>
  <c r="Q26" i="7"/>
  <c r="Q30" i="7"/>
  <c r="Q22" i="12" s="1"/>
  <c r="Q28" i="7"/>
  <c r="R62" i="11"/>
  <c r="R69" i="13" s="1"/>
  <c r="R58" i="11"/>
  <c r="R67" i="13" s="1"/>
  <c r="R54" i="11"/>
  <c r="R64" i="13" s="1"/>
  <c r="R58" i="13"/>
  <c r="R44" i="11"/>
  <c r="R56" i="13" s="1"/>
  <c r="R36" i="11"/>
  <c r="R40" i="13" s="1"/>
  <c r="R32" i="11"/>
  <c r="R38" i="13" s="1"/>
  <c r="R28" i="11"/>
  <c r="R36" i="13" s="1"/>
  <c r="R24" i="11"/>
  <c r="R29" i="13" s="1"/>
  <c r="R18" i="11"/>
  <c r="R22" i="13" s="1"/>
  <c r="R14" i="11"/>
  <c r="R20" i="13" s="1"/>
  <c r="R64" i="11"/>
  <c r="R70" i="13" s="1"/>
  <c r="R60" i="11"/>
  <c r="R68" i="13" s="1"/>
  <c r="R56" i="11"/>
  <c r="R65" i="13" s="1"/>
  <c r="R50" i="11"/>
  <c r="R59" i="13" s="1"/>
  <c r="R46" i="11"/>
  <c r="R57" i="13" s="1"/>
  <c r="R42" i="11"/>
  <c r="R34" i="11"/>
  <c r="R39" i="13" s="1"/>
  <c r="R30" i="11"/>
  <c r="R37" i="13" s="1"/>
  <c r="R26" i="11"/>
  <c r="R35" i="13" s="1"/>
  <c r="R20" i="11"/>
  <c r="R23" i="13" s="1"/>
  <c r="R16" i="11"/>
  <c r="R21" i="13" s="1"/>
  <c r="R12" i="11"/>
  <c r="R19" i="13" s="1"/>
  <c r="R10" i="7"/>
  <c r="Q19" i="7" l="1"/>
  <c r="Q11" i="18" s="1"/>
  <c r="P14" i="9"/>
  <c r="P66" i="13" s="1"/>
  <c r="P11" i="12"/>
  <c r="P12" i="12" s="1"/>
  <c r="P15" i="12" s="1"/>
  <c r="N38" i="9"/>
  <c r="Q60" i="13"/>
  <c r="M14" i="17"/>
  <c r="O18" i="12"/>
  <c r="O13" i="18"/>
  <c r="R16" i="7"/>
  <c r="O71" i="13"/>
  <c r="O73" i="13" s="1"/>
  <c r="O57" i="18"/>
  <c r="R49" i="18"/>
  <c r="N16" i="14"/>
  <c r="N14" i="17"/>
  <c r="Q36" i="14"/>
  <c r="R24" i="13"/>
  <c r="R55" i="13"/>
  <c r="R33" i="7"/>
  <c r="R20" i="12" s="1"/>
  <c r="Q14" i="12"/>
  <c r="O31" i="13"/>
  <c r="O55" i="18" s="1"/>
  <c r="P19" i="9"/>
  <c r="O22" i="9"/>
  <c r="O12" i="9"/>
  <c r="O33" i="9" s="1"/>
  <c r="O38" i="9" s="1"/>
  <c r="N27" i="13"/>
  <c r="N53" i="18" s="1"/>
  <c r="N15" i="9"/>
  <c r="Q20" i="9"/>
  <c r="P13" i="9"/>
  <c r="Q21" i="7"/>
  <c r="Q23" i="7" s="1"/>
  <c r="Q14" i="9"/>
  <c r="R25" i="9"/>
  <c r="R29" i="9"/>
  <c r="R27" i="9"/>
  <c r="R14" i="7"/>
  <c r="R30" i="7"/>
  <c r="R22" i="12" s="1"/>
  <c r="R26" i="7"/>
  <c r="R28" i="7"/>
  <c r="P18" i="12" l="1"/>
  <c r="P13" i="18"/>
  <c r="P36" i="9"/>
  <c r="Q11" i="12"/>
  <c r="Q12" i="12" s="1"/>
  <c r="R19" i="7"/>
  <c r="R11" i="18" s="1"/>
  <c r="Q15" i="12"/>
  <c r="O9" i="17"/>
  <c r="O45" i="18"/>
  <c r="O15" i="18"/>
  <c r="R60" i="13"/>
  <c r="P71" i="13"/>
  <c r="P73" i="13" s="1"/>
  <c r="P57" i="18"/>
  <c r="R11" i="12"/>
  <c r="R12" i="12" s="1"/>
  <c r="Q18" i="12"/>
  <c r="Q13" i="18"/>
  <c r="P9" i="17"/>
  <c r="P15" i="18"/>
  <c r="P45" i="18"/>
  <c r="R14" i="12"/>
  <c r="O16" i="14"/>
  <c r="O14" i="17"/>
  <c r="R36" i="14"/>
  <c r="P31" i="13"/>
  <c r="P55" i="18" s="1"/>
  <c r="Q66" i="13"/>
  <c r="Q36" i="9"/>
  <c r="P34" i="9"/>
  <c r="R20" i="9"/>
  <c r="R13" i="9" s="1"/>
  <c r="R31" i="13" s="1"/>
  <c r="R55" i="18" s="1"/>
  <c r="Q13" i="9"/>
  <c r="Q34" i="9" s="1"/>
  <c r="O27" i="13"/>
  <c r="O53" i="18" s="1"/>
  <c r="O15" i="9"/>
  <c r="Q19" i="9"/>
  <c r="P22" i="9"/>
  <c r="P12" i="9"/>
  <c r="R21" i="7"/>
  <c r="R23" i="7" s="1"/>
  <c r="R14" i="9" l="1"/>
  <c r="R15" i="12"/>
  <c r="R13" i="18" s="1"/>
  <c r="R18" i="12"/>
  <c r="Q71" i="13"/>
  <c r="Q73" i="13" s="1"/>
  <c r="Q57" i="18"/>
  <c r="Q9" i="17"/>
  <c r="Q45" i="18"/>
  <c r="Q15" i="18"/>
  <c r="R66" i="13"/>
  <c r="R36" i="9"/>
  <c r="Q31" i="13"/>
  <c r="Q55" i="18" s="1"/>
  <c r="R34" i="9"/>
  <c r="P33" i="9"/>
  <c r="P38" i="9" s="1"/>
  <c r="P27" i="13"/>
  <c r="P53" i="18" s="1"/>
  <c r="P15" i="9"/>
  <c r="R19" i="9"/>
  <c r="Q22" i="9"/>
  <c r="Q12" i="9"/>
  <c r="R71" i="13" l="1"/>
  <c r="R73" i="13" s="1"/>
  <c r="R57" i="18"/>
  <c r="R9" i="17"/>
  <c r="R15" i="18"/>
  <c r="R45" i="18"/>
  <c r="P16" i="14"/>
  <c r="P14" i="17"/>
  <c r="Q33" i="9"/>
  <c r="Q38" i="9" s="1"/>
  <c r="R22" i="9"/>
  <c r="R12" i="9"/>
  <c r="R33" i="9" s="1"/>
  <c r="R38" i="9" s="1"/>
  <c r="Q27" i="13"/>
  <c r="Q53" i="18" s="1"/>
  <c r="Q15" i="9"/>
  <c r="R16" i="14" l="1"/>
  <c r="R14" i="17"/>
  <c r="Q16" i="14"/>
  <c r="Q14" i="17"/>
  <c r="R27" i="13"/>
  <c r="R53" i="18" s="1"/>
  <c r="R15" i="9"/>
  <c r="H12" i="6" l="1"/>
  <c r="G12" i="6"/>
  <c r="F12" i="6"/>
  <c r="E12" i="6"/>
  <c r="J20" i="6" l="1"/>
  <c r="H20" i="6"/>
  <c r="G20" i="6"/>
  <c r="F20" i="6"/>
  <c r="E20" i="6"/>
  <c r="D20" i="6"/>
  <c r="K20" i="6" l="1"/>
  <c r="J19" i="6"/>
  <c r="J26" i="12" s="1"/>
  <c r="H19" i="6"/>
  <c r="G19" i="6"/>
  <c r="F19" i="6"/>
  <c r="E19" i="6"/>
  <c r="D19" i="6"/>
  <c r="L20" i="6" l="1"/>
  <c r="K19" i="6"/>
  <c r="K26" i="12" s="1"/>
  <c r="J17" i="6"/>
  <c r="J7" i="6"/>
  <c r="K7" i="6" s="1"/>
  <c r="L7" i="6" s="1"/>
  <c r="M7" i="6" s="1"/>
  <c r="N7" i="6" s="1"/>
  <c r="O7" i="6" s="1"/>
  <c r="P7" i="6" s="1"/>
  <c r="Q7" i="6" s="1"/>
  <c r="R7" i="6" s="1"/>
  <c r="I7" i="6"/>
  <c r="K17" i="6" l="1"/>
  <c r="J16" i="6"/>
  <c r="J21" i="12" s="1"/>
  <c r="M20" i="6"/>
  <c r="L19" i="6"/>
  <c r="L26" i="12" s="1"/>
  <c r="H17" i="6"/>
  <c r="G17" i="6"/>
  <c r="F17" i="6"/>
  <c r="E17" i="6"/>
  <c r="D17" i="6"/>
  <c r="H16" i="6"/>
  <c r="G16" i="6"/>
  <c r="F16" i="6"/>
  <c r="E16" i="6"/>
  <c r="D16" i="6"/>
  <c r="H11" i="6"/>
  <c r="G11" i="6"/>
  <c r="F11" i="6"/>
  <c r="E11" i="6"/>
  <c r="D11" i="6"/>
  <c r="E7" i="6"/>
  <c r="F7" i="6" s="1"/>
  <c r="G7" i="6" s="1"/>
  <c r="H7" i="6" s="1"/>
  <c r="H71" i="5"/>
  <c r="G71" i="5"/>
  <c r="F71" i="5"/>
  <c r="E71" i="5"/>
  <c r="H70" i="5"/>
  <c r="G70" i="5"/>
  <c r="F70" i="5"/>
  <c r="E70" i="5"/>
  <c r="H69" i="5"/>
  <c r="G69" i="5"/>
  <c r="F69" i="5"/>
  <c r="E69" i="5"/>
  <c r="H68" i="5"/>
  <c r="G68" i="5"/>
  <c r="F68" i="5"/>
  <c r="E68" i="5"/>
  <c r="H96" i="5"/>
  <c r="G96" i="5"/>
  <c r="F96" i="5"/>
  <c r="E96" i="5"/>
  <c r="H94" i="5"/>
  <c r="G94" i="5"/>
  <c r="F94" i="5"/>
  <c r="E94" i="5"/>
  <c r="H92" i="5"/>
  <c r="G92" i="5"/>
  <c r="F92" i="5"/>
  <c r="E92" i="5"/>
  <c r="H91" i="5"/>
  <c r="G91" i="5"/>
  <c r="F91" i="5"/>
  <c r="E91" i="5"/>
  <c r="H90" i="5"/>
  <c r="G90" i="5"/>
  <c r="F90" i="5"/>
  <c r="E90" i="5"/>
  <c r="H89" i="5"/>
  <c r="G89" i="5"/>
  <c r="F89" i="5"/>
  <c r="E89" i="5"/>
  <c r="H88" i="5"/>
  <c r="G88" i="5"/>
  <c r="F88" i="5"/>
  <c r="E88" i="5"/>
  <c r="H87" i="5"/>
  <c r="G87" i="5"/>
  <c r="F87" i="5"/>
  <c r="E87" i="5"/>
  <c r="H86" i="5"/>
  <c r="G86" i="5"/>
  <c r="F86" i="5"/>
  <c r="E86" i="5"/>
  <c r="H85" i="5"/>
  <c r="G85" i="5"/>
  <c r="F85" i="5"/>
  <c r="E85" i="5"/>
  <c r="H84" i="5"/>
  <c r="G84" i="5"/>
  <c r="F84" i="5"/>
  <c r="E84" i="5"/>
  <c r="H81" i="5"/>
  <c r="G81" i="5"/>
  <c r="F81" i="5"/>
  <c r="E81" i="5"/>
  <c r="H80" i="5"/>
  <c r="G80" i="5"/>
  <c r="F80" i="5"/>
  <c r="E80" i="5"/>
  <c r="H79" i="5"/>
  <c r="G79" i="5"/>
  <c r="F79" i="5"/>
  <c r="E79" i="5"/>
  <c r="H78" i="5"/>
  <c r="G78" i="5"/>
  <c r="F78" i="5"/>
  <c r="E78" i="5"/>
  <c r="H77" i="5"/>
  <c r="G77" i="5"/>
  <c r="F77" i="5"/>
  <c r="E77" i="5"/>
  <c r="H76" i="5"/>
  <c r="G76" i="5"/>
  <c r="F76" i="5"/>
  <c r="E76" i="5"/>
  <c r="H64" i="5"/>
  <c r="G64" i="5"/>
  <c r="F64" i="5"/>
  <c r="E64" i="5"/>
  <c r="H62" i="5"/>
  <c r="G62" i="5"/>
  <c r="F62" i="5"/>
  <c r="E62" i="5"/>
  <c r="H61" i="5"/>
  <c r="G61" i="5"/>
  <c r="F61" i="5"/>
  <c r="E61" i="5"/>
  <c r="H60" i="5"/>
  <c r="G60" i="5"/>
  <c r="F60" i="5"/>
  <c r="E60" i="5"/>
  <c r="H59" i="5"/>
  <c r="G59" i="5"/>
  <c r="F59" i="5"/>
  <c r="E59" i="5"/>
  <c r="H58" i="5"/>
  <c r="G58" i="5"/>
  <c r="F58" i="5"/>
  <c r="E58" i="5"/>
  <c r="H57" i="5"/>
  <c r="G57" i="5"/>
  <c r="F57" i="5"/>
  <c r="E57" i="5"/>
  <c r="H56" i="5"/>
  <c r="G56" i="5"/>
  <c r="F56" i="5"/>
  <c r="E56" i="5"/>
  <c r="H54" i="5"/>
  <c r="G54" i="5"/>
  <c r="F54" i="5"/>
  <c r="E54" i="5"/>
  <c r="H53" i="5"/>
  <c r="G53" i="5"/>
  <c r="F53" i="5"/>
  <c r="E53" i="5"/>
  <c r="H52" i="5"/>
  <c r="G52" i="5"/>
  <c r="F52" i="5"/>
  <c r="E52" i="5"/>
  <c r="H51" i="5"/>
  <c r="G51" i="5"/>
  <c r="F51" i="5"/>
  <c r="E51" i="5"/>
  <c r="H49" i="5"/>
  <c r="G49" i="5"/>
  <c r="F49" i="5"/>
  <c r="E49" i="5"/>
  <c r="H47" i="5"/>
  <c r="G47" i="5"/>
  <c r="F47" i="5"/>
  <c r="E47" i="5"/>
  <c r="H44" i="5"/>
  <c r="G44" i="5"/>
  <c r="F44" i="5"/>
  <c r="E44" i="5"/>
  <c r="H43" i="5"/>
  <c r="G43" i="5"/>
  <c r="F43" i="5"/>
  <c r="E43" i="5"/>
  <c r="H42" i="5"/>
  <c r="G42" i="5"/>
  <c r="F42" i="5"/>
  <c r="E42" i="5"/>
  <c r="H41" i="5"/>
  <c r="G41" i="5"/>
  <c r="F41" i="5"/>
  <c r="E41" i="5"/>
  <c r="H40" i="5"/>
  <c r="G40" i="5"/>
  <c r="F40" i="5"/>
  <c r="E40" i="5"/>
  <c r="H39" i="5"/>
  <c r="G39" i="5"/>
  <c r="F39" i="5"/>
  <c r="E39" i="5"/>
  <c r="H37" i="5"/>
  <c r="G37" i="5"/>
  <c r="F37" i="5"/>
  <c r="E37" i="5"/>
  <c r="H36" i="5"/>
  <c r="G36" i="5"/>
  <c r="F36" i="5"/>
  <c r="E36" i="5"/>
  <c r="H35" i="5"/>
  <c r="G35" i="5"/>
  <c r="F35" i="5"/>
  <c r="E35" i="5"/>
  <c r="H34" i="5"/>
  <c r="G34" i="5"/>
  <c r="F34" i="5"/>
  <c r="E34" i="5"/>
  <c r="H33" i="5"/>
  <c r="G33" i="5"/>
  <c r="F33" i="5"/>
  <c r="E33" i="5"/>
  <c r="H32" i="5"/>
  <c r="G32" i="5"/>
  <c r="F32" i="5"/>
  <c r="E32" i="5"/>
  <c r="D96" i="5"/>
  <c r="D94" i="5"/>
  <c r="D92" i="5"/>
  <c r="D91" i="5"/>
  <c r="D90" i="5"/>
  <c r="D89" i="5"/>
  <c r="D88" i="5"/>
  <c r="D87" i="5"/>
  <c r="D86" i="5"/>
  <c r="D85" i="5"/>
  <c r="D84" i="5"/>
  <c r="D81" i="5"/>
  <c r="D80" i="5"/>
  <c r="D79" i="5"/>
  <c r="D78" i="5"/>
  <c r="D77" i="5"/>
  <c r="D76" i="5"/>
  <c r="D71" i="5"/>
  <c r="D70" i="5"/>
  <c r="D69" i="5"/>
  <c r="D68" i="5"/>
  <c r="H27" i="5"/>
  <c r="G27" i="5"/>
  <c r="F27" i="5"/>
  <c r="E27" i="5"/>
  <c r="D27" i="5"/>
  <c r="H26" i="5"/>
  <c r="G26" i="5"/>
  <c r="F26" i="5"/>
  <c r="E26" i="5"/>
  <c r="D26" i="5"/>
  <c r="H25" i="5"/>
  <c r="G25" i="5"/>
  <c r="F25" i="5"/>
  <c r="E25" i="5"/>
  <c r="D25" i="5"/>
  <c r="H23" i="5"/>
  <c r="G23" i="5"/>
  <c r="F23" i="5"/>
  <c r="E23" i="5"/>
  <c r="D23" i="5"/>
  <c r="H22" i="5"/>
  <c r="G22" i="5"/>
  <c r="F22" i="5"/>
  <c r="E22" i="5"/>
  <c r="D22" i="5"/>
  <c r="H21" i="5"/>
  <c r="G21" i="5"/>
  <c r="F21" i="5"/>
  <c r="E21" i="5"/>
  <c r="D21" i="5"/>
  <c r="H20" i="5"/>
  <c r="G20" i="5"/>
  <c r="F20" i="5"/>
  <c r="E20" i="5"/>
  <c r="D20" i="5"/>
  <c r="H18" i="5"/>
  <c r="G18" i="5"/>
  <c r="F18" i="5"/>
  <c r="E18" i="5"/>
  <c r="D18" i="5"/>
  <c r="H17" i="5"/>
  <c r="G17" i="5"/>
  <c r="F17" i="5"/>
  <c r="E17" i="5"/>
  <c r="D17" i="5"/>
  <c r="H15" i="5"/>
  <c r="G15" i="5"/>
  <c r="F15" i="5"/>
  <c r="E15" i="5"/>
  <c r="D15" i="5"/>
  <c r="H14" i="5"/>
  <c r="G14" i="5"/>
  <c r="F14" i="5"/>
  <c r="E14" i="5"/>
  <c r="D14" i="5"/>
  <c r="H12" i="5"/>
  <c r="G12" i="5"/>
  <c r="F12" i="5"/>
  <c r="E12" i="5"/>
  <c r="D12" i="5"/>
  <c r="H11" i="5"/>
  <c r="G11" i="5"/>
  <c r="F11" i="5"/>
  <c r="E11" i="5"/>
  <c r="D11" i="5"/>
  <c r="H10" i="5"/>
  <c r="G10" i="5"/>
  <c r="F10" i="5"/>
  <c r="E10" i="5"/>
  <c r="D10" i="5"/>
  <c r="E8" i="5"/>
  <c r="F8" i="5" s="1"/>
  <c r="G8" i="5" s="1"/>
  <c r="H8" i="5" s="1"/>
  <c r="H10" i="4"/>
  <c r="G10" i="4"/>
  <c r="F10" i="4"/>
  <c r="E10" i="4"/>
  <c r="D10" i="4"/>
  <c r="H21" i="4"/>
  <c r="G21" i="4"/>
  <c r="F21" i="4"/>
  <c r="E21" i="4"/>
  <c r="D21" i="4"/>
  <c r="H26" i="4"/>
  <c r="G26" i="4"/>
  <c r="F26" i="4"/>
  <c r="E26" i="4"/>
  <c r="H25" i="4"/>
  <c r="G25" i="4"/>
  <c r="F25" i="4"/>
  <c r="E25" i="4"/>
  <c r="D26" i="4"/>
  <c r="D25" i="4"/>
  <c r="H22" i="4"/>
  <c r="G22" i="4"/>
  <c r="F22" i="4"/>
  <c r="E22" i="4"/>
  <c r="H20" i="4"/>
  <c r="G20" i="4"/>
  <c r="F20" i="4"/>
  <c r="E20" i="4"/>
  <c r="D22" i="4"/>
  <c r="D20" i="4"/>
  <c r="H17" i="4"/>
  <c r="G17" i="4"/>
  <c r="F17" i="4"/>
  <c r="E17" i="4"/>
  <c r="D17" i="4"/>
  <c r="H14" i="4"/>
  <c r="G14" i="4"/>
  <c r="F14" i="4"/>
  <c r="E14" i="4"/>
  <c r="D14" i="4"/>
  <c r="H11" i="4"/>
  <c r="H12" i="4" s="1"/>
  <c r="G11" i="4"/>
  <c r="G12" i="4" s="1"/>
  <c r="F11" i="4"/>
  <c r="F12" i="4" s="1"/>
  <c r="E11" i="4"/>
  <c r="E12" i="4" s="1"/>
  <c r="H33" i="1"/>
  <c r="G33" i="1"/>
  <c r="F33" i="1"/>
  <c r="E33" i="1"/>
  <c r="D33" i="1"/>
  <c r="D11" i="4"/>
  <c r="D12" i="4" s="1"/>
  <c r="D13" i="4" s="1"/>
  <c r="E8" i="4"/>
  <c r="F8" i="4" s="1"/>
  <c r="G8" i="4" s="1"/>
  <c r="H8" i="4" s="1"/>
  <c r="H36" i="1"/>
  <c r="G36" i="1"/>
  <c r="F36" i="1"/>
  <c r="E36" i="1"/>
  <c r="D36" i="1"/>
  <c r="H35" i="1"/>
  <c r="G35" i="1"/>
  <c r="F35" i="1"/>
  <c r="E35" i="1"/>
  <c r="D35" i="1"/>
  <c r="H34" i="1"/>
  <c r="G34" i="1"/>
  <c r="F34" i="1"/>
  <c r="E34" i="1"/>
  <c r="H32" i="1"/>
  <c r="G32" i="1"/>
  <c r="F32" i="1"/>
  <c r="E32" i="1"/>
  <c r="D34" i="1"/>
  <c r="J26" i="14" l="1"/>
  <c r="J29" i="14" s="1"/>
  <c r="J15" i="14"/>
  <c r="J23" i="12"/>
  <c r="J17" i="18" s="1"/>
  <c r="L17" i="6"/>
  <c r="K16" i="6"/>
  <c r="K21" i="12" s="1"/>
  <c r="N20" i="6"/>
  <c r="M19" i="6"/>
  <c r="M26" i="12" s="1"/>
  <c r="H15" i="4"/>
  <c r="H16" i="4"/>
  <c r="H18" i="4"/>
  <c r="H23" i="4" s="1"/>
  <c r="G15" i="4"/>
  <c r="G13" i="4"/>
  <c r="E15" i="4"/>
  <c r="E13" i="4"/>
  <c r="F15" i="4"/>
  <c r="F13" i="4"/>
  <c r="D15" i="4"/>
  <c r="H13" i="4"/>
  <c r="K26" i="14" l="1"/>
  <c r="K29" i="14" s="1"/>
  <c r="K15" i="14"/>
  <c r="K23" i="12"/>
  <c r="K17" i="18" s="1"/>
  <c r="J25" i="12"/>
  <c r="M17" i="6"/>
  <c r="L16" i="6"/>
  <c r="L21" i="12" s="1"/>
  <c r="O20" i="6"/>
  <c r="N19" i="6"/>
  <c r="N26" i="12" s="1"/>
  <c r="H27" i="4"/>
  <c r="H28" i="4" s="1"/>
  <c r="H24" i="4"/>
  <c r="G18" i="4"/>
  <c r="G23" i="4" s="1"/>
  <c r="G16" i="4"/>
  <c r="H19" i="4"/>
  <c r="F18" i="4"/>
  <c r="F23" i="4" s="1"/>
  <c r="F16" i="4"/>
  <c r="D16" i="4"/>
  <c r="D18" i="4"/>
  <c r="D23" i="4" s="1"/>
  <c r="E16" i="4"/>
  <c r="E18" i="4"/>
  <c r="E23" i="4" s="1"/>
  <c r="J10" i="17" l="1"/>
  <c r="J11" i="17" s="1"/>
  <c r="J15" i="17" s="1"/>
  <c r="J19" i="18"/>
  <c r="O19" i="6"/>
  <c r="O26" i="12" s="1"/>
  <c r="P20" i="6"/>
  <c r="L26" i="14"/>
  <c r="L29" i="14" s="1"/>
  <c r="L15" i="14"/>
  <c r="L23" i="12"/>
  <c r="L17" i="18" s="1"/>
  <c r="N17" i="6"/>
  <c r="M16" i="6"/>
  <c r="M21" i="12" s="1"/>
  <c r="K25" i="12"/>
  <c r="J27" i="12"/>
  <c r="E27" i="4"/>
  <c r="E28" i="4" s="1"/>
  <c r="E24" i="4"/>
  <c r="G27" i="4"/>
  <c r="G28" i="4" s="1"/>
  <c r="G24" i="4"/>
  <c r="F27" i="4"/>
  <c r="F28" i="4" s="1"/>
  <c r="F24" i="4"/>
  <c r="D27" i="4"/>
  <c r="D28" i="4" s="1"/>
  <c r="D24" i="4"/>
  <c r="E19" i="4"/>
  <c r="D19" i="4"/>
  <c r="F19" i="4"/>
  <c r="G19" i="4"/>
  <c r="J61" i="18" l="1"/>
  <c r="J21" i="18"/>
  <c r="K10" i="17"/>
  <c r="K11" i="17" s="1"/>
  <c r="K15" i="17" s="1"/>
  <c r="K19" i="18"/>
  <c r="Q20" i="6"/>
  <c r="P19" i="6"/>
  <c r="P26" i="12" s="1"/>
  <c r="M26" i="14"/>
  <c r="M29" i="14" s="1"/>
  <c r="M15" i="14"/>
  <c r="M23" i="12"/>
  <c r="M17" i="18" s="1"/>
  <c r="L25" i="12"/>
  <c r="J30" i="12"/>
  <c r="J35" i="14" s="1"/>
  <c r="J38" i="14" s="1"/>
  <c r="J12" i="14"/>
  <c r="J18" i="14" s="1"/>
  <c r="K27" i="12"/>
  <c r="O17" i="6"/>
  <c r="N16" i="6"/>
  <c r="N21" i="12" s="1"/>
  <c r="H63" i="3"/>
  <c r="H79" i="3" s="1"/>
  <c r="G63" i="3"/>
  <c r="F63" i="3"/>
  <c r="E63" i="3"/>
  <c r="D63" i="3"/>
  <c r="H42" i="3"/>
  <c r="H76" i="3"/>
  <c r="G76" i="3"/>
  <c r="F76" i="3"/>
  <c r="E76" i="3"/>
  <c r="H47" i="3"/>
  <c r="G47" i="3"/>
  <c r="G79" i="3" s="1"/>
  <c r="F47" i="3"/>
  <c r="F79" i="3" s="1"/>
  <c r="E47" i="3"/>
  <c r="G42" i="3"/>
  <c r="F42" i="3"/>
  <c r="E42" i="3"/>
  <c r="D76" i="3"/>
  <c r="D42" i="3"/>
  <c r="E8" i="3"/>
  <c r="F8" i="3" s="1"/>
  <c r="G8" i="3" s="1"/>
  <c r="H8" i="3" s="1"/>
  <c r="H60" i="2"/>
  <c r="G60" i="2"/>
  <c r="F60" i="2"/>
  <c r="E60" i="2"/>
  <c r="D60" i="2"/>
  <c r="H71" i="2"/>
  <c r="G71" i="2"/>
  <c r="F71" i="2"/>
  <c r="E71" i="2"/>
  <c r="H50" i="2"/>
  <c r="H40" i="1" s="1"/>
  <c r="G50" i="2"/>
  <c r="G40" i="1" s="1"/>
  <c r="F50" i="2"/>
  <c r="F40" i="1" s="1"/>
  <c r="E50" i="2"/>
  <c r="E40" i="1" s="1"/>
  <c r="H41" i="2"/>
  <c r="G41" i="2"/>
  <c r="F41" i="2"/>
  <c r="E41" i="2"/>
  <c r="E43" i="2" s="1"/>
  <c r="H23" i="2"/>
  <c r="G23" i="2"/>
  <c r="F23" i="2"/>
  <c r="F43" i="2" s="1"/>
  <c r="E23" i="2"/>
  <c r="D71" i="2"/>
  <c r="D73" i="2" s="1"/>
  <c r="D75" i="2" s="1"/>
  <c r="D50" i="2"/>
  <c r="D40" i="1" s="1"/>
  <c r="D41" i="2"/>
  <c r="D23" i="2"/>
  <c r="E8" i="2"/>
  <c r="F8" i="2" s="1"/>
  <c r="G8" i="2" s="1"/>
  <c r="H8" i="2" s="1"/>
  <c r="E27" i="1"/>
  <c r="D27" i="1"/>
  <c r="H23" i="1"/>
  <c r="D23" i="1"/>
  <c r="D25" i="1"/>
  <c r="D20" i="1"/>
  <c r="D21" i="1" s="1"/>
  <c r="H25" i="1"/>
  <c r="H27" i="1" s="1"/>
  <c r="H21" i="1"/>
  <c r="L10" i="17" l="1"/>
  <c r="L11" i="17" s="1"/>
  <c r="L15" i="17" s="1"/>
  <c r="L19" i="18"/>
  <c r="K61" i="18"/>
  <c r="K21" i="18"/>
  <c r="L27" i="12"/>
  <c r="L12" i="14" s="1"/>
  <c r="L18" i="14" s="1"/>
  <c r="R20" i="6"/>
  <c r="R19" i="6" s="1"/>
  <c r="R26" i="12" s="1"/>
  <c r="Q19" i="6"/>
  <c r="Q26" i="12" s="1"/>
  <c r="N26" i="14"/>
  <c r="N29" i="14" s="1"/>
  <c r="N15" i="14"/>
  <c r="N23" i="12"/>
  <c r="N17" i="18" s="1"/>
  <c r="M25" i="12"/>
  <c r="M27" i="12"/>
  <c r="J41" i="14"/>
  <c r="K12" i="14"/>
  <c r="K18" i="14" s="1"/>
  <c r="K30" i="12"/>
  <c r="K35" i="14" s="1"/>
  <c r="K38" i="14" s="1"/>
  <c r="P17" i="6"/>
  <c r="O16" i="6"/>
  <c r="O21" i="12" s="1"/>
  <c r="J70" i="11"/>
  <c r="E79" i="3"/>
  <c r="E39" i="1"/>
  <c r="E38" i="1"/>
  <c r="E37" i="1"/>
  <c r="D43" i="2"/>
  <c r="F39" i="1"/>
  <c r="F37" i="1"/>
  <c r="F38" i="1"/>
  <c r="E73" i="2"/>
  <c r="D44" i="5"/>
  <c r="D44" i="3"/>
  <c r="D47" i="3" s="1"/>
  <c r="D79" i="3" s="1"/>
  <c r="D82" i="3" s="1"/>
  <c r="H43" i="2"/>
  <c r="G73" i="2"/>
  <c r="G75" i="2" s="1"/>
  <c r="G43" i="2"/>
  <c r="H73" i="2"/>
  <c r="H75" i="2" s="1"/>
  <c r="F73" i="2"/>
  <c r="F75" i="2" s="1"/>
  <c r="F77" i="2" s="1"/>
  <c r="E75" i="2"/>
  <c r="E77" i="2" s="1"/>
  <c r="D77" i="2"/>
  <c r="L61" i="18" l="1"/>
  <c r="L21" i="18"/>
  <c r="L30" i="12"/>
  <c r="L35" i="14" s="1"/>
  <c r="L38" i="14" s="1"/>
  <c r="L41" i="14" s="1"/>
  <c r="M10" i="17"/>
  <c r="M11" i="17" s="1"/>
  <c r="M15" i="17" s="1"/>
  <c r="M19" i="18"/>
  <c r="M21" i="18"/>
  <c r="M61" i="18"/>
  <c r="J72" i="11"/>
  <c r="J48" i="13"/>
  <c r="K70" i="11"/>
  <c r="M30" i="12"/>
  <c r="M35" i="14" s="1"/>
  <c r="M38" i="14" s="1"/>
  <c r="M12" i="14"/>
  <c r="M18" i="14" s="1"/>
  <c r="Q17" i="6"/>
  <c r="P16" i="6"/>
  <c r="P21" i="12" s="1"/>
  <c r="N25" i="12"/>
  <c r="O26" i="14"/>
  <c r="O29" i="14" s="1"/>
  <c r="O15" i="14"/>
  <c r="O23" i="12"/>
  <c r="O17" i="18" s="1"/>
  <c r="K41" i="14"/>
  <c r="E80" i="3"/>
  <c r="G77" i="2"/>
  <c r="G37" i="1"/>
  <c r="G39" i="1"/>
  <c r="G38" i="1"/>
  <c r="D64" i="5"/>
  <c r="D59" i="5"/>
  <c r="D56" i="5"/>
  <c r="D51" i="5"/>
  <c r="D43" i="5"/>
  <c r="D39" i="5"/>
  <c r="D34" i="5"/>
  <c r="D37" i="1"/>
  <c r="D57" i="5"/>
  <c r="D40" i="5"/>
  <c r="D39" i="1"/>
  <c r="D58" i="5"/>
  <c r="D54" i="5"/>
  <c r="D49" i="5"/>
  <c r="D42" i="5"/>
  <c r="D37" i="5"/>
  <c r="D33" i="5"/>
  <c r="D38" i="1"/>
  <c r="D52" i="5"/>
  <c r="D61" i="5"/>
  <c r="D53" i="5"/>
  <c r="D47" i="5"/>
  <c r="D41" i="5"/>
  <c r="D36" i="5"/>
  <c r="D32" i="5"/>
  <c r="D60" i="5"/>
  <c r="D35" i="5"/>
  <c r="H37" i="1"/>
  <c r="H39" i="1"/>
  <c r="H38" i="1"/>
  <c r="D62" i="5"/>
  <c r="F82" i="3"/>
  <c r="H77" i="2"/>
  <c r="N10" i="17" l="1"/>
  <c r="N11" i="17" s="1"/>
  <c r="N15" i="17" s="1"/>
  <c r="N19" i="18"/>
  <c r="N27" i="12"/>
  <c r="R17" i="6"/>
  <c r="R16" i="6" s="1"/>
  <c r="R21" i="12" s="1"/>
  <c r="Q16" i="6"/>
  <c r="Q21" i="12" s="1"/>
  <c r="P26" i="14"/>
  <c r="P29" i="14" s="1"/>
  <c r="P15" i="14"/>
  <c r="P23" i="12"/>
  <c r="P17" i="18" s="1"/>
  <c r="L70" i="11"/>
  <c r="K48" i="13"/>
  <c r="O25" i="12"/>
  <c r="M41" i="14"/>
  <c r="J49" i="13"/>
  <c r="J50" i="13" s="1"/>
  <c r="K72" i="11"/>
  <c r="G80" i="3"/>
  <c r="E82" i="3"/>
  <c r="E42" i="14"/>
  <c r="E43" i="14" s="1"/>
  <c r="H20" i="1"/>
  <c r="G20" i="1"/>
  <c r="F20" i="1"/>
  <c r="E20" i="1"/>
  <c r="H12" i="1"/>
  <c r="G12" i="1"/>
  <c r="F12" i="1"/>
  <c r="E12" i="1"/>
  <c r="D12" i="1"/>
  <c r="G8" i="1"/>
  <c r="H8" i="1" s="1"/>
  <c r="F8" i="1"/>
  <c r="E8" i="1"/>
  <c r="J75" i="13" l="1"/>
  <c r="J32" i="13" s="1"/>
  <c r="J41" i="18"/>
  <c r="J23" i="18"/>
  <c r="N12" i="14"/>
  <c r="N18" i="14" s="1"/>
  <c r="N41" i="14" s="1"/>
  <c r="N61" i="18"/>
  <c r="N21" i="18"/>
  <c r="N30" i="12"/>
  <c r="N35" i="14" s="1"/>
  <c r="N38" i="14" s="1"/>
  <c r="O10" i="17"/>
  <c r="O11" i="17" s="1"/>
  <c r="O15" i="17" s="1"/>
  <c r="O19" i="18"/>
  <c r="O27" i="12"/>
  <c r="O12" i="14" s="1"/>
  <c r="O18" i="14" s="1"/>
  <c r="L48" i="13"/>
  <c r="M70" i="11"/>
  <c r="P25" i="12"/>
  <c r="Q26" i="14"/>
  <c r="Q29" i="14" s="1"/>
  <c r="Q15" i="14"/>
  <c r="Q23" i="12"/>
  <c r="Q17" i="18" s="1"/>
  <c r="K49" i="13"/>
  <c r="K50" i="13" s="1"/>
  <c r="L72" i="11"/>
  <c r="R26" i="14"/>
  <c r="R29" i="14" s="1"/>
  <c r="R23" i="12"/>
  <c r="R17" i="18" s="1"/>
  <c r="R15" i="14"/>
  <c r="G82" i="3"/>
  <c r="G42" i="14"/>
  <c r="G43" i="14" s="1"/>
  <c r="G21" i="1"/>
  <c r="G23" i="1" s="1"/>
  <c r="G25" i="1" s="1"/>
  <c r="G27" i="1" s="1"/>
  <c r="F21" i="1"/>
  <c r="F23" i="1" s="1"/>
  <c r="F25" i="1" s="1"/>
  <c r="F27" i="1" s="1"/>
  <c r="E21" i="1"/>
  <c r="E23" i="1" s="1"/>
  <c r="E25" i="1" s="1"/>
  <c r="O61" i="18" l="1"/>
  <c r="O21" i="18"/>
  <c r="P10" i="17"/>
  <c r="P11" i="17" s="1"/>
  <c r="P15" i="17" s="1"/>
  <c r="P19" i="18"/>
  <c r="K75" i="13"/>
  <c r="K32" i="13" s="1"/>
  <c r="K41" i="18"/>
  <c r="K23" i="18"/>
  <c r="J41" i="13"/>
  <c r="J35" i="18"/>
  <c r="O30" i="12"/>
  <c r="O35" i="14" s="1"/>
  <c r="O38" i="14" s="1"/>
  <c r="O41" i="14" s="1"/>
  <c r="P27" i="12"/>
  <c r="L49" i="13"/>
  <c r="L50" i="13" s="1"/>
  <c r="M72" i="11"/>
  <c r="Q25" i="12"/>
  <c r="N70" i="11"/>
  <c r="M48" i="13"/>
  <c r="R25" i="12"/>
  <c r="H80" i="3"/>
  <c r="I41" i="13"/>
  <c r="K41" i="13" l="1"/>
  <c r="K35" i="18"/>
  <c r="J43" i="13"/>
  <c r="J31" i="18"/>
  <c r="J33" i="18"/>
  <c r="L75" i="13"/>
  <c r="L41" i="18"/>
  <c r="L23" i="18"/>
  <c r="P12" i="14"/>
  <c r="P18" i="14" s="1"/>
  <c r="P61" i="18"/>
  <c r="P21" i="18"/>
  <c r="R10" i="17"/>
  <c r="R11" i="17" s="1"/>
  <c r="R15" i="17" s="1"/>
  <c r="F20" i="17" s="1"/>
  <c r="F26" i="17" s="1"/>
  <c r="R19" i="18"/>
  <c r="I43" i="13"/>
  <c r="I31" i="18"/>
  <c r="I33" i="18"/>
  <c r="Q10" i="17"/>
  <c r="Q11" i="17" s="1"/>
  <c r="Q15" i="17" s="1"/>
  <c r="Q19" i="18"/>
  <c r="R27" i="12"/>
  <c r="Q27" i="12"/>
  <c r="P30" i="12"/>
  <c r="P35" i="14" s="1"/>
  <c r="P38" i="14" s="1"/>
  <c r="P41" i="14" s="1"/>
  <c r="M49" i="13"/>
  <c r="M50" i="13" s="1"/>
  <c r="N72" i="11"/>
  <c r="O70" i="11"/>
  <c r="N48" i="13"/>
  <c r="L32" i="13"/>
  <c r="R12" i="14"/>
  <c r="R18" i="14" s="1"/>
  <c r="H82" i="3"/>
  <c r="H42" i="14"/>
  <c r="H43" i="14" s="1"/>
  <c r="I42" i="14" s="1"/>
  <c r="I43" i="14" s="1"/>
  <c r="J42" i="14" s="1"/>
  <c r="J43" i="14" s="1"/>
  <c r="K42" i="14" s="1"/>
  <c r="K43" i="14" s="1"/>
  <c r="L42" i="14" s="1"/>
  <c r="L43" i="14" s="1"/>
  <c r="M42" i="14" s="1"/>
  <c r="M43" i="14" s="1"/>
  <c r="N42" i="14" s="1"/>
  <c r="N43" i="14" s="1"/>
  <c r="O42" i="14" s="1"/>
  <c r="O43" i="14" s="1"/>
  <c r="P42" i="14" s="1"/>
  <c r="I77" i="13"/>
  <c r="F25" i="17" l="1"/>
  <c r="F27" i="17" s="1"/>
  <c r="F31" i="17" s="1"/>
  <c r="F34" i="17" s="1"/>
  <c r="J21" i="17" s="1"/>
  <c r="I39" i="18"/>
  <c r="I65" i="18"/>
  <c r="I51" i="18"/>
  <c r="I63" i="18"/>
  <c r="I67" i="18" s="1"/>
  <c r="I43" i="18"/>
  <c r="I25" i="18"/>
  <c r="I27" i="18"/>
  <c r="J78" i="13"/>
  <c r="J65" i="18"/>
  <c r="J39" i="18"/>
  <c r="J63" i="18"/>
  <c r="J51" i="18"/>
  <c r="J43" i="18"/>
  <c r="J25" i="18"/>
  <c r="J27" i="18"/>
  <c r="J77" i="13"/>
  <c r="I78" i="13"/>
  <c r="Q12" i="14"/>
  <c r="Q18" i="14" s="1"/>
  <c r="Q21" i="18"/>
  <c r="Q61" i="18"/>
  <c r="L41" i="13"/>
  <c r="L35" i="18"/>
  <c r="M75" i="13"/>
  <c r="M32" i="13" s="1"/>
  <c r="M41" i="18"/>
  <c r="M23" i="18"/>
  <c r="R30" i="12"/>
  <c r="R35" i="14" s="1"/>
  <c r="R38" i="14" s="1"/>
  <c r="R41" i="14" s="1"/>
  <c r="R61" i="18"/>
  <c r="R21" i="18"/>
  <c r="K43" i="13"/>
  <c r="K33" i="18"/>
  <c r="K31" i="18"/>
  <c r="Q30" i="12"/>
  <c r="Q35" i="14" s="1"/>
  <c r="Q38" i="14" s="1"/>
  <c r="Q41" i="14" s="1"/>
  <c r="P43" i="14"/>
  <c r="Q42" i="14" s="1"/>
  <c r="O48" i="13"/>
  <c r="P70" i="11"/>
  <c r="N49" i="13"/>
  <c r="N50" i="13" s="1"/>
  <c r="O72" i="11"/>
  <c r="F36" i="17" l="1"/>
  <c r="J67" i="18"/>
  <c r="M41" i="13"/>
  <c r="M35" i="18"/>
  <c r="L43" i="13"/>
  <c r="L33" i="18"/>
  <c r="L31" i="18"/>
  <c r="N75" i="13"/>
  <c r="N32" i="13" s="1"/>
  <c r="N41" i="18"/>
  <c r="N23" i="18"/>
  <c r="K78" i="13"/>
  <c r="K39" i="18"/>
  <c r="K65" i="18"/>
  <c r="K51" i="18"/>
  <c r="K63" i="18"/>
  <c r="K43" i="18"/>
  <c r="K25" i="18"/>
  <c r="K27" i="18"/>
  <c r="K77" i="13"/>
  <c r="Q43" i="14"/>
  <c r="R42" i="14" s="1"/>
  <c r="R43" i="14" s="1"/>
  <c r="P72" i="11"/>
  <c r="O49" i="13"/>
  <c r="O50" i="13" s="1"/>
  <c r="P48" i="13"/>
  <c r="Q70" i="11"/>
  <c r="K67" i="18" l="1"/>
  <c r="O75" i="13"/>
  <c r="O32" i="13" s="1"/>
  <c r="O41" i="18"/>
  <c r="O23" i="18"/>
  <c r="M43" i="13"/>
  <c r="M31" i="18"/>
  <c r="M33" i="18"/>
  <c r="N41" i="13"/>
  <c r="N35" i="18"/>
  <c r="L78" i="13"/>
  <c r="L65" i="18"/>
  <c r="L39" i="18"/>
  <c r="L63" i="18"/>
  <c r="L51" i="18"/>
  <c r="L43" i="18"/>
  <c r="L25" i="18"/>
  <c r="L27" i="18"/>
  <c r="L77" i="13"/>
  <c r="R70" i="11"/>
  <c r="R48" i="13" s="1"/>
  <c r="Q48" i="13"/>
  <c r="P49" i="13"/>
  <c r="P50" i="13" s="1"/>
  <c r="Q72" i="11"/>
  <c r="L67" i="18" l="1"/>
  <c r="N43" i="13"/>
  <c r="N33" i="18"/>
  <c r="N31" i="18"/>
  <c r="P75" i="13"/>
  <c r="P32" i="13" s="1"/>
  <c r="P41" i="18"/>
  <c r="P23" i="18"/>
  <c r="M78" i="13"/>
  <c r="M39" i="18"/>
  <c r="M65" i="18"/>
  <c r="M63" i="18"/>
  <c r="M51" i="18"/>
  <c r="M43" i="18"/>
  <c r="M25" i="18"/>
  <c r="M27" i="18"/>
  <c r="M77" i="13"/>
  <c r="O41" i="13"/>
  <c r="O35" i="18"/>
  <c r="R72" i="11"/>
  <c r="R49" i="13" s="1"/>
  <c r="R50" i="13" s="1"/>
  <c r="Q49" i="13"/>
  <c r="Q50" i="13" s="1"/>
  <c r="M67" i="18" l="1"/>
  <c r="P41" i="13"/>
  <c r="P35" i="18"/>
  <c r="O43" i="13"/>
  <c r="O33" i="18"/>
  <c r="O31" i="18"/>
  <c r="R75" i="13"/>
  <c r="R32" i="13" s="1"/>
  <c r="R41" i="18"/>
  <c r="R23" i="18"/>
  <c r="Q75" i="13"/>
  <c r="Q32" i="13" s="1"/>
  <c r="Q41" i="18"/>
  <c r="Q23" i="18"/>
  <c r="N78" i="13"/>
  <c r="N65" i="18"/>
  <c r="N39" i="18"/>
  <c r="N63" i="18"/>
  <c r="N51" i="18"/>
  <c r="N43" i="18"/>
  <c r="N25" i="18"/>
  <c r="N27" i="18"/>
  <c r="N77" i="13"/>
  <c r="N67" i="18" l="1"/>
  <c r="O77" i="13"/>
  <c r="O39" i="18"/>
  <c r="O65" i="18"/>
  <c r="O51" i="18"/>
  <c r="O63" i="18"/>
  <c r="O43" i="18"/>
  <c r="O25" i="18"/>
  <c r="O27" i="18"/>
  <c r="O78" i="13"/>
  <c r="R41" i="13"/>
  <c r="R35" i="18"/>
  <c r="Q41" i="13"/>
  <c r="Q35" i="18"/>
  <c r="P43" i="13"/>
  <c r="P31" i="18"/>
  <c r="P33" i="18"/>
  <c r="P78" i="13" l="1"/>
  <c r="P65" i="18"/>
  <c r="P39" i="18"/>
  <c r="P63" i="18"/>
  <c r="P51" i="18"/>
  <c r="P43" i="18"/>
  <c r="P25" i="18"/>
  <c r="P27" i="18"/>
  <c r="P77" i="13"/>
  <c r="R43" i="13"/>
  <c r="R31" i="18"/>
  <c r="R33" i="18"/>
  <c r="Q43" i="13"/>
  <c r="Q31" i="18"/>
  <c r="Q33" i="18"/>
  <c r="O67" i="18"/>
  <c r="P67" i="18" l="1"/>
  <c r="R77" i="13"/>
  <c r="R65" i="18"/>
  <c r="R39" i="18"/>
  <c r="R63" i="18"/>
  <c r="R67" i="18" s="1"/>
  <c r="R51" i="18"/>
  <c r="R43" i="18"/>
  <c r="R25" i="18"/>
  <c r="R27" i="18"/>
  <c r="R78" i="13"/>
  <c r="Q77" i="13"/>
  <c r="Q39" i="18"/>
  <c r="Q65" i="18"/>
  <c r="Q51" i="18"/>
  <c r="Q63" i="18"/>
  <c r="Q43" i="18"/>
  <c r="Q25" i="18"/>
  <c r="Q27" i="18"/>
  <c r="Q78" i="13"/>
  <c r="Q67" i="18" l="1"/>
</calcChain>
</file>

<file path=xl/sharedStrings.xml><?xml version="1.0" encoding="utf-8"?>
<sst xmlns="http://schemas.openxmlformats.org/spreadsheetml/2006/main" count="1178" uniqueCount="431">
  <si>
    <t>Particulars</t>
  </si>
  <si>
    <t>Income Statement</t>
  </si>
  <si>
    <t>Income</t>
  </si>
  <si>
    <t>Revenue from operations</t>
  </si>
  <si>
    <t>Others Income</t>
  </si>
  <si>
    <t>Total Income</t>
  </si>
  <si>
    <t>Expesnes</t>
  </si>
  <si>
    <t>Purchases of Stock-in-Trade</t>
  </si>
  <si>
    <t>Changes in inventories of Stock-in -Trade</t>
  </si>
  <si>
    <t>Employee Benefits Expense</t>
  </si>
  <si>
    <t>Finance Costs</t>
  </si>
  <si>
    <t>Depreciation and Amortization Expense</t>
  </si>
  <si>
    <t>Other Expenses</t>
  </si>
  <si>
    <t>Total Expenses</t>
  </si>
  <si>
    <t xml:space="preserve">Profit/(Loss) before exceptional items and tax </t>
  </si>
  <si>
    <t>Exceptional Items</t>
  </si>
  <si>
    <t xml:space="preserve">Profit/(Loss) before tax after exceptional Items </t>
  </si>
  <si>
    <t>Share in Profit and (Loss) of associates/Joint venture as per Equity method</t>
  </si>
  <si>
    <t>Profit/(Loss) before tax</t>
  </si>
  <si>
    <t>Tax expense:</t>
  </si>
  <si>
    <t>Profit /(Loss) for the period / year</t>
  </si>
  <si>
    <t>Balance Sheet</t>
  </si>
  <si>
    <t>Assets</t>
  </si>
  <si>
    <t>Non-Current Assets</t>
  </si>
  <si>
    <t>Property, Plant and Equipment</t>
  </si>
  <si>
    <t>Capital work-in-progress</t>
  </si>
  <si>
    <t>Investment Property</t>
  </si>
  <si>
    <t>Goodwill on Consolidation</t>
  </si>
  <si>
    <t>Other Intangible Assets</t>
  </si>
  <si>
    <t>Right of Use Assets</t>
  </si>
  <si>
    <t>Financial Assets</t>
  </si>
  <si>
    <t>Investments</t>
  </si>
  <si>
    <t>Loans</t>
  </si>
  <si>
    <t>Others</t>
  </si>
  <si>
    <t>Deferred Tax Assets (Net)</t>
  </si>
  <si>
    <t>Other Non-Current Assets</t>
  </si>
  <si>
    <t>Total Non-Current Assets</t>
  </si>
  <si>
    <t>Current Assets</t>
  </si>
  <si>
    <t>Inventories</t>
  </si>
  <si>
    <t>Trade receivables</t>
  </si>
  <si>
    <t>Trade Receivables considered good-Unsecured</t>
  </si>
  <si>
    <t>Trade Receivables- credit Impaired</t>
  </si>
  <si>
    <t>Cash and Cash Equivalents</t>
  </si>
  <si>
    <t>Bank Balances other than (iii) above</t>
  </si>
  <si>
    <t>Loan Receivables considered good - Secured</t>
  </si>
  <si>
    <t>Loan Receivables considered good - Unsecured</t>
  </si>
  <si>
    <t>Current Tax Assets (Net</t>
  </si>
  <si>
    <t>Other Current Assets</t>
  </si>
  <si>
    <t>Assets held for sale</t>
  </si>
  <si>
    <t>Total Current Assets</t>
  </si>
  <si>
    <t>Total Assets</t>
  </si>
  <si>
    <t>EQUITY AND LIABILITIES</t>
  </si>
  <si>
    <t>Equity</t>
  </si>
  <si>
    <t>Equity Share Capital</t>
  </si>
  <si>
    <t>Other Equity</t>
  </si>
  <si>
    <t>Non Controlling Interest</t>
  </si>
  <si>
    <t>Total Equity</t>
  </si>
  <si>
    <t>LIABILITIES</t>
  </si>
  <si>
    <t>Non-Current Liabilities</t>
  </si>
  <si>
    <t>Financial Liabilities</t>
  </si>
  <si>
    <t>Borrowings</t>
  </si>
  <si>
    <t>Other Financial Liabilities</t>
  </si>
  <si>
    <t>Provisions</t>
  </si>
  <si>
    <t>Other Non-Current Liabilities</t>
  </si>
  <si>
    <t>Total Non-Current Liabilities</t>
  </si>
  <si>
    <t>Current Liabilities</t>
  </si>
  <si>
    <t>Trade payables</t>
  </si>
  <si>
    <t>Other current liabilities</t>
  </si>
  <si>
    <t>Current Tax Liabilities (Net)</t>
  </si>
  <si>
    <t>Total Current Liabilities</t>
  </si>
  <si>
    <t>Total Liabilities</t>
  </si>
  <si>
    <t>Total Equity and Liabilities</t>
  </si>
  <si>
    <t>Check</t>
  </si>
  <si>
    <t>Lease Liabilities</t>
  </si>
  <si>
    <t>Cash Flow Statement</t>
  </si>
  <si>
    <t>CASH FLOW FROM OPERATING ACTIVITIES</t>
  </si>
  <si>
    <t>Net Profit / (Loss) before Taxes and Exceptional Items</t>
  </si>
  <si>
    <t>Adjustments for</t>
  </si>
  <si>
    <t>Depreciation</t>
  </si>
  <si>
    <t>Amortisation of Leasehold Land</t>
  </si>
  <si>
    <t>Impairment Loss</t>
  </si>
  <si>
    <t>Provision for doubtful debts and bad debts written off</t>
  </si>
  <si>
    <t>Finance Income and cost (Net)</t>
  </si>
  <si>
    <t>(Profit)/Loss on Fixed Assets sold/discarded (Net)</t>
  </si>
  <si>
    <t>(Profit)/Loss on sale of Investments</t>
  </si>
  <si>
    <t>Income From Investments</t>
  </si>
  <si>
    <t>Unrealised foreign exchange loss/ (gain)</t>
  </si>
  <si>
    <t>Excess provision no longer required written back</t>
  </si>
  <si>
    <t>Share in Profit and loss of Joint venture and Associates</t>
  </si>
  <si>
    <t>Changes in the fair value of Investments</t>
  </si>
  <si>
    <t>Amortised cost of Non Convertible debentures</t>
  </si>
  <si>
    <t>Amortisation of deferred lease (Income)</t>
  </si>
  <si>
    <t>Remeasurement of Defined Benefit Plan</t>
  </si>
  <si>
    <t>Expired Gift Vouchers and Credit Notes written back</t>
  </si>
  <si>
    <t>Gain) / loss on lease termination</t>
  </si>
  <si>
    <t>Operating Profit Before Working Capital Changes</t>
  </si>
  <si>
    <t>Adjustments for :</t>
  </si>
  <si>
    <t>(Increase)/Decrease in Inventories</t>
  </si>
  <si>
    <t>(Increase)/Decrease in Trade Receivables &amp; Other Current Assets</t>
  </si>
  <si>
    <t>Increase)/Decrease in Loans and Other Non Current Assets</t>
  </si>
  <si>
    <t>increase/(Decrease) in Trade Payable &amp; Other Current Liabilities</t>
  </si>
  <si>
    <t>Increase/(Decrease) in Non Current Liabilities</t>
  </si>
  <si>
    <t>Cash generated from operations</t>
  </si>
  <si>
    <t>Direct Taxes Paid</t>
  </si>
  <si>
    <t>Net Cash from Operating Activities</t>
  </si>
  <si>
    <t>CASH FLOW FROM INVESTING ACTIVITIES</t>
  </si>
  <si>
    <t>Purchase of Property,Plant and Equipments &amp; Investment Property</t>
  </si>
  <si>
    <t>Sale of Property,Plant and Equipments &amp; Investment Property</t>
  </si>
  <si>
    <t>Purchase of Investment</t>
  </si>
  <si>
    <t>Sale of Investments</t>
  </si>
  <si>
    <t>Loans given</t>
  </si>
  <si>
    <t>Repayment of Loans given</t>
  </si>
  <si>
    <t>Interest received</t>
  </si>
  <si>
    <t>Purchase of / Subscription to Investments in susbsidiaries,Joint ventures and Associates</t>
  </si>
  <si>
    <t>Dividend from Investments in susbsidiaries,Joint ventures and Associates</t>
  </si>
  <si>
    <t>Dividend from Investments</t>
  </si>
  <si>
    <t>Net cash from Investing Activities</t>
  </si>
  <si>
    <t>CASH FLOW FROM FINANCING ACTIVITIES</t>
  </si>
  <si>
    <t>Redemption of Securities</t>
  </si>
  <si>
    <t>Issue of securities (Net of issue expenses</t>
  </si>
  <si>
    <t>Short Term borrowings taken</t>
  </si>
  <si>
    <t>Repayment of short Term borrowings</t>
  </si>
  <si>
    <t>Finance Cost</t>
  </si>
  <si>
    <t>Dividend Paid</t>
  </si>
  <si>
    <t>Payment of Lease Liabilities</t>
  </si>
  <si>
    <t>Net cash from Financing Activities</t>
  </si>
  <si>
    <t>EFFECT OF EXCHANGE FLUCTUATION ON TRANSLATION RESERVE</t>
  </si>
  <si>
    <t>NET INCREASE IN CASH AND CASH EQUIVALENTS (A+B+C+D)</t>
  </si>
  <si>
    <t>CASH AND CASH EQUIVALENTS AS AT OPENING (Refer Note 13, Page 211)</t>
  </si>
  <si>
    <t>Add : Cash and Cash Equivalents taken over on Acquisition</t>
  </si>
  <si>
    <t xml:space="preserve">CASH AND CASH EQUIVALENTS AS AT CLOSING </t>
  </si>
  <si>
    <t>Rent waiver/reduction</t>
  </si>
  <si>
    <t>Redemption of Long Term borrowings</t>
  </si>
  <si>
    <t>Unwinding of financial liability</t>
  </si>
  <si>
    <t>Sales/redemption/buyback of investments in subsidiaries,joint ventures and assoiciates</t>
  </si>
  <si>
    <t xml:space="preserve"> </t>
  </si>
  <si>
    <t>KPIs</t>
  </si>
  <si>
    <t>Revenue % YOY</t>
  </si>
  <si>
    <t>Gross Profit %</t>
  </si>
  <si>
    <t>EBITDA%</t>
  </si>
  <si>
    <t>EBIT%</t>
  </si>
  <si>
    <t>NP%</t>
  </si>
  <si>
    <t>ROA</t>
  </si>
  <si>
    <t xml:space="preserve">Asset Turnover </t>
  </si>
  <si>
    <t>Asset / Equity</t>
  </si>
  <si>
    <t>ROE</t>
  </si>
  <si>
    <t>COGS</t>
  </si>
  <si>
    <t>Gross Profit</t>
  </si>
  <si>
    <t>EBITDA</t>
  </si>
  <si>
    <t>Gross Margin</t>
  </si>
  <si>
    <t>EBITDA Margin</t>
  </si>
  <si>
    <t>EBIT</t>
  </si>
  <si>
    <t>EBIT Margin</t>
  </si>
  <si>
    <t>Interest Expenses</t>
  </si>
  <si>
    <t>EBT</t>
  </si>
  <si>
    <t>Taxes</t>
  </si>
  <si>
    <t>Share in Profit / (Loss) of Associate and Joint Venture</t>
  </si>
  <si>
    <t>Net Profit</t>
  </si>
  <si>
    <t>EBT Margin</t>
  </si>
  <si>
    <t>Net Profit Margin</t>
  </si>
  <si>
    <t>Common Size Statement</t>
  </si>
  <si>
    <t>Revenue</t>
  </si>
  <si>
    <t>Aduited</t>
  </si>
  <si>
    <t>Revenue From Operation</t>
  </si>
  <si>
    <t xml:space="preserve">Sale of Products </t>
  </si>
  <si>
    <t>Other Operating Revenues</t>
  </si>
  <si>
    <t>Other Income</t>
  </si>
  <si>
    <t>Forecasted</t>
  </si>
  <si>
    <t>Scenarios</t>
  </si>
  <si>
    <t>Growth</t>
  </si>
  <si>
    <t>Base</t>
  </si>
  <si>
    <t>Annual Growth Tapering</t>
  </si>
  <si>
    <t>Senaior Manager</t>
  </si>
  <si>
    <t>Best</t>
  </si>
  <si>
    <t>Worst</t>
  </si>
  <si>
    <t>Revenue growth</t>
  </si>
  <si>
    <t>% of Revenue</t>
  </si>
  <si>
    <t>% of Debt</t>
  </si>
  <si>
    <t>Effective Tax Rate</t>
  </si>
  <si>
    <t>Inventores</t>
  </si>
  <si>
    <t>Recievables</t>
  </si>
  <si>
    <t>DIO (Days Inventory Outstanding)</t>
  </si>
  <si>
    <t>DSO (Days Sales Outstanding)</t>
  </si>
  <si>
    <t>DPO ( Days Payables Outstanding)</t>
  </si>
  <si>
    <t>Net Trade Cycle</t>
  </si>
  <si>
    <t>as a % of Revenue</t>
  </si>
  <si>
    <t>Short Term Borrowings</t>
  </si>
  <si>
    <t>Other current laibilities</t>
  </si>
  <si>
    <t>Days Of operation</t>
  </si>
  <si>
    <t>Land</t>
  </si>
  <si>
    <t>Additions</t>
  </si>
  <si>
    <t>Opening Gross Block</t>
  </si>
  <si>
    <t>Addition due to acquisition of subsidiary</t>
  </si>
  <si>
    <t>Effect of exchange fluctuation</t>
  </si>
  <si>
    <t>Disposals / Transfers</t>
  </si>
  <si>
    <t>Closing Gross Block</t>
  </si>
  <si>
    <t>Accumulated Dep</t>
  </si>
  <si>
    <t>Net Block</t>
  </si>
  <si>
    <t>Held for sale</t>
  </si>
  <si>
    <t>Improvement to leased properties</t>
  </si>
  <si>
    <t>Buildings</t>
  </si>
  <si>
    <t>Plant &amp; Equipment</t>
  </si>
  <si>
    <t>Furniture &amp; Fixtures</t>
  </si>
  <si>
    <t>Office equipment</t>
  </si>
  <si>
    <t>Computers</t>
  </si>
  <si>
    <t>Vehicle</t>
  </si>
  <si>
    <t>TOTAL TANGIBLE ASSETS</t>
  </si>
  <si>
    <t>#</t>
  </si>
  <si>
    <t>Tangible Assets</t>
  </si>
  <si>
    <t>Intangible Assets</t>
  </si>
  <si>
    <t>Computer software</t>
  </si>
  <si>
    <t>Web Domain</t>
  </si>
  <si>
    <t>Brands / trademarks.</t>
  </si>
  <si>
    <t>Non Compete Fees</t>
  </si>
  <si>
    <t>Goodwill</t>
  </si>
  <si>
    <t>Distribution Network</t>
  </si>
  <si>
    <t>Total Intangible Assets</t>
  </si>
  <si>
    <t>Building</t>
  </si>
  <si>
    <t>Total Rights to Use Assets</t>
  </si>
  <si>
    <t>CAPEX</t>
  </si>
  <si>
    <t>Impairment Provisions</t>
  </si>
  <si>
    <t>Dep of the year</t>
  </si>
  <si>
    <t>Capital Work in Progress</t>
  </si>
  <si>
    <t>Non Current Assets</t>
  </si>
  <si>
    <t>Current Tax Assets (Net)</t>
  </si>
  <si>
    <t>Liabilities</t>
  </si>
  <si>
    <t>Non Current Laibilities</t>
  </si>
  <si>
    <t>Current Laibilities</t>
  </si>
  <si>
    <t>Trade Receivables</t>
  </si>
  <si>
    <t>Dividend Payout</t>
  </si>
  <si>
    <t>Plus -Depreciation &amp; Amortization</t>
  </si>
  <si>
    <t>Plus/Loss- Adjustment for non operating Items</t>
  </si>
  <si>
    <t>Plus/Less -Adjustment for Operating Assets and Liabilities</t>
  </si>
  <si>
    <t>Change in Working Capital</t>
  </si>
  <si>
    <t>Net Working Capital</t>
  </si>
  <si>
    <t>Net Profit / (Loss) before Exceptional Items</t>
  </si>
  <si>
    <t>Investment in Property and Equipment</t>
  </si>
  <si>
    <t>Sale OF property, Plant and Equipment</t>
  </si>
  <si>
    <t>Purchase/sales of Investment</t>
  </si>
  <si>
    <t>Dividend received</t>
  </si>
  <si>
    <t>Loan given</t>
  </si>
  <si>
    <t>Cash From Investing</t>
  </si>
  <si>
    <t>Cash From Operation</t>
  </si>
  <si>
    <t>Issuance(Repayment) of Debt</t>
  </si>
  <si>
    <t>Issuance(Repayment) of Pref. shares (NCI)</t>
  </si>
  <si>
    <t>Dividends paid</t>
  </si>
  <si>
    <t>Interest paid</t>
  </si>
  <si>
    <t>Cash From Financing</t>
  </si>
  <si>
    <t xml:space="preserve">Net Increase (Decrease) in Cash </t>
  </si>
  <si>
    <t>Opening Cash Balance</t>
  </si>
  <si>
    <t>Closing Cash Balance</t>
  </si>
  <si>
    <t>Close Price</t>
  </si>
  <si>
    <t>Date</t>
  </si>
  <si>
    <t>Year</t>
  </si>
  <si>
    <t>Return</t>
  </si>
  <si>
    <t>Rate</t>
  </si>
  <si>
    <t>CAGR</t>
  </si>
  <si>
    <t>Sensex Closing price</t>
  </si>
  <si>
    <t>Stock Closing Price</t>
  </si>
  <si>
    <t>Percentage  change</t>
  </si>
  <si>
    <t>Beta 1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</si>
  <si>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</si>
  <si>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</si>
  <si>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</si>
  <si>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</si>
  <si>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</si>
  <si>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</si>
  <si>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</si>
  <si>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</si>
  <si>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</si>
  <si>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</si>
  <si>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</si>
  <si>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</si>
  <si>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</si>
  <si>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</si>
  <si>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</si>
  <si>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</si>
  <si>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</si>
  <si>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</si>
  <si>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</si>
  <si>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</si>
  <si>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</si>
  <si>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</si>
  <si>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</si>
  <si>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</si>
  <si>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</si>
  <si>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</si>
  <si>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</si>
  <si>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General Assumptions</t>
  </si>
  <si>
    <t>India 10 Years Government Bond Yield</t>
  </si>
  <si>
    <t>Tax Rate</t>
  </si>
  <si>
    <t>Perp. Growth Rate</t>
  </si>
  <si>
    <t>Discount Rate</t>
  </si>
  <si>
    <t>Market Cap</t>
  </si>
  <si>
    <t>Market Cap (INR Cr.)</t>
  </si>
  <si>
    <t>CMP (INR)</t>
  </si>
  <si>
    <t>Cost of Equity</t>
  </si>
  <si>
    <t>Risk Free Rate</t>
  </si>
  <si>
    <t>Equity Market Return</t>
  </si>
  <si>
    <t>Market Premium</t>
  </si>
  <si>
    <t>Beta</t>
  </si>
  <si>
    <t>Cost Of Debt</t>
  </si>
  <si>
    <t>Pre-Tax Cost of Debt</t>
  </si>
  <si>
    <t>Post-Tax Cost of Debt</t>
  </si>
  <si>
    <t>Total Debt</t>
  </si>
  <si>
    <t xml:space="preserve">Total  </t>
  </si>
  <si>
    <t>WACC</t>
  </si>
  <si>
    <t>Unlevered FCFF</t>
  </si>
  <si>
    <t>EBIT/ Operating Income</t>
  </si>
  <si>
    <t>NOPAT</t>
  </si>
  <si>
    <t>Add: Depreciation &amp; Amortization</t>
  </si>
  <si>
    <t>Less: CapEx</t>
  </si>
  <si>
    <t>Less: Change in Working Capital</t>
  </si>
  <si>
    <t>Tax</t>
  </si>
  <si>
    <t>Terminal Value</t>
  </si>
  <si>
    <t>Intrinsic Value</t>
  </si>
  <si>
    <t>Sum of PV of Cash Flow</t>
  </si>
  <si>
    <t>PV of Terminal Value</t>
  </si>
  <si>
    <t>Add: Cash</t>
  </si>
  <si>
    <t>Less: Debt</t>
  </si>
  <si>
    <t>Less: NCI</t>
  </si>
  <si>
    <t>Enterprise Value</t>
  </si>
  <si>
    <t>Equity Value</t>
  </si>
  <si>
    <t>Share Outstanding (cr)</t>
  </si>
  <si>
    <t>Equity Value/Share</t>
  </si>
  <si>
    <t>Target Price (Down side)</t>
  </si>
  <si>
    <t>All Fingure In INR cr.</t>
  </si>
  <si>
    <t>Dividend Payout Ratio</t>
  </si>
  <si>
    <t xml:space="preserve">No of Shares Outstanding </t>
  </si>
  <si>
    <t>Operating Margin</t>
  </si>
  <si>
    <t>Pretax Margin</t>
  </si>
  <si>
    <t>Net Margin</t>
  </si>
  <si>
    <t>Return on Equity</t>
  </si>
  <si>
    <t>Return on Capital Employed</t>
  </si>
  <si>
    <t>Return on Assets</t>
  </si>
  <si>
    <t>Profitability Ratios</t>
  </si>
  <si>
    <t>Current Ratio</t>
  </si>
  <si>
    <t>Quick Ratio</t>
  </si>
  <si>
    <t>Liquidity Ratios</t>
  </si>
  <si>
    <t>Cash Ratio</t>
  </si>
  <si>
    <t>Solvency Ratios</t>
  </si>
  <si>
    <t>Asset/ Equity</t>
  </si>
  <si>
    <t>Debt/ Equity</t>
  </si>
  <si>
    <t>Debt Ratio</t>
  </si>
  <si>
    <t>Interest Coverage</t>
  </si>
  <si>
    <t>Efficiency Ratios</t>
  </si>
  <si>
    <t>Fixed Asset Turnover Ratio</t>
  </si>
  <si>
    <t>Total Asset Turnover Ratio</t>
  </si>
  <si>
    <t>Inventory Turnover</t>
  </si>
  <si>
    <t>Receivable Turnover</t>
  </si>
  <si>
    <t>Payable Turnover</t>
  </si>
  <si>
    <t>ROE (Dupont Analysis)</t>
  </si>
  <si>
    <t>Asset Turnover Ratio</t>
  </si>
  <si>
    <t>Financial Leverege</t>
  </si>
  <si>
    <t>Interpretation</t>
  </si>
  <si>
    <r>
      <t>Forecasted Years:</t>
    </r>
    <r>
      <rPr>
        <sz val="11"/>
        <color theme="1"/>
        <rFont val="Calibri"/>
        <family val="2"/>
        <scheme val="minor"/>
      </rPr>
      <t xml:space="preserve"> Margin is expected to </t>
    </r>
    <r>
      <rPr>
        <b/>
        <sz val="11"/>
        <color theme="1"/>
        <rFont val="Calibri"/>
        <family val="2"/>
        <scheme val="minor"/>
      </rPr>
      <t>remain steady at 43%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consistency in business operations</t>
    </r>
    <r>
      <rPr>
        <sz val="11"/>
        <color theme="1"/>
        <rFont val="Calibri"/>
        <family val="2"/>
        <scheme val="minor"/>
      </rPr>
      <t>, likely driven by stable input costs and a strong retail brand mix.</t>
    </r>
  </si>
  <si>
    <r>
      <t>Actual Years:</t>
    </r>
    <r>
      <rPr>
        <sz val="11"/>
        <color theme="1"/>
        <rFont val="Calibri"/>
        <family val="2"/>
        <scheme val="minor"/>
      </rPr>
      <t xml:space="preserve"> Gross margin improved from </t>
    </r>
    <r>
      <rPr>
        <b/>
        <sz val="11"/>
        <color theme="1"/>
        <rFont val="Calibri"/>
        <family val="2"/>
        <scheme val="minor"/>
      </rPr>
      <t>41% to 43–45%</t>
    </r>
    <r>
      <rPr>
        <sz val="11"/>
        <color theme="1"/>
        <rFont val="Calibri"/>
        <family val="2"/>
        <scheme val="minor"/>
      </rPr>
      <t>, indicating enhanced cost efficiency and better pricing power.</t>
    </r>
  </si>
  <si>
    <r>
      <t>Forecasted Years:</t>
    </r>
    <r>
      <rPr>
        <sz val="11"/>
        <color theme="1"/>
        <rFont val="Calibri"/>
        <family val="2"/>
        <scheme val="minor"/>
      </rPr>
      <t xml:space="preserve"> Margins are projected to </t>
    </r>
    <r>
      <rPr>
        <b/>
        <sz val="11"/>
        <color theme="1"/>
        <rFont val="Calibri"/>
        <family val="2"/>
        <scheme val="minor"/>
      </rPr>
      <t>stabilize at 13%</t>
    </r>
    <r>
      <rPr>
        <sz val="11"/>
        <color theme="1"/>
        <rFont val="Calibri"/>
        <family val="2"/>
        <scheme val="minor"/>
      </rPr>
      <t>, slightly below peak levels, possibly assuming normalized operating costs and conservative growth.</t>
    </r>
  </si>
  <si>
    <r>
      <t>Actual Years:</t>
    </r>
    <r>
      <rPr>
        <sz val="11"/>
        <color theme="1"/>
        <rFont val="Calibri"/>
        <family val="2"/>
        <scheme val="minor"/>
      </rPr>
      <t xml:space="preserve"> EBITDA margin rose significantly from </t>
    </r>
    <r>
      <rPr>
        <b/>
        <sz val="11"/>
        <color theme="1"/>
        <rFont val="Calibri"/>
        <family val="2"/>
        <scheme val="minor"/>
      </rPr>
      <t>7% to 16%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improved operational efficiency</t>
    </r>
    <r>
      <rPr>
        <sz val="11"/>
        <color theme="1"/>
        <rFont val="Calibri"/>
        <family val="2"/>
        <scheme val="minor"/>
      </rPr>
      <t>, better cost control, and scale benefits.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</si>
  <si>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Margins are expected to </t>
    </r>
    <r>
      <rPr>
        <b/>
        <sz val="11"/>
        <color theme="1"/>
        <rFont val="Calibri"/>
        <family val="2"/>
        <scheme val="minor"/>
      </rPr>
      <t>gradually rise to 13%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sustained growth, stable operations</t>
    </r>
    <r>
      <rPr>
        <sz val="11"/>
        <color theme="1"/>
        <rFont val="Calibri"/>
        <family val="2"/>
        <scheme val="minor"/>
      </rPr>
      <t>, and strong execution.</t>
    </r>
  </si>
  <si>
    <r>
      <t>Actual Years:</t>
    </r>
    <r>
      <rPr>
        <sz val="11"/>
        <color theme="1"/>
        <rFont val="Calibri"/>
        <family val="2"/>
        <scheme val="minor"/>
      </rPr>
      <t xml:space="preserve"> Operating margin improved remarkably from </t>
    </r>
    <r>
      <rPr>
        <b/>
        <sz val="11"/>
        <color theme="1"/>
        <rFont val="Calibri"/>
        <family val="2"/>
        <scheme val="minor"/>
      </rPr>
      <t>-3% to 11%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turnaround from losses to profitability</t>
    </r>
    <r>
      <rPr>
        <sz val="11"/>
        <color theme="1"/>
        <rFont val="Calibri"/>
        <family val="2"/>
        <scheme val="minor"/>
      </rPr>
      <t>, driven by better cost controls and operational efficiency.</t>
    </r>
  </si>
  <si>
    <r>
      <t>Forecasted Years:</t>
    </r>
    <r>
      <rPr>
        <sz val="11"/>
        <color theme="1"/>
        <rFont val="Calibri"/>
        <family val="2"/>
        <scheme val="minor"/>
      </rPr>
      <t xml:space="preserve"> Margins are expected to </t>
    </r>
    <r>
      <rPr>
        <b/>
        <sz val="11"/>
        <color theme="1"/>
        <rFont val="Calibri"/>
        <family val="2"/>
        <scheme val="minor"/>
      </rPr>
      <t>stabilize at 16–17%</t>
    </r>
    <r>
      <rPr>
        <sz val="11"/>
        <color theme="1"/>
        <rFont val="Calibri"/>
        <family val="2"/>
        <scheme val="minor"/>
      </rPr>
      <t xml:space="preserve">, showing </t>
    </r>
    <r>
      <rPr>
        <b/>
        <sz val="11"/>
        <color theme="1"/>
        <rFont val="Calibri"/>
        <family val="2"/>
        <scheme val="minor"/>
      </rPr>
      <t>consistent profitability and improved financial leverage</t>
    </r>
    <r>
      <rPr>
        <sz val="11"/>
        <color theme="1"/>
        <rFont val="Calibri"/>
        <family val="2"/>
        <scheme val="minor"/>
      </rPr>
      <t>.</t>
    </r>
  </si>
  <si>
    <r>
      <t>Actual Years :</t>
    </r>
    <r>
      <rPr>
        <sz val="11"/>
        <color theme="1"/>
        <rFont val="Calibri"/>
        <family val="2"/>
        <scheme val="minor"/>
      </rPr>
      <t xml:space="preserve"> Pretax margin improved significantly from </t>
    </r>
    <r>
      <rPr>
        <b/>
        <sz val="11"/>
        <color theme="1"/>
        <rFont val="Calibri"/>
        <family val="2"/>
        <scheme val="minor"/>
      </rPr>
      <t>-5% to 11–15%</t>
    </r>
    <r>
      <rPr>
        <sz val="11"/>
        <color theme="1"/>
        <rFont val="Calibri"/>
        <family val="2"/>
        <scheme val="minor"/>
      </rPr>
      <t xml:space="preserve">, reflecting a </t>
    </r>
    <r>
      <rPr>
        <b/>
        <sz val="11"/>
        <color theme="1"/>
        <rFont val="Calibri"/>
        <family val="2"/>
        <scheme val="minor"/>
      </rPr>
      <t>strong turnaround</t>
    </r>
    <r>
      <rPr>
        <sz val="11"/>
        <color theme="1"/>
        <rFont val="Calibri"/>
        <family val="2"/>
        <scheme val="minor"/>
      </rPr>
      <t xml:space="preserve"> in profitability driven by better operational performance and reduced financial stress.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</si>
  <si>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rate is expected to stabilize at </t>
    </r>
    <r>
      <rPr>
        <b/>
        <sz val="11"/>
        <color theme="1"/>
        <rFont val="Calibri"/>
        <family val="2"/>
        <scheme val="minor"/>
      </rPr>
      <t>32%</t>
    </r>
    <r>
      <rPr>
        <sz val="11"/>
        <color theme="1"/>
        <rFont val="Calibri"/>
        <family val="2"/>
        <scheme val="minor"/>
      </rPr>
      <t xml:space="preserve">, aligning with </t>
    </r>
    <r>
      <rPr>
        <b/>
        <sz val="11"/>
        <color theme="1"/>
        <rFont val="Calibri"/>
        <family val="2"/>
        <scheme val="minor"/>
      </rPr>
      <t>India’s corporate tax norms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normalized and predictable tax expenses</t>
    </r>
    <r>
      <rPr>
        <sz val="11"/>
        <color theme="1"/>
        <rFont val="Calibri"/>
        <family val="2"/>
        <scheme val="minor"/>
      </rPr>
      <t>.</t>
    </r>
  </si>
  <si>
    <r>
      <t>Actual Years:</t>
    </r>
    <r>
      <rPr>
        <sz val="11"/>
        <color theme="1"/>
        <rFont val="Calibri"/>
        <family val="2"/>
        <scheme val="minor"/>
      </rPr>
      <t xml:space="preserve"> The tax rate fluctuated significantly—from </t>
    </r>
    <r>
      <rPr>
        <b/>
        <sz val="11"/>
        <color theme="1"/>
        <rFont val="Calibri"/>
        <family val="2"/>
        <scheme val="minor"/>
      </rPr>
      <t>18% to a peak of 72%</t>
    </r>
    <r>
      <rPr>
        <sz val="11"/>
        <color theme="1"/>
        <rFont val="Calibri"/>
        <family val="2"/>
        <scheme val="minor"/>
      </rPr>
      <t xml:space="preserve">, then settled around </t>
    </r>
    <r>
      <rPr>
        <b/>
        <sz val="11"/>
        <color theme="1"/>
        <rFont val="Calibri"/>
        <family val="2"/>
        <scheme val="minor"/>
      </rPr>
      <t>25%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volatility due to exceptional items, deferred taxes, or changes in profitability structure</t>
    </r>
    <r>
      <rPr>
        <sz val="11"/>
        <color theme="1"/>
        <rFont val="Calibri"/>
        <family val="2"/>
        <scheme val="minor"/>
      </rPr>
      <t>.</t>
    </r>
  </si>
  <si>
    <r>
      <t>Forecasted Years:</t>
    </r>
    <r>
      <rPr>
        <sz val="11"/>
        <color theme="1"/>
        <rFont val="Calibri"/>
        <family val="2"/>
        <scheme val="minor"/>
      </rPr>
      <t xml:space="preserve"> Net margin is expected to </t>
    </r>
    <r>
      <rPr>
        <b/>
        <sz val="11"/>
        <color theme="1"/>
        <rFont val="Calibri"/>
        <family val="2"/>
        <scheme val="minor"/>
      </rPr>
      <t>remain stable at 11–12%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sustainable profit levels after taxes and interest</t>
    </r>
    <r>
      <rPr>
        <sz val="11"/>
        <color theme="1"/>
        <rFont val="Calibri"/>
        <family val="2"/>
        <scheme val="minor"/>
      </rPr>
      <t>.</t>
    </r>
  </si>
  <si>
    <r>
      <t>Actual Years:</t>
    </r>
    <r>
      <rPr>
        <sz val="11"/>
        <color theme="1"/>
        <rFont val="Calibri"/>
        <family val="2"/>
        <scheme val="minor"/>
      </rPr>
      <t xml:space="preserve"> Net margin improved significantly from a </t>
    </r>
    <r>
      <rPr>
        <b/>
        <sz val="11"/>
        <color theme="1"/>
        <rFont val="Calibri"/>
        <family val="2"/>
        <scheme val="minor"/>
      </rPr>
      <t>loss of -7% to a strong 9–12%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solid turnaround in bottom-line profitability</t>
    </r>
    <r>
      <rPr>
        <sz val="11"/>
        <color theme="1"/>
        <rFont val="Calibri"/>
        <family val="2"/>
        <scheme val="minor"/>
      </rPr>
      <t>, driven by improved operations and cost controls.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</si>
  <si>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ROE is projected to </t>
    </r>
    <r>
      <rPr>
        <b/>
        <sz val="11"/>
        <color theme="1"/>
        <rFont val="Calibri"/>
        <family val="2"/>
        <scheme val="minor"/>
      </rPr>
      <t>gradually decline from 36% to 21%</t>
    </r>
    <r>
      <rPr>
        <sz val="11"/>
        <color theme="1"/>
        <rFont val="Calibri"/>
        <family val="2"/>
        <scheme val="minor"/>
      </rPr>
      <t xml:space="preserve">, suggesting </t>
    </r>
    <r>
      <rPr>
        <b/>
        <sz val="11"/>
        <color theme="1"/>
        <rFont val="Calibri"/>
        <family val="2"/>
        <scheme val="minor"/>
      </rPr>
      <t>normalization of earnings growth</t>
    </r>
    <r>
      <rPr>
        <sz val="11"/>
        <color theme="1"/>
        <rFont val="Calibri"/>
        <family val="2"/>
        <scheme val="minor"/>
      </rPr>
      <t>, likely due to higher equity base or moderated profit growth.</t>
    </r>
  </si>
  <si>
    <r>
      <t>Actual Years :</t>
    </r>
    <r>
      <rPr>
        <sz val="11"/>
        <color theme="1"/>
        <rFont val="Calibri"/>
        <family val="2"/>
        <scheme val="minor"/>
      </rPr>
      <t xml:space="preserve"> ROE improved dramatically from </t>
    </r>
    <r>
      <rPr>
        <b/>
        <sz val="11"/>
        <color theme="1"/>
        <rFont val="Calibri"/>
        <family val="2"/>
        <scheme val="minor"/>
      </rPr>
      <t>-8% to 36%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strong turnaround in profitability and shareholder value creation</t>
    </r>
    <r>
      <rPr>
        <sz val="11"/>
        <color theme="1"/>
        <rFont val="Calibri"/>
        <family val="2"/>
        <scheme val="minor"/>
      </rPr>
      <t>, driven by efficient capital utilization.</t>
    </r>
  </si>
  <si>
    <r>
      <t>Forecasted Years:</t>
    </r>
    <r>
      <rPr>
        <sz val="11"/>
        <color theme="1"/>
        <rFont val="Calibri"/>
        <family val="2"/>
        <scheme val="minor"/>
      </rPr>
      <t xml:space="preserve"> ROCE is expected to </t>
    </r>
    <r>
      <rPr>
        <b/>
        <sz val="11"/>
        <color theme="1"/>
        <rFont val="Calibri"/>
        <family val="2"/>
        <scheme val="minor"/>
      </rPr>
      <t>peak at 27%</t>
    </r>
    <r>
      <rPr>
        <sz val="11"/>
        <color theme="1"/>
        <rFont val="Calibri"/>
        <family val="2"/>
        <scheme val="minor"/>
      </rPr>
      <t xml:space="preserve"> and then </t>
    </r>
    <r>
      <rPr>
        <b/>
        <sz val="11"/>
        <color theme="1"/>
        <rFont val="Calibri"/>
        <family val="2"/>
        <scheme val="minor"/>
      </rPr>
      <t>gradually decline to 18%</t>
    </r>
    <r>
      <rPr>
        <sz val="11"/>
        <color theme="1"/>
        <rFont val="Calibri"/>
        <family val="2"/>
        <scheme val="minor"/>
      </rPr>
      <t xml:space="preserve">, suggesting </t>
    </r>
    <r>
      <rPr>
        <b/>
        <sz val="11"/>
        <color theme="1"/>
        <rFont val="Calibri"/>
        <family val="2"/>
        <scheme val="minor"/>
      </rPr>
      <t>normalization in returns</t>
    </r>
    <r>
      <rPr>
        <sz val="11"/>
        <color theme="1"/>
        <rFont val="Calibri"/>
        <family val="2"/>
        <scheme val="minor"/>
      </rPr>
      <t xml:space="preserve"> as capital investments increase or margins stabilize.</t>
    </r>
  </si>
  <si>
    <r>
      <t>Actual Years :</t>
    </r>
    <r>
      <rPr>
        <sz val="11"/>
        <color theme="1"/>
        <rFont val="Calibri"/>
        <family val="2"/>
        <scheme val="minor"/>
      </rPr>
      <t xml:space="preserve"> ROCE improved sharply from </t>
    </r>
    <r>
      <rPr>
        <b/>
        <sz val="11"/>
        <color theme="1"/>
        <rFont val="Calibri"/>
        <family val="2"/>
        <scheme val="minor"/>
      </rPr>
      <t>-2% to 25%</t>
    </r>
    <r>
      <rPr>
        <sz val="11"/>
        <color theme="1"/>
        <rFont val="Calibri"/>
        <family val="2"/>
        <scheme val="minor"/>
      </rPr>
      <t xml:space="preserve">, reflecting a </t>
    </r>
    <r>
      <rPr>
        <b/>
        <sz val="11"/>
        <color theme="1"/>
        <rFont val="Calibri"/>
        <family val="2"/>
        <scheme val="minor"/>
      </rPr>
      <t>strong turnaround in the company’s capital efficiency and profitability</t>
    </r>
    <r>
      <rPr>
        <sz val="11"/>
        <color theme="1"/>
        <rFont val="Calibri"/>
        <family val="2"/>
        <scheme val="minor"/>
      </rPr>
      <t>.</t>
    </r>
  </si>
  <si>
    <r>
      <t>Forecasted Years:</t>
    </r>
    <r>
      <rPr>
        <sz val="11"/>
        <color theme="1"/>
        <rFont val="Calibri"/>
        <family val="2"/>
        <scheme val="minor"/>
      </rPr>
      <t xml:space="preserve"> ROA is projected to </t>
    </r>
    <r>
      <rPr>
        <b/>
        <sz val="11"/>
        <color theme="1"/>
        <rFont val="Calibri"/>
        <family val="2"/>
        <scheme val="minor"/>
      </rPr>
      <t>gradually decline from 20% to 14%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moderation in asset productivity</t>
    </r>
    <r>
      <rPr>
        <sz val="11"/>
        <color theme="1"/>
        <rFont val="Calibri"/>
        <family val="2"/>
        <scheme val="minor"/>
      </rPr>
      <t>, possibly due to increasing asset base or maturing operations.</t>
    </r>
  </si>
  <si>
    <r>
      <t>Actual Years:</t>
    </r>
    <r>
      <rPr>
        <sz val="11"/>
        <color theme="1"/>
        <rFont val="Calibri"/>
        <family val="2"/>
        <scheme val="minor"/>
      </rPr>
      <t xml:space="preserve"> ROA improved significantly from </t>
    </r>
    <r>
      <rPr>
        <b/>
        <sz val="11"/>
        <color theme="1"/>
        <rFont val="Calibri"/>
        <family val="2"/>
        <scheme val="minor"/>
      </rPr>
      <t>-3% to 16–21%</t>
    </r>
    <r>
      <rPr>
        <sz val="11"/>
        <color theme="1"/>
        <rFont val="Calibri"/>
        <family val="2"/>
        <scheme val="minor"/>
      </rPr>
      <t xml:space="preserve">, showing a </t>
    </r>
    <r>
      <rPr>
        <b/>
        <sz val="11"/>
        <color theme="1"/>
        <rFont val="Calibri"/>
        <family val="2"/>
        <scheme val="minor"/>
      </rPr>
      <t>strong rebound in asset efficiency and overall profitability</t>
    </r>
    <r>
      <rPr>
        <sz val="11"/>
        <color theme="1"/>
        <rFont val="Calibri"/>
        <family val="2"/>
        <scheme val="minor"/>
      </rPr>
      <t>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</si>
  <si>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steadily increases from </t>
    </r>
    <r>
      <rPr>
        <b/>
        <sz val="11"/>
        <color theme="1"/>
        <rFont val="Calibri"/>
        <family val="2"/>
        <scheme val="minor"/>
      </rPr>
      <t>2.1x to 4.9x</t>
    </r>
    <r>
      <rPr>
        <sz val="11"/>
        <color theme="1"/>
        <rFont val="Calibri"/>
        <family val="2"/>
        <scheme val="minor"/>
      </rPr>
      <t xml:space="preserve">, suggesting a </t>
    </r>
    <r>
      <rPr>
        <b/>
        <sz val="11"/>
        <color theme="1"/>
        <rFont val="Calibri"/>
        <family val="2"/>
        <scheme val="minor"/>
      </rPr>
      <t>growing cash buffer and improving working capital management</t>
    </r>
    <r>
      <rPr>
        <sz val="11"/>
        <color theme="1"/>
        <rFont val="Calibri"/>
        <family val="2"/>
        <scheme val="minor"/>
      </rPr>
      <t>.</t>
    </r>
  </si>
  <si>
    <r>
      <t>Actual Years:</t>
    </r>
    <r>
      <rPr>
        <sz val="11"/>
        <color theme="1"/>
        <rFont val="Calibri"/>
        <family val="2"/>
        <scheme val="minor"/>
      </rPr>
      <t xml:space="preserve"> The current ratio ranged from </t>
    </r>
    <r>
      <rPr>
        <b/>
        <sz val="11"/>
        <color theme="1"/>
        <rFont val="Calibri"/>
        <family val="2"/>
        <scheme val="minor"/>
      </rPr>
      <t>1.8x to 2.7x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sound liquidity position</t>
    </r>
    <r>
      <rPr>
        <sz val="11"/>
        <color theme="1"/>
        <rFont val="Calibri"/>
        <family val="2"/>
        <scheme val="minor"/>
      </rPr>
      <t>, comfortably covering short-term liabilities with current assets.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</si>
  <si>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improves steadily from </t>
    </r>
    <r>
      <rPr>
        <b/>
        <sz val="11"/>
        <color theme="1"/>
        <rFont val="Calibri"/>
        <family val="2"/>
        <scheme val="minor"/>
      </rPr>
      <t>1.3x to 3.8x</t>
    </r>
    <r>
      <rPr>
        <sz val="11"/>
        <color theme="1"/>
        <rFont val="Calibri"/>
        <family val="2"/>
        <scheme val="minor"/>
      </rPr>
      <t xml:space="preserve">, suggesting a </t>
    </r>
    <r>
      <rPr>
        <b/>
        <sz val="11"/>
        <color theme="1"/>
        <rFont val="Calibri"/>
        <family val="2"/>
        <scheme val="minor"/>
      </rPr>
      <t>strong buildup in liquid assets (excluding inventory)</t>
    </r>
    <r>
      <rPr>
        <sz val="11"/>
        <color theme="1"/>
        <rFont val="Calibri"/>
        <family val="2"/>
        <scheme val="minor"/>
      </rPr>
      <t xml:space="preserve"> to meet current liabilities.</t>
    </r>
  </si>
  <si>
    <r>
      <t>Actual Years :</t>
    </r>
    <r>
      <rPr>
        <sz val="11"/>
        <color theme="1"/>
        <rFont val="Calibri"/>
        <family val="2"/>
        <scheme val="minor"/>
      </rPr>
      <t xml:space="preserve"> The quick ratio fluctuated between </t>
    </r>
    <r>
      <rPr>
        <b/>
        <sz val="11"/>
        <color theme="1"/>
        <rFont val="Calibri"/>
        <family val="2"/>
        <scheme val="minor"/>
      </rPr>
      <t>0.8x to 1.4x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adequate but tight short-term liquidity</t>
    </r>
    <r>
      <rPr>
        <sz val="11"/>
        <color theme="1"/>
        <rFont val="Calibri"/>
        <family val="2"/>
        <scheme val="minor"/>
      </rPr>
      <t>, especially during periods of lower values where reliance on inventory may have been higher.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</si>
  <si>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is expected to </t>
    </r>
    <r>
      <rPr>
        <b/>
        <sz val="11"/>
        <color theme="1"/>
        <rFont val="Calibri"/>
        <family val="2"/>
        <scheme val="minor"/>
      </rPr>
      <t>rise significantly to 3.0x</t>
    </r>
    <r>
      <rPr>
        <sz val="11"/>
        <color theme="1"/>
        <rFont val="Calibri"/>
        <family val="2"/>
        <scheme val="minor"/>
      </rPr>
      <t xml:space="preserve">, reflecting a </t>
    </r>
    <r>
      <rPr>
        <b/>
        <sz val="11"/>
        <color theme="1"/>
        <rFont val="Calibri"/>
        <family val="2"/>
        <scheme val="minor"/>
      </rPr>
      <t>strong accumulation of cash and cash equivalents</t>
    </r>
    <r>
      <rPr>
        <sz val="11"/>
        <color theme="1"/>
        <rFont val="Calibri"/>
        <family val="2"/>
        <scheme val="minor"/>
      </rPr>
      <t>, far exceeding short-term liabilities.</t>
    </r>
  </si>
  <si>
    <r>
      <t>Actual Years :</t>
    </r>
    <r>
      <rPr>
        <sz val="11"/>
        <color theme="1"/>
        <rFont val="Calibri"/>
        <family val="2"/>
        <scheme val="minor"/>
      </rPr>
      <t xml:space="preserve"> The cash ratio remained low, between </t>
    </r>
    <r>
      <rPr>
        <b/>
        <sz val="11"/>
        <color theme="1"/>
        <rFont val="Calibri"/>
        <family val="2"/>
        <scheme val="minor"/>
      </rPr>
      <t>0.1x to 0.2x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limited immediate cash coverage</t>
    </r>
    <r>
      <rPr>
        <sz val="11"/>
        <color theme="1"/>
        <rFont val="Calibri"/>
        <family val="2"/>
        <scheme val="minor"/>
      </rPr>
      <t xml:space="preserve"> for current liabilities — a common scenario for growing retail companies reinvesting in operations.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</si>
  <si>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stabilizes around </t>
    </r>
    <r>
      <rPr>
        <b/>
        <sz val="11"/>
        <color theme="1"/>
        <rFont val="Calibri"/>
        <family val="2"/>
        <scheme val="minor"/>
      </rPr>
      <t>1.5x–1.9x</t>
    </r>
    <r>
      <rPr>
        <sz val="11"/>
        <color theme="1"/>
        <rFont val="Calibri"/>
        <family val="2"/>
        <scheme val="minor"/>
      </rPr>
      <t xml:space="preserve">, reflecting a </t>
    </r>
    <r>
      <rPr>
        <b/>
        <sz val="11"/>
        <color theme="1"/>
        <rFont val="Calibri"/>
        <family val="2"/>
        <scheme val="minor"/>
      </rPr>
      <t>balanced capital structure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moderate reliance on debt</t>
    </r>
    <r>
      <rPr>
        <sz val="11"/>
        <color theme="1"/>
        <rFont val="Calibri"/>
        <family val="2"/>
        <scheme val="minor"/>
      </rPr>
      <t>.</t>
    </r>
  </si>
  <si>
    <r>
      <t>Actual Years :</t>
    </r>
    <r>
      <rPr>
        <sz val="11"/>
        <color theme="1"/>
        <rFont val="Calibri"/>
        <family val="2"/>
        <scheme val="minor"/>
      </rPr>
      <t xml:space="preserve"> The ratio declined from </t>
    </r>
    <r>
      <rPr>
        <b/>
        <sz val="11"/>
        <color theme="1"/>
        <rFont val="Calibri"/>
        <family val="2"/>
        <scheme val="minor"/>
      </rPr>
      <t>3.2x to 1.7x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shift toward lower financial leverage</t>
    </r>
    <r>
      <rPr>
        <sz val="11"/>
        <color theme="1"/>
        <rFont val="Calibri"/>
        <family val="2"/>
        <scheme val="minor"/>
      </rPr>
      <t>, possibly due to equity infusion or debt repayment.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</si>
  <si>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remains </t>
    </r>
    <r>
      <rPr>
        <b/>
        <sz val="11"/>
        <color theme="1"/>
        <rFont val="Calibri"/>
        <family val="2"/>
        <scheme val="minor"/>
      </rPr>
      <t>low and stable at 0.3x–0.5x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continued conservative debt management</t>
    </r>
    <r>
      <rPr>
        <sz val="11"/>
        <color theme="1"/>
        <rFont val="Calibri"/>
        <family val="2"/>
        <scheme val="minor"/>
      </rPr>
      <t>.</t>
    </r>
  </si>
  <si>
    <r>
      <t>Actual Years :</t>
    </r>
    <r>
      <rPr>
        <sz val="11"/>
        <color theme="1"/>
        <rFont val="Calibri"/>
        <family val="2"/>
        <scheme val="minor"/>
      </rPr>
      <t xml:space="preserve"> The ratio declined sharply from </t>
    </r>
    <r>
      <rPr>
        <b/>
        <sz val="11"/>
        <color theme="1"/>
        <rFont val="Calibri"/>
        <family val="2"/>
        <scheme val="minor"/>
      </rPr>
      <t>2.0x to 0.4x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significant reduction in financial leverage</t>
    </r>
    <r>
      <rPr>
        <sz val="11"/>
        <color theme="1"/>
        <rFont val="Calibri"/>
        <family val="2"/>
        <scheme val="minor"/>
      </rPr>
      <t>, likely through debt repayment or increased equity capital.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</si>
  <si>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</t>
    </r>
    <r>
      <rPr>
        <b/>
        <sz val="11"/>
        <color theme="1"/>
        <rFont val="Calibri"/>
        <family val="2"/>
        <scheme val="minor"/>
      </rPr>
      <t>remains stable at 0.2x</t>
    </r>
    <r>
      <rPr>
        <sz val="11"/>
        <color theme="1"/>
        <rFont val="Calibri"/>
        <family val="2"/>
        <scheme val="minor"/>
      </rPr>
      <t xml:space="preserve">, showing </t>
    </r>
    <r>
      <rPr>
        <b/>
        <sz val="11"/>
        <color theme="1"/>
        <rFont val="Calibri"/>
        <family val="2"/>
        <scheme val="minor"/>
      </rPr>
      <t>continued low reliance on debt financing</t>
    </r>
    <r>
      <rPr>
        <sz val="11"/>
        <color theme="1"/>
        <rFont val="Calibri"/>
        <family val="2"/>
        <scheme val="minor"/>
      </rPr>
      <t>.</t>
    </r>
  </si>
  <si>
    <r>
      <t>Actual Years:</t>
    </r>
    <r>
      <rPr>
        <sz val="11"/>
        <color theme="1"/>
        <rFont val="Calibri"/>
        <family val="2"/>
        <scheme val="minor"/>
      </rPr>
      <t xml:space="preserve"> The debt ratio declined from </t>
    </r>
    <r>
      <rPr>
        <b/>
        <sz val="11"/>
        <color theme="1"/>
        <rFont val="Calibri"/>
        <family val="2"/>
        <scheme val="minor"/>
      </rPr>
      <t>0.6x to 0.2x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major reduction in debt dependency</t>
    </r>
    <r>
      <rPr>
        <sz val="11"/>
        <color theme="1"/>
        <rFont val="Calibri"/>
        <family val="2"/>
        <scheme val="minor"/>
      </rPr>
      <t>, and a shift toward a more asset-funded balance sheet.</t>
    </r>
  </si>
  <si>
    <r>
      <t>Actual Years :</t>
    </r>
    <r>
      <rPr>
        <sz val="11"/>
        <color theme="1"/>
        <rFont val="Calibri"/>
        <family val="2"/>
        <scheme val="minor"/>
      </rPr>
      <t xml:space="preserve"> The ratio improved significantly from </t>
    </r>
    <r>
      <rPr>
        <b/>
        <sz val="11"/>
        <color theme="1"/>
        <rFont val="Calibri"/>
        <family val="2"/>
        <scheme val="minor"/>
      </rPr>
      <t>3.5x to 7.6x–9.0x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increased efficiency in using fixed assets to generate revenue</t>
    </r>
    <r>
      <rPr>
        <sz val="11"/>
        <color theme="1"/>
        <rFont val="Calibri"/>
        <family val="2"/>
        <scheme val="minor"/>
      </rPr>
      <t>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</si>
  <si>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is expected to </t>
    </r>
    <r>
      <rPr>
        <b/>
        <sz val="11"/>
        <color theme="1"/>
        <rFont val="Calibri"/>
        <family val="2"/>
        <scheme val="minor"/>
      </rPr>
      <t>gradually decline from 1.8x to 1.2x</t>
    </r>
    <r>
      <rPr>
        <sz val="11"/>
        <color theme="1"/>
        <rFont val="Calibri"/>
        <family val="2"/>
        <scheme val="minor"/>
      </rPr>
      <t xml:space="preserve">, indicating a </t>
    </r>
    <r>
      <rPr>
        <b/>
        <sz val="11"/>
        <color theme="1"/>
        <rFont val="Calibri"/>
        <family val="2"/>
        <scheme val="minor"/>
      </rPr>
      <t>moderation in asset efficiency</t>
    </r>
    <r>
      <rPr>
        <sz val="11"/>
        <color theme="1"/>
        <rFont val="Calibri"/>
        <family val="2"/>
        <scheme val="minor"/>
      </rPr>
      <t>, possibly due to increasing asset base outpacing revenue growth.</t>
    </r>
  </si>
  <si>
    <r>
      <t>Actual Years:</t>
    </r>
    <r>
      <rPr>
        <sz val="11"/>
        <color theme="1"/>
        <rFont val="Calibri"/>
        <family val="2"/>
        <scheme val="minor"/>
      </rPr>
      <t xml:space="preserve"> The ratio increased from </t>
    </r>
    <r>
      <rPr>
        <b/>
        <sz val="11"/>
        <color theme="1"/>
        <rFont val="Calibri"/>
        <family val="2"/>
        <scheme val="minor"/>
      </rPr>
      <t>0.5x to 1.8x</t>
    </r>
    <r>
      <rPr>
        <sz val="11"/>
        <color theme="1"/>
        <rFont val="Calibri"/>
        <family val="2"/>
        <scheme val="minor"/>
      </rPr>
      <t xml:space="preserve">, showing a </t>
    </r>
    <r>
      <rPr>
        <b/>
        <sz val="11"/>
        <color theme="1"/>
        <rFont val="Calibri"/>
        <family val="2"/>
        <scheme val="minor"/>
      </rPr>
      <t>significant improvement in overall asset utilization</t>
    </r>
    <r>
      <rPr>
        <sz val="11"/>
        <color theme="1"/>
        <rFont val="Calibri"/>
        <family val="2"/>
        <scheme val="minor"/>
      </rPr>
      <t>, meaning the company became more efficient in generating revenue from its total asset base.</t>
    </r>
  </si>
  <si>
    <r>
      <t>Forecasted Years:</t>
    </r>
    <r>
      <rPr>
        <sz val="11"/>
        <color theme="1"/>
        <rFont val="Calibri"/>
        <family val="2"/>
        <scheme val="minor"/>
      </rPr>
      <t xml:space="preserve"> Expected to </t>
    </r>
    <r>
      <rPr>
        <b/>
        <sz val="11"/>
        <color theme="1"/>
        <rFont val="Calibri"/>
        <family val="2"/>
        <scheme val="minor"/>
      </rPr>
      <t>stabilize at 189 days</t>
    </r>
    <r>
      <rPr>
        <sz val="11"/>
        <color theme="1"/>
        <rFont val="Calibri"/>
        <family val="2"/>
        <scheme val="minor"/>
      </rPr>
      <t xml:space="preserve">, which, while more predictable, still represents a </t>
    </r>
    <r>
      <rPr>
        <b/>
        <sz val="11"/>
        <color theme="1"/>
        <rFont val="Calibri"/>
        <family val="2"/>
        <scheme val="minor"/>
      </rPr>
      <t>relatively long collection cycle</t>
    </r>
    <r>
      <rPr>
        <sz val="11"/>
        <color theme="1"/>
        <rFont val="Calibri"/>
        <family val="2"/>
        <scheme val="minor"/>
      </rPr>
      <t>.</t>
    </r>
  </si>
  <si>
    <r>
      <t>Actual Years:</t>
    </r>
    <r>
      <rPr>
        <sz val="11"/>
        <color theme="1"/>
        <rFont val="Calibri"/>
        <family val="2"/>
        <scheme val="minor"/>
      </rPr>
      <t xml:space="preserve"> Receivable days fluctuated significantly—from </t>
    </r>
    <r>
      <rPr>
        <b/>
        <sz val="11"/>
        <color theme="1"/>
        <rFont val="Calibri"/>
        <family val="2"/>
        <scheme val="minor"/>
      </rPr>
      <t>125 to 272 days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inconsistencies in credit collection</t>
    </r>
    <r>
      <rPr>
        <sz val="11"/>
        <color theme="1"/>
        <rFont val="Calibri"/>
        <family val="2"/>
        <scheme val="minor"/>
      </rPr>
      <t xml:space="preserve"> and potential </t>
    </r>
    <r>
      <rPr>
        <b/>
        <sz val="11"/>
        <color theme="1"/>
        <rFont val="Calibri"/>
        <family val="2"/>
        <scheme val="minor"/>
      </rPr>
      <t>delays in receivables</t>
    </r>
    <r>
      <rPr>
        <sz val="11"/>
        <color theme="1"/>
        <rFont val="Calibri"/>
        <family val="2"/>
        <scheme val="minor"/>
      </rPr>
      <t xml:space="preserve"> during certain years.</t>
    </r>
  </si>
  <si>
    <r>
      <t>Forecasted Years:</t>
    </r>
    <r>
      <rPr>
        <sz val="11"/>
        <color theme="1"/>
        <rFont val="Calibri"/>
        <family val="2"/>
        <scheme val="minor"/>
      </rPr>
      <t xml:space="preserve"> Expected to </t>
    </r>
    <r>
      <rPr>
        <b/>
        <sz val="11"/>
        <color theme="1"/>
        <rFont val="Calibri"/>
        <family val="2"/>
        <scheme val="minor"/>
      </rPr>
      <t>stabilize at 7 days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consistent payment practices</t>
    </r>
    <r>
      <rPr>
        <sz val="11"/>
        <color theme="1"/>
        <rFont val="Calibri"/>
        <family val="2"/>
        <scheme val="minor"/>
      </rPr>
      <t>.</t>
    </r>
  </si>
  <si>
    <r>
      <t>Actual Years :</t>
    </r>
    <r>
      <rPr>
        <sz val="11"/>
        <color theme="1"/>
        <rFont val="Calibri"/>
        <family val="2"/>
        <scheme val="minor"/>
      </rPr>
      <t xml:space="preserve"> Payable days increased slightly from </t>
    </r>
    <r>
      <rPr>
        <b/>
        <sz val="11"/>
        <color theme="1"/>
        <rFont val="Calibri"/>
        <family val="2"/>
        <scheme val="minor"/>
      </rPr>
      <t>6 to 10 days</t>
    </r>
    <r>
      <rPr>
        <sz val="11"/>
        <color theme="1"/>
        <rFont val="Calibri"/>
        <family val="2"/>
        <scheme val="minor"/>
      </rPr>
      <t xml:space="preserve">, suggesting </t>
    </r>
    <r>
      <rPr>
        <b/>
        <sz val="11"/>
        <color theme="1"/>
        <rFont val="Calibri"/>
        <family val="2"/>
        <scheme val="minor"/>
      </rPr>
      <t>modest improvement in credit terms from suppliers</t>
    </r>
    <r>
      <rPr>
        <sz val="11"/>
        <color theme="1"/>
        <rFont val="Calibri"/>
        <family val="2"/>
        <scheme val="minor"/>
      </rPr>
      <t>.</t>
    </r>
  </si>
  <si>
    <r>
      <t>Initial Years (Low/Negative ROE):</t>
    </r>
    <r>
      <rPr>
        <sz val="11"/>
        <color theme="1"/>
        <rFont val="Calibri"/>
        <family val="2"/>
        <scheme val="minor"/>
      </rPr>
      <t xml:space="preserve"> Due to </t>
    </r>
    <r>
      <rPr>
        <b/>
        <sz val="11"/>
        <color theme="1"/>
        <rFont val="Calibri"/>
        <family val="2"/>
        <scheme val="minor"/>
      </rPr>
      <t>poor net margins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 asset turnover</t>
    </r>
    <r>
      <rPr>
        <sz val="11"/>
        <color theme="1"/>
        <rFont val="Calibri"/>
        <family val="2"/>
        <scheme val="minor"/>
      </rPr>
      <t>, despite high leverage.</t>
    </r>
  </si>
  <si>
    <r>
      <t>High ROE Phase (15% to 36%):</t>
    </r>
    <r>
      <rPr>
        <sz val="11"/>
        <color theme="1"/>
        <rFont val="Calibri"/>
        <family val="2"/>
        <scheme val="minor"/>
      </rPr>
      <t xml:space="preserve"> Driven by </t>
    </r>
    <r>
      <rPr>
        <b/>
        <sz val="11"/>
        <color theme="1"/>
        <rFont val="Calibri"/>
        <family val="2"/>
        <scheme val="minor"/>
      </rPr>
      <t>strong margin growth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improved asset efficiency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reduced reliance on debt</t>
    </r>
    <r>
      <rPr>
        <sz val="11"/>
        <color theme="1"/>
        <rFont val="Calibri"/>
        <family val="2"/>
        <scheme val="minor"/>
      </rPr>
      <t>.</t>
    </r>
  </si>
  <si>
    <r>
      <t>Recent &amp; Forecast Years (Stable but Declining ROE):</t>
    </r>
    <r>
      <rPr>
        <sz val="11"/>
        <color theme="1"/>
        <rFont val="Calibri"/>
        <family val="2"/>
        <scheme val="minor"/>
      </rPr>
      <t xml:space="preserve"> ROE remains healthy (21–36%) but </t>
    </r>
    <r>
      <rPr>
        <b/>
        <sz val="11"/>
        <color theme="1"/>
        <rFont val="Calibri"/>
        <family val="2"/>
        <scheme val="minor"/>
      </rPr>
      <t>gradually declines</t>
    </r>
    <r>
      <rPr>
        <sz val="11"/>
        <color theme="1"/>
        <rFont val="Calibri"/>
        <family val="2"/>
        <scheme val="minor"/>
      </rPr>
      <t xml:space="preserve"> due to </t>
    </r>
    <r>
      <rPr>
        <b/>
        <sz val="11"/>
        <color theme="1"/>
        <rFont val="Calibri"/>
        <family val="2"/>
        <scheme val="minor"/>
      </rPr>
      <t>lower asset turnover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decreasing financial leverage</t>
    </r>
    <r>
      <rPr>
        <sz val="11"/>
        <color theme="1"/>
        <rFont val="Calibri"/>
        <family val="2"/>
        <scheme val="minor"/>
      </rPr>
      <t>.</t>
    </r>
  </si>
  <si>
    <r>
      <t>Forecasted Years:</t>
    </r>
    <r>
      <rPr>
        <sz val="11"/>
        <color theme="1"/>
        <rFont val="Calibri"/>
        <family val="2"/>
        <scheme val="minor"/>
      </rPr>
      <t xml:space="preserve"> The ratio is projected to rise sharply from </t>
    </r>
    <r>
      <rPr>
        <b/>
        <sz val="11"/>
        <color theme="1"/>
        <rFont val="Calibri"/>
        <family val="2"/>
        <scheme val="minor"/>
      </rPr>
      <t>10.4x to 43.7x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exceptional improvement in asset productivity.</t>
    </r>
  </si>
  <si>
    <t>Item</t>
  </si>
  <si>
    <t>Reference</t>
  </si>
  <si>
    <t>Assumptions</t>
  </si>
  <si>
    <t>Charts</t>
  </si>
  <si>
    <t>Other  Income</t>
  </si>
  <si>
    <t>By calculating the average annual growth in revenue from operations for the previous year, other operating income was assessed and projected.</t>
  </si>
  <si>
    <t>I16 : R17</t>
  </si>
  <si>
    <t>Share in profit/(loss) of associates, net of tax</t>
  </si>
  <si>
    <t>I19 : R20</t>
  </si>
  <si>
    <t>Compared to Revenue , the associates' share of the net profit or loss over the previous five years is and take the latest year for the future projection , which is 1 %.</t>
  </si>
  <si>
    <t>I11 : R14</t>
  </si>
  <si>
    <t xml:space="preserve">Revenue is projected on the 3 senarios (base, best, worst) using Max value for best case of the previous 5 year historical data of the Revenue, Min value for Worst Case and Average value of 5 year data of revenue for base case, in Addition, I use the annual Groth tapering value of 15 % per Year. </t>
  </si>
  <si>
    <t>I19 : R19</t>
  </si>
  <si>
    <t xml:space="preserve">COGS Calucalted by adding purchase of stock and change in inventory , I used the average % of the 5 year historical data of the both items and used it for projection, both items compared to the revenue and consider this for avrage calculation.  </t>
  </si>
  <si>
    <t xml:space="preserve">Employee Benefits Expense, </t>
  </si>
  <si>
    <t>I26 : R31</t>
  </si>
  <si>
    <t xml:space="preserve">Compared to Revenue , Emploee Benefits Expenses, Other Expenses, Exceptional Items  over the previous five years is and take the Average of the historcial % year data  for the future projection , </t>
  </si>
  <si>
    <t>I34 : R34</t>
  </si>
  <si>
    <t xml:space="preserve">Compared to Debt , the The Finance Costs over the previous five years is and take the Average for the future projection </t>
  </si>
  <si>
    <t>Fixed Asset Schedule</t>
  </si>
  <si>
    <t>I12 : R379</t>
  </si>
  <si>
    <t>The additions, subtractions, and depreciation of fixed assets, intangibles, Investment Properties and ROU assets are forecasted using figures from 2025 with a Average  growth rate for the 5 year Historcial  year.</t>
  </si>
  <si>
    <t>I383:R384</t>
  </si>
  <si>
    <t>WIP</t>
  </si>
  <si>
    <t>WIP in capital is expected to grow at the Average of the historical 5 year data.</t>
  </si>
  <si>
    <t>Working Capital</t>
  </si>
  <si>
    <t>I19 : R 21</t>
  </si>
  <si>
    <t>DSO, DIO, DPO all are calculate base on the average of the 5 year hostorcial DSO,DPO,DIO. After this we calculate the net working capital by (DSO+DIO-DPO).</t>
  </si>
  <si>
    <t>BS Items</t>
  </si>
  <si>
    <t>I12:R65</t>
  </si>
  <si>
    <t xml:space="preserve">Balance sheet items are predicted as a percentage of revenue using the average of the preceding five years' percentage for the Future Pridiction Year
</t>
  </si>
  <si>
    <t>Terminal Growth</t>
  </si>
  <si>
    <t>Terminal Growth Rate</t>
  </si>
  <si>
    <t>Sensitivity Analysis</t>
  </si>
  <si>
    <t>Trent Ltd is engaged in retailing of apparels, footwear, accessories, toys, games, food, grocery &amp; non food products through various of its retail formats/ concepts.The company is a part of the Tata group, with the Tata group holding ~37% (Tata Sons Pvt Ltd holding 32.45%) as of Mar 24. [1] Tata Group comprises 100 operating companies, in various business sectors. The group operates in over 80 countries across 6 continents. The company operates 875+ stores as of FY24 through different store concepts. In FY24, the company saw a 50% YoY revenue growth with a 16% OPM, driven by Zudio store expansion and strong LTL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</si>
</sst>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₹&quot;\ #,##0.00;[Red]&quot;₹&quot;\ \-#,##0.00"/>
    <numFmt numFmtId="164" formatCode="0.0%"/>
    <numFmt numFmtId="165" formatCode="0.0&quot;x&quot;"/>
    <numFmt numFmtId="166" formatCode="0.0"/>
    <numFmt numFmtId="167" formatCode="0;\(0\);\-"/>
    <numFmt numFmtId="168" formatCode="#,##0;\(#,##0\);\-"/>
    <numFmt numFmtId="169" formatCode="#,##0.00;\(#,##0.00\);&quot;-&quot;"/>
    <numFmt numFmtId="170" formatCode="0&quot;Days&quot;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F"/>
      <name val="Times New Roman"/>
      <family val="1"/>
    </font>
    <font>
      <sz val="12"/>
      <color rgb="FF232A31"/>
      <name val="Times New Roman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0" fillId="0" borderId="0" xfId="0" applyAlignment="1">
      <alignment horizontal="left" indent="2"/>
    </xf>
    <xf numFmtId="0" fontId="1" fillId="0" borderId="0" xfId="0" applyFont="1" applyBorder="1"/>
    <xf numFmtId="49" fontId="1" fillId="0" borderId="0" xfId="0" applyNumberFormat="1" applyFont="1"/>
    <xf numFmtId="0" fontId="0" fillId="0" borderId="2" xfId="0" applyBorder="1"/>
    <xf numFmtId="0" fontId="1" fillId="0" borderId="3" xfId="0" applyFont="1" applyBorder="1"/>
    <xf numFmtId="0" fontId="1" fillId="0" borderId="0" xfId="0" applyFont="1" applyFill="1" applyBorder="1"/>
    <xf numFmtId="164" fontId="0" fillId="0" borderId="1" xfId="1" applyNumberFormat="1" applyFont="1" applyBorder="1"/>
    <xf numFmtId="0" fontId="0" fillId="0" borderId="0" xfId="0" applyBorder="1"/>
    <xf numFmtId="164" fontId="0" fillId="0" borderId="0" xfId="1" applyNumberFormat="1" applyFont="1" applyBorder="1"/>
    <xf numFmtId="165" fontId="0" fillId="0" borderId="0" xfId="0" applyNumberFormat="1" applyBorder="1"/>
    <xf numFmtId="0" fontId="0" fillId="0" borderId="4" xfId="0" applyBorder="1"/>
    <xf numFmtId="165" fontId="0" fillId="0" borderId="4" xfId="0" applyNumberFormat="1" applyBorder="1"/>
    <xf numFmtId="9" fontId="0" fillId="0" borderId="0" xfId="1" applyFont="1" applyBorder="1"/>
    <xf numFmtId="0" fontId="4" fillId="0" borderId="0" xfId="0" applyFont="1"/>
    <xf numFmtId="0" fontId="5" fillId="0" borderId="0" xfId="0" applyFont="1"/>
    <xf numFmtId="9" fontId="5" fillId="0" borderId="0" xfId="1" applyFont="1"/>
    <xf numFmtId="0" fontId="0" fillId="0" borderId="0" xfId="0" applyFont="1"/>
    <xf numFmtId="0" fontId="0" fillId="0" borderId="0" xfId="0" applyAlignment="1">
      <alignment wrapText="1"/>
    </xf>
    <xf numFmtId="9" fontId="0" fillId="0" borderId="0" xfId="1" applyFont="1"/>
    <xf numFmtId="0" fontId="7" fillId="0" borderId="0" xfId="0" applyFont="1"/>
    <xf numFmtId="10" fontId="0" fillId="0" borderId="0" xfId="1" applyNumberFormat="1" applyFont="1"/>
    <xf numFmtId="10" fontId="1" fillId="0" borderId="3" xfId="1" applyNumberFormat="1" applyFont="1" applyBorder="1"/>
    <xf numFmtId="10" fontId="1" fillId="0" borderId="1" xfId="1" applyNumberFormat="1" applyFont="1" applyBorder="1"/>
    <xf numFmtId="10" fontId="0" fillId="0" borderId="0" xfId="0" applyNumberFormat="1"/>
    <xf numFmtId="0" fontId="1" fillId="0" borderId="3" xfId="0" applyFont="1" applyFill="1" applyBorder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2" borderId="0" xfId="0" applyFont="1" applyFill="1"/>
    <xf numFmtId="1" fontId="2" fillId="0" borderId="0" xfId="0" applyNumberFormat="1" applyFont="1"/>
    <xf numFmtId="0" fontId="0" fillId="0" borderId="0" xfId="0" applyFont="1" applyBorder="1"/>
    <xf numFmtId="1" fontId="6" fillId="0" borderId="0" xfId="0" applyNumberFormat="1" applyFont="1"/>
    <xf numFmtId="0" fontId="1" fillId="3" borderId="1" xfId="0" applyFont="1" applyFill="1" applyBorder="1"/>
    <xf numFmtId="1" fontId="1" fillId="0" borderId="1" xfId="0" applyNumberFormat="1" applyFont="1" applyBorder="1"/>
    <xf numFmtId="9" fontId="6" fillId="0" borderId="0" xfId="1" applyFont="1"/>
    <xf numFmtId="1" fontId="1" fillId="0" borderId="3" xfId="0" applyNumberFormat="1" applyFont="1" applyBorder="1"/>
    <xf numFmtId="0" fontId="0" fillId="0" borderId="4" xfId="0" applyFont="1" applyBorder="1"/>
    <xf numFmtId="1" fontId="1" fillId="0" borderId="2" xfId="0" applyNumberFormat="1" applyFont="1" applyBorder="1"/>
    <xf numFmtId="1" fontId="6" fillId="0" borderId="4" xfId="0" applyNumberFormat="1" applyFont="1" applyBorder="1"/>
    <xf numFmtId="1" fontId="0" fillId="0" borderId="4" xfId="0" applyNumberFormat="1" applyBorder="1"/>
    <xf numFmtId="167" fontId="0" fillId="0" borderId="0" xfId="0" applyNumberFormat="1"/>
    <xf numFmtId="167" fontId="1" fillId="0" borderId="2" xfId="0" applyNumberFormat="1" applyFont="1" applyBorder="1"/>
    <xf numFmtId="0" fontId="1" fillId="4" borderId="0" xfId="0" applyFont="1" applyFill="1"/>
    <xf numFmtId="0" fontId="0" fillId="4" borderId="0" xfId="0" applyFill="1"/>
    <xf numFmtId="1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Continuous"/>
    </xf>
    <xf numFmtId="0" fontId="0" fillId="5" borderId="0" xfId="0" applyFill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Fill="1" applyBorder="1" applyAlignment="1">
      <alignment horizontal="centerContinuous"/>
    </xf>
    <xf numFmtId="0" fontId="0" fillId="0" borderId="11" xfId="0" applyFill="1" applyBorder="1" applyAlignment="1"/>
    <xf numFmtId="0" fontId="0" fillId="0" borderId="14" xfId="0" applyFill="1" applyBorder="1" applyAlignment="1"/>
    <xf numFmtId="0" fontId="4" fillId="0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6" xfId="0" applyFill="1" applyBorder="1" applyAlignment="1"/>
    <xf numFmtId="0" fontId="1" fillId="6" borderId="6" xfId="0" applyFont="1" applyFill="1" applyBorder="1" applyAlignment="1"/>
    <xf numFmtId="9" fontId="0" fillId="0" borderId="12" xfId="0" applyNumberFormat="1" applyBorder="1"/>
    <xf numFmtId="0" fontId="12" fillId="0" borderId="0" xfId="0" applyFont="1" applyAlignment="1">
      <alignment horizontal="left"/>
    </xf>
    <xf numFmtId="0" fontId="0" fillId="5" borderId="23" xfId="0" applyFont="1" applyFill="1" applyBorder="1"/>
    <xf numFmtId="164" fontId="0" fillId="5" borderId="24" xfId="0" applyNumberFormat="1" applyFont="1" applyFill="1" applyBorder="1"/>
    <xf numFmtId="0" fontId="0" fillId="5" borderId="25" xfId="0" applyFont="1" applyFill="1" applyBorder="1"/>
    <xf numFmtId="10" fontId="0" fillId="5" borderId="26" xfId="0" applyNumberFormat="1" applyFont="1" applyFill="1" applyBorder="1"/>
    <xf numFmtId="0" fontId="0" fillId="5" borderId="27" xfId="0" applyFont="1" applyFill="1" applyBorder="1"/>
    <xf numFmtId="9" fontId="0" fillId="5" borderId="28" xfId="0" applyNumberFormat="1" applyFont="1" applyFill="1" applyBorder="1"/>
    <xf numFmtId="164" fontId="0" fillId="5" borderId="28" xfId="0" applyNumberFormat="1" applyFont="1" applyFill="1" applyBorder="1"/>
    <xf numFmtId="0" fontId="0" fillId="5" borderId="29" xfId="0" applyFont="1" applyFill="1" applyBorder="1"/>
    <xf numFmtId="2" fontId="0" fillId="5" borderId="30" xfId="0" applyNumberFormat="1" applyFont="1" applyFill="1" applyBorder="1"/>
    <xf numFmtId="0" fontId="0" fillId="5" borderId="25" xfId="0" applyFill="1" applyBorder="1"/>
    <xf numFmtId="9" fontId="0" fillId="5" borderId="26" xfId="0" applyNumberFormat="1" applyFill="1" applyBorder="1"/>
    <xf numFmtId="0" fontId="0" fillId="5" borderId="29" xfId="0" applyFill="1" applyBorder="1"/>
    <xf numFmtId="9" fontId="0" fillId="5" borderId="30" xfId="0" applyNumberFormat="1" applyFill="1" applyBorder="1"/>
    <xf numFmtId="0" fontId="0" fillId="5" borderId="23" xfId="0" applyFill="1" applyBorder="1"/>
    <xf numFmtId="9" fontId="0" fillId="5" borderId="24" xfId="1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37" xfId="0" applyFill="1" applyBorder="1"/>
    <xf numFmtId="8" fontId="0" fillId="5" borderId="38" xfId="0" applyNumberFormat="1" applyFill="1" applyBorder="1"/>
    <xf numFmtId="0" fontId="0" fillId="5" borderId="27" xfId="0" applyFill="1" applyBorder="1"/>
    <xf numFmtId="8" fontId="0" fillId="5" borderId="28" xfId="0" applyNumberFormat="1" applyFill="1" applyBorder="1"/>
    <xf numFmtId="0" fontId="1" fillId="5" borderId="39" xfId="0" applyFont="1" applyFill="1" applyBorder="1"/>
    <xf numFmtId="8" fontId="1" fillId="5" borderId="28" xfId="0" applyNumberFormat="1" applyFont="1" applyFill="1" applyBorder="1"/>
    <xf numFmtId="1" fontId="0" fillId="5" borderId="28" xfId="0" applyNumberFormat="1" applyFill="1" applyBorder="1"/>
    <xf numFmtId="0" fontId="1" fillId="5" borderId="29" xfId="0" applyFont="1" applyFill="1" applyBorder="1"/>
    <xf numFmtId="8" fontId="1" fillId="5" borderId="30" xfId="0" applyNumberFormat="1" applyFont="1" applyFill="1" applyBorder="1"/>
    <xf numFmtId="0" fontId="0" fillId="5" borderId="35" xfId="0" applyFill="1" applyBorder="1"/>
    <xf numFmtId="1" fontId="0" fillId="5" borderId="36" xfId="0" applyNumberFormat="1" applyFill="1" applyBorder="1"/>
    <xf numFmtId="0" fontId="0" fillId="5" borderId="31" xfId="0" applyFill="1" applyBorder="1"/>
    <xf numFmtId="1" fontId="0" fillId="5" borderId="32" xfId="0" applyNumberFormat="1" applyFill="1" applyBorder="1"/>
    <xf numFmtId="0" fontId="0" fillId="5" borderId="33" xfId="0" applyFill="1" applyBorder="1"/>
    <xf numFmtId="1" fontId="0" fillId="5" borderId="34" xfId="0" applyNumberFormat="1" applyFill="1" applyBorder="1"/>
    <xf numFmtId="0" fontId="1" fillId="5" borderId="23" xfId="0" applyFont="1" applyFill="1" applyBorder="1"/>
    <xf numFmtId="9" fontId="1" fillId="5" borderId="24" xfId="1" applyFont="1" applyFill="1" applyBorder="1"/>
    <xf numFmtId="0" fontId="0" fillId="5" borderId="32" xfId="0" applyFill="1" applyBorder="1"/>
    <xf numFmtId="8" fontId="0" fillId="5" borderId="30" xfId="0" applyNumberFormat="1" applyFill="1" applyBorder="1"/>
    <xf numFmtId="0" fontId="0" fillId="3" borderId="0" xfId="0" applyFill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2" fillId="0" borderId="1" xfId="0" applyFont="1" applyBorder="1" applyAlignment="1">
      <alignment horizontal="left"/>
    </xf>
    <xf numFmtId="1" fontId="0" fillId="0" borderId="1" xfId="0" applyNumberFormat="1" applyBorder="1"/>
    <xf numFmtId="0" fontId="1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3" fillId="0" borderId="3" xfId="0" applyFont="1" applyBorder="1" applyAlignment="1">
      <alignment horizontal="left"/>
    </xf>
    <xf numFmtId="168" fontId="0" fillId="0" borderId="0" xfId="0" applyNumberFormat="1"/>
    <xf numFmtId="168" fontId="1" fillId="0" borderId="1" xfId="0" applyNumberFormat="1" applyFont="1" applyBorder="1"/>
    <xf numFmtId="168" fontId="1" fillId="0" borderId="3" xfId="0" applyNumberFormat="1" applyFont="1" applyBorder="1"/>
    <xf numFmtId="0" fontId="15" fillId="5" borderId="0" xfId="0" applyFont="1" applyFill="1" applyAlignment="1">
      <alignment horizontal="left"/>
    </xf>
    <xf numFmtId="168" fontId="6" fillId="0" borderId="1" xfId="0" applyNumberFormat="1" applyFont="1" applyBorder="1"/>
    <xf numFmtId="168" fontId="6" fillId="0" borderId="0" xfId="0" applyNumberFormat="1" applyFont="1"/>
    <xf numFmtId="0" fontId="1" fillId="5" borderId="3" xfId="0" applyFont="1" applyFill="1" applyBorder="1"/>
    <xf numFmtId="0" fontId="1" fillId="5" borderId="3" xfId="0" applyFont="1" applyFill="1" applyBorder="1" applyAlignment="1">
      <alignment wrapText="1"/>
    </xf>
    <xf numFmtId="17" fontId="0" fillId="0" borderId="40" xfId="0" applyNumberFormat="1" applyBorder="1"/>
    <xf numFmtId="1" fontId="0" fillId="0" borderId="40" xfId="0" applyNumberFormat="1" applyBorder="1"/>
    <xf numFmtId="0" fontId="0" fillId="0" borderId="40" xfId="0" applyBorder="1"/>
    <xf numFmtId="17" fontId="0" fillId="0" borderId="41" xfId="0" applyNumberFormat="1" applyBorder="1"/>
    <xf numFmtId="1" fontId="0" fillId="0" borderId="41" xfId="0" applyNumberFormat="1" applyBorder="1"/>
    <xf numFmtId="9" fontId="0" fillId="0" borderId="41" xfId="1" applyFont="1" applyBorder="1"/>
    <xf numFmtId="0" fontId="1" fillId="5" borderId="8" xfId="0" applyFont="1" applyFill="1" applyBorder="1"/>
    <xf numFmtId="2" fontId="1" fillId="5" borderId="8" xfId="0" applyNumberFormat="1" applyFont="1" applyFill="1" applyBorder="1"/>
    <xf numFmtId="0" fontId="0" fillId="5" borderId="17" xfId="0" applyFont="1" applyFill="1" applyBorder="1"/>
    <xf numFmtId="0" fontId="0" fillId="5" borderId="18" xfId="0" applyFont="1" applyFill="1" applyBorder="1"/>
    <xf numFmtId="9" fontId="3" fillId="5" borderId="19" xfId="1" applyFont="1" applyFill="1" applyBorder="1"/>
    <xf numFmtId="9" fontId="3" fillId="5" borderId="20" xfId="1" applyNumberFormat="1" applyFont="1" applyFill="1" applyBorder="1"/>
    <xf numFmtId="0" fontId="0" fillId="5" borderId="19" xfId="0" applyFont="1" applyFill="1" applyBorder="1"/>
    <xf numFmtId="9" fontId="0" fillId="5" borderId="20" xfId="0" applyNumberFormat="1" applyFont="1" applyFill="1" applyBorder="1"/>
    <xf numFmtId="0" fontId="0" fillId="5" borderId="21" xfId="0" applyFont="1" applyFill="1" applyBorder="1"/>
    <xf numFmtId="9" fontId="3" fillId="5" borderId="22" xfId="1" applyFont="1" applyFill="1" applyBorder="1"/>
    <xf numFmtId="0" fontId="1" fillId="5" borderId="41" xfId="0" applyFont="1" applyFill="1" applyBorder="1"/>
    <xf numFmtId="15" fontId="0" fillId="0" borderId="41" xfId="0" applyNumberFormat="1" applyBorder="1"/>
    <xf numFmtId="0" fontId="0" fillId="5" borderId="4" xfId="0" applyFill="1" applyBorder="1"/>
    <xf numFmtId="0" fontId="4" fillId="5" borderId="4" xfId="0" applyFont="1" applyFill="1" applyBorder="1"/>
    <xf numFmtId="168" fontId="2" fillId="0" borderId="0" xfId="0" applyNumberFormat="1" applyFont="1"/>
    <xf numFmtId="168" fontId="1" fillId="0" borderId="2" xfId="0" applyNumberFormat="1" applyFont="1" applyBorder="1"/>
    <xf numFmtId="168" fontId="1" fillId="0" borderId="0" xfId="0" applyNumberFormat="1" applyFont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4" xfId="0" applyFont="1" applyFill="1" applyBorder="1"/>
    <xf numFmtId="0" fontId="0" fillId="5" borderId="0" xfId="0" applyFill="1" applyBorder="1"/>
    <xf numFmtId="0" fontId="4" fillId="5" borderId="0" xfId="0" applyFont="1" applyFill="1" applyBorder="1"/>
    <xf numFmtId="0" fontId="1" fillId="5" borderId="6" xfId="0" applyFont="1" applyFill="1" applyBorder="1"/>
    <xf numFmtId="9" fontId="4" fillId="8" borderId="0" xfId="1" applyFont="1" applyFill="1"/>
    <xf numFmtId="0" fontId="14" fillId="2" borderId="0" xfId="0" applyFont="1" applyFill="1"/>
    <xf numFmtId="9" fontId="4" fillId="8" borderId="42" xfId="1" applyFont="1" applyFill="1" applyBorder="1"/>
    <xf numFmtId="9" fontId="4" fillId="9" borderId="42" xfId="1" applyFont="1" applyFill="1" applyBorder="1"/>
    <xf numFmtId="0" fontId="4" fillId="3" borderId="0" xfId="0" applyFont="1" applyFill="1"/>
    <xf numFmtId="9" fontId="4" fillId="3" borderId="0" xfId="1" applyFont="1" applyFill="1"/>
    <xf numFmtId="0" fontId="4" fillId="5" borderId="6" xfId="0" applyFont="1" applyFill="1" applyBorder="1"/>
    <xf numFmtId="0" fontId="0" fillId="5" borderId="6" xfId="0" applyFill="1" applyBorder="1"/>
    <xf numFmtId="168" fontId="1" fillId="0" borderId="0" xfId="0" applyNumberFormat="1" applyFont="1"/>
    <xf numFmtId="0" fontId="0" fillId="0" borderId="3" xfId="0" applyBorder="1"/>
    <xf numFmtId="0" fontId="1" fillId="0" borderId="6" xfId="0" applyFont="1" applyBorder="1"/>
    <xf numFmtId="1" fontId="1" fillId="0" borderId="6" xfId="0" applyNumberFormat="1" applyFont="1" applyBorder="1"/>
    <xf numFmtId="0" fontId="15" fillId="5" borderId="6" xfId="0" applyFont="1" applyFill="1" applyBorder="1" applyAlignment="1">
      <alignment horizontal="left"/>
    </xf>
    <xf numFmtId="0" fontId="0" fillId="0" borderId="6" xfId="0" applyBorder="1"/>
    <xf numFmtId="9" fontId="4" fillId="8" borderId="0" xfId="0" applyNumberFormat="1" applyFont="1" applyFill="1"/>
    <xf numFmtId="168" fontId="0" fillId="0" borderId="3" xfId="0" applyNumberFormat="1" applyBorder="1"/>
    <xf numFmtId="0" fontId="0" fillId="0" borderId="0" xfId="0" applyFill="1" applyBorder="1"/>
    <xf numFmtId="0" fontId="15" fillId="5" borderId="3" xfId="0" applyFont="1" applyFill="1" applyBorder="1" applyAlignment="1">
      <alignment horizontal="left"/>
    </xf>
    <xf numFmtId="9" fontId="4" fillId="9" borderId="42" xfId="0" applyNumberFormat="1" applyFont="1" applyFill="1" applyBorder="1"/>
    <xf numFmtId="0" fontId="4" fillId="8" borderId="42" xfId="0" applyFont="1" applyFill="1" applyBorder="1" applyAlignment="1">
      <alignment horizontal="left" indent="2"/>
    </xf>
    <xf numFmtId="0" fontId="4" fillId="8" borderId="42" xfId="0" applyFont="1" applyFill="1" applyBorder="1"/>
    <xf numFmtId="0" fontId="0" fillId="0" borderId="42" xfId="0" applyBorder="1"/>
    <xf numFmtId="0" fontId="1" fillId="0" borderId="42" xfId="0" applyFont="1" applyBorder="1"/>
    <xf numFmtId="168" fontId="1" fillId="0" borderId="42" xfId="0" applyNumberFormat="1" applyFont="1" applyBorder="1"/>
    <xf numFmtId="168" fontId="0" fillId="0" borderId="0" xfId="1" applyNumberFormat="1" applyFont="1"/>
    <xf numFmtId="168" fontId="0" fillId="4" borderId="0" xfId="0" applyNumberFormat="1" applyFill="1"/>
    <xf numFmtId="0" fontId="0" fillId="5" borderId="1" xfId="0" applyFont="1" applyFill="1" applyBorder="1"/>
    <xf numFmtId="9" fontId="0" fillId="0" borderId="6" xfId="1" applyFont="1" applyBorder="1"/>
    <xf numFmtId="0" fontId="1" fillId="7" borderId="0" xfId="0" applyFont="1" applyFill="1"/>
    <xf numFmtId="9" fontId="1" fillId="7" borderId="0" xfId="1" applyFont="1" applyFill="1"/>
    <xf numFmtId="0" fontId="0" fillId="0" borderId="43" xfId="0" applyBorder="1"/>
    <xf numFmtId="9" fontId="0" fillId="0" borderId="43" xfId="0" applyNumberFormat="1" applyBorder="1"/>
    <xf numFmtId="9" fontId="0" fillId="0" borderId="43" xfId="1" applyFont="1" applyBorder="1"/>
    <xf numFmtId="9" fontId="0" fillId="0" borderId="42" xfId="0" applyNumberFormat="1" applyBorder="1"/>
    <xf numFmtId="9" fontId="0" fillId="0" borderId="42" xfId="1" applyFont="1" applyBorder="1"/>
    <xf numFmtId="0" fontId="1" fillId="8" borderId="43" xfId="0" applyFont="1" applyFill="1" applyBorder="1"/>
    <xf numFmtId="9" fontId="1" fillId="8" borderId="43" xfId="0" applyNumberFormat="1" applyFont="1" applyFill="1" applyBorder="1"/>
    <xf numFmtId="0" fontId="1" fillId="8" borderId="42" xfId="0" applyFont="1" applyFill="1" applyBorder="1"/>
    <xf numFmtId="9" fontId="1" fillId="8" borderId="42" xfId="0" applyNumberFormat="1" applyFont="1" applyFill="1" applyBorder="1"/>
    <xf numFmtId="0" fontId="4" fillId="8" borderId="44" xfId="0" applyFont="1" applyFill="1" applyBorder="1"/>
    <xf numFmtId="9" fontId="4" fillId="8" borderId="44" xfId="1" applyFont="1" applyFill="1" applyBorder="1"/>
    <xf numFmtId="9" fontId="4" fillId="9" borderId="44" xfId="1" applyFont="1" applyFill="1" applyBorder="1"/>
    <xf numFmtId="0" fontId="4" fillId="9" borderId="42" xfId="0" applyFont="1" applyFill="1" applyBorder="1"/>
    <xf numFmtId="0" fontId="9" fillId="5" borderId="48" xfId="0" applyNumberFormat="1" applyFont="1" applyFill="1" applyBorder="1"/>
    <xf numFmtId="10" fontId="9" fillId="5" borderId="49" xfId="0" applyNumberFormat="1" applyFont="1" applyFill="1" applyBorder="1"/>
    <xf numFmtId="9" fontId="9" fillId="5" borderId="49" xfId="1" applyFont="1" applyFill="1" applyBorder="1"/>
    <xf numFmtId="0" fontId="10" fillId="5" borderId="49" xfId="0" applyFont="1" applyFill="1" applyBorder="1"/>
    <xf numFmtId="4" fontId="11" fillId="5" borderId="49" xfId="0" applyNumberFormat="1" applyFont="1" applyFill="1" applyBorder="1"/>
    <xf numFmtId="0" fontId="9" fillId="5" borderId="50" xfId="0" applyNumberFormat="1" applyFont="1" applyFill="1" applyBorder="1"/>
    <xf numFmtId="2" fontId="9" fillId="5" borderId="51" xfId="0" applyNumberFormat="1" applyFont="1" applyFill="1" applyBorder="1"/>
    <xf numFmtId="169" fontId="12" fillId="0" borderId="0" xfId="0" applyNumberFormat="1" applyFont="1" applyAlignment="1">
      <alignment horizontal="left"/>
    </xf>
    <xf numFmtId="165" fontId="0" fillId="0" borderId="0" xfId="1" applyNumberFormat="1" applyFont="1"/>
    <xf numFmtId="170" fontId="0" fillId="0" borderId="0" xfId="1" applyNumberFormat="1" applyFont="1"/>
    <xf numFmtId="165" fontId="0" fillId="0" borderId="0" xfId="0" applyNumberFormat="1"/>
    <xf numFmtId="9" fontId="0" fillId="0" borderId="3" xfId="1" applyFont="1" applyBorder="1"/>
    <xf numFmtId="0" fontId="7" fillId="5" borderId="0" xfId="0" applyFont="1" applyFill="1" applyAlignment="1">
      <alignment horizontal="center"/>
    </xf>
    <xf numFmtId="0" fontId="1" fillId="0" borderId="52" xfId="0" applyFont="1" applyBorder="1"/>
    <xf numFmtId="0" fontId="0" fillId="0" borderId="53" xfId="0" applyBorder="1"/>
    <xf numFmtId="0" fontId="1" fillId="0" borderId="54" xfId="0" applyFont="1" applyBorder="1"/>
    <xf numFmtId="0" fontId="0" fillId="0" borderId="55" xfId="0" applyBorder="1"/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0" fillId="0" borderId="59" xfId="0" applyBorder="1"/>
    <xf numFmtId="0" fontId="0" fillId="0" borderId="56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9" fontId="12" fillId="0" borderId="8" xfId="0" applyNumberFormat="1" applyFont="1" applyBorder="1" applyAlignment="1">
      <alignment horizontal="center"/>
    </xf>
    <xf numFmtId="0" fontId="1" fillId="5" borderId="0" xfId="0" applyFont="1" applyFill="1" applyBorder="1"/>
    <xf numFmtId="0" fontId="0" fillId="0" borderId="44" xfId="0" applyNumberFormat="1" applyBorder="1"/>
    <xf numFmtId="0" fontId="0" fillId="0" borderId="44" xfId="1" applyNumberFormat="1" applyFont="1" applyBorder="1"/>
    <xf numFmtId="0" fontId="0" fillId="0" borderId="42" xfId="0" applyNumberFormat="1" applyBorder="1"/>
    <xf numFmtId="0" fontId="0" fillId="0" borderId="42" xfId="1" applyNumberFormat="1" applyFont="1" applyBorder="1"/>
    <xf numFmtId="0" fontId="0" fillId="0" borderId="62" xfId="0" applyNumberFormat="1" applyBorder="1"/>
    <xf numFmtId="0" fontId="0" fillId="0" borderId="62" xfId="1" applyNumberFormat="1" applyFont="1" applyBorder="1"/>
    <xf numFmtId="2" fontId="0" fillId="5" borderId="0" xfId="0" applyNumberFormat="1" applyFill="1"/>
    <xf numFmtId="0" fontId="0" fillId="5" borderId="63" xfId="0" applyFill="1" applyBorder="1"/>
    <xf numFmtId="1" fontId="0" fillId="5" borderId="64" xfId="0" applyNumberFormat="1" applyFill="1" applyBorder="1"/>
    <xf numFmtId="0" fontId="0" fillId="5" borderId="45" xfId="0" applyFill="1" applyBorder="1"/>
    <xf numFmtId="9" fontId="0" fillId="5" borderId="61" xfId="0" applyNumberFormat="1" applyFill="1" applyBorder="1"/>
    <xf numFmtId="166" fontId="0" fillId="9" borderId="0" xfId="0" applyNumberFormat="1" applyFill="1" applyBorder="1"/>
    <xf numFmtId="166" fontId="0" fillId="8" borderId="52" xfId="0" applyNumberFormat="1" applyFill="1" applyBorder="1"/>
    <xf numFmtId="166" fontId="0" fillId="8" borderId="1" xfId="0" applyNumberFormat="1" applyFill="1" applyBorder="1"/>
    <xf numFmtId="166" fontId="0" fillId="8" borderId="60" xfId="0" applyNumberFormat="1" applyFill="1" applyBorder="1"/>
    <xf numFmtId="166" fontId="0" fillId="10" borderId="0" xfId="0" applyNumberFormat="1" applyFill="1" applyBorder="1"/>
    <xf numFmtId="8" fontId="8" fillId="0" borderId="0" xfId="0" applyNumberFormat="1" applyFont="1" applyBorder="1"/>
    <xf numFmtId="9" fontId="0" fillId="0" borderId="0" xfId="0" applyNumberFormat="1" applyBorder="1"/>
    <xf numFmtId="166" fontId="0" fillId="8" borderId="64" xfId="0" applyNumberFormat="1" applyFill="1" applyBorder="1"/>
    <xf numFmtId="166" fontId="0" fillId="8" borderId="12" xfId="0" applyNumberFormat="1" applyFill="1" applyBorder="1"/>
    <xf numFmtId="9" fontId="0" fillId="0" borderId="6" xfId="0" applyNumberFormat="1" applyBorder="1"/>
    <xf numFmtId="166" fontId="0" fillId="8" borderId="65" xfId="0" applyNumberFormat="1" applyFill="1" applyBorder="1"/>
    <xf numFmtId="166" fontId="0" fillId="8" borderId="6" xfId="0" applyNumberFormat="1" applyFill="1" applyBorder="1"/>
    <xf numFmtId="166" fontId="0" fillId="8" borderId="16" xfId="0" applyNumberFormat="1" applyFill="1" applyBorder="1"/>
    <xf numFmtId="169" fontId="12" fillId="0" borderId="56" xfId="0" applyNumberFormat="1" applyFont="1" applyBorder="1" applyAlignment="1">
      <alignment horizontal="center" vertical="center"/>
    </xf>
    <xf numFmtId="169" fontId="12" fillId="0" borderId="58" xfId="0" applyNumberFormat="1" applyFont="1" applyBorder="1" applyAlignment="1">
      <alignment horizontal="center" vertical="center"/>
    </xf>
    <xf numFmtId="169" fontId="12" fillId="0" borderId="56" xfId="0" applyNumberFormat="1" applyFont="1" applyBorder="1" applyAlignment="1">
      <alignment horizontal="center" vertical="top" wrapText="1"/>
    </xf>
    <xf numFmtId="169" fontId="12" fillId="0" borderId="58" xfId="0" applyNumberFormat="1" applyFont="1" applyBorder="1" applyAlignment="1">
      <alignment horizontal="center" vertical="top" wrapText="1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69" fontId="12" fillId="0" borderId="8" xfId="0" applyNumberFormat="1" applyFont="1" applyBorder="1" applyAlignment="1">
      <alignment horizontal="center"/>
    </xf>
    <xf numFmtId="169" fontId="12" fillId="0" borderId="52" xfId="0" applyNumberFormat="1" applyFont="1" applyBorder="1" applyAlignment="1">
      <alignment horizontal="center" vertical="top" wrapText="1"/>
    </xf>
    <xf numFmtId="169" fontId="12" fillId="0" borderId="1" xfId="0" applyNumberFormat="1" applyFont="1" applyBorder="1" applyAlignment="1">
      <alignment horizontal="center" vertical="top" wrapText="1"/>
    </xf>
    <xf numFmtId="169" fontId="12" fillId="0" borderId="53" xfId="0" applyNumberFormat="1" applyFont="1" applyBorder="1" applyAlignment="1">
      <alignment horizontal="center" vertical="top" wrapText="1"/>
    </xf>
    <xf numFmtId="169" fontId="12" fillId="0" borderId="54" xfId="0" applyNumberFormat="1" applyFont="1" applyBorder="1" applyAlignment="1">
      <alignment horizontal="center" vertical="top" wrapText="1"/>
    </xf>
    <xf numFmtId="169" fontId="12" fillId="0" borderId="4" xfId="0" applyNumberFormat="1" applyFont="1" applyBorder="1" applyAlignment="1">
      <alignment horizontal="center" vertical="top" wrapText="1"/>
    </xf>
    <xf numFmtId="169" fontId="12" fillId="0" borderId="55" xfId="0" applyNumberFormat="1" applyFont="1" applyBorder="1" applyAlignment="1">
      <alignment horizontal="center" vertical="top" wrapText="1"/>
    </xf>
    <xf numFmtId="0" fontId="12" fillId="0" borderId="45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61" xfId="0" applyFont="1" applyBorder="1" applyAlignment="1">
      <alignment horizontal="center" wrapText="1"/>
    </xf>
    <xf numFmtId="169" fontId="12" fillId="0" borderId="8" xfId="0" applyNumberFormat="1" applyFont="1" applyBorder="1" applyAlignment="1">
      <alignment horizontal="center" wrapText="1"/>
    </xf>
    <xf numFmtId="0" fontId="0" fillId="0" borderId="5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3" xfId="0" applyBorder="1" applyAlignment="1">
      <alignment horizontal="center" vertical="top" wrapText="1"/>
    </xf>
    <xf numFmtId="0" fontId="0" fillId="0" borderId="6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9" xfId="0" applyBorder="1" applyAlignment="1">
      <alignment horizontal="center" vertical="top" wrapText="1"/>
    </xf>
    <xf numFmtId="0" fontId="0" fillId="0" borderId="54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5" xfId="0" applyBorder="1" applyAlignment="1">
      <alignment horizontal="center" vertical="top" wrapText="1"/>
    </xf>
    <xf numFmtId="0" fontId="0" fillId="0" borderId="5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46" xfId="0" applyNumberFormat="1" applyFont="1" applyFill="1" applyBorder="1" applyAlignment="1">
      <alignment horizontal="center"/>
    </xf>
    <xf numFmtId="0" fontId="7" fillId="5" borderId="47" xfId="0" applyNumberFormat="1" applyFont="1" applyFill="1" applyBorder="1" applyAlignment="1">
      <alignment horizontal="center"/>
    </xf>
    <xf numFmtId="169" fontId="12" fillId="0" borderId="8" xfId="0" applyNumberFormat="1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 vertical="center" textRotation="90" wrapText="1"/>
    </xf>
    <xf numFmtId="0" fontId="16" fillId="5" borderId="14" xfId="0" applyFont="1" applyFill="1" applyBorder="1" applyAlignment="1">
      <alignment horizontal="center" vertical="center" textRotation="90" wrapText="1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17" fillId="5" borderId="9" xfId="0" applyFont="1" applyFill="1" applyBorder="1" applyAlignment="1">
      <alignment horizontal="left" vertical="top" wrapText="1"/>
    </xf>
    <xf numFmtId="0" fontId="17" fillId="5" borderId="5" xfId="0" applyFont="1" applyFill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vertical="top" wrapText="1"/>
    </xf>
    <xf numFmtId="0" fontId="17" fillId="5" borderId="11" xfId="0" applyFont="1" applyFill="1" applyBorder="1" applyAlignment="1">
      <alignment horizontal="left" vertical="top" wrapText="1"/>
    </xf>
    <xf numFmtId="0" fontId="17" fillId="5" borderId="0" xfId="0" applyFont="1" applyFill="1" applyBorder="1" applyAlignment="1">
      <alignment horizontal="left" vertical="top" wrapText="1"/>
    </xf>
    <xf numFmtId="0" fontId="17" fillId="5" borderId="12" xfId="0" applyFont="1" applyFill="1" applyBorder="1" applyAlignment="1">
      <alignment horizontal="left" vertical="top" wrapText="1"/>
    </xf>
    <xf numFmtId="0" fontId="17" fillId="5" borderId="14" xfId="0" applyFont="1" applyFill="1" applyBorder="1" applyAlignment="1">
      <alignment horizontal="left" vertical="top" wrapText="1"/>
    </xf>
    <xf numFmtId="0" fontId="17" fillId="5" borderId="6" xfId="0" applyFont="1" applyFill="1" applyBorder="1" applyAlignment="1">
      <alignment horizontal="left" vertical="top" wrapText="1"/>
    </xf>
    <xf numFmtId="0" fontId="17" fillId="5" borderId="16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[1]Sheet1!$B$8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[1]Sheet1!$C$7:$Q$7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[1]Sheet1!$C$8:$Q$8</c:f>
              <c:numCache>
                <c:formatCode>General</c:formatCode>
                <c:ptCount val="15"/>
                <c:pt idx="0">
                  <c:v>171.89999999999998</c:v>
                </c:pt>
                <c:pt idx="1">
                  <c:v>573.87000000000035</c:v>
                </c:pt>
                <c:pt idx="2">
                  <c:v>1073.6500000000005</c:v>
                </c:pt>
                <c:pt idx="3">
                  <c:v>1922.1299999999983</c:v>
                </c:pt>
                <c:pt idx="4">
                  <c:v>2758.4500000000007</c:v>
                </c:pt>
                <c:pt idx="5">
                  <c:v>3540.8058092685824</c:v>
                </c:pt>
                <c:pt idx="6">
                  <c:v>5386.5998962808826</c:v>
                </c:pt>
                <c:pt idx="7">
                  <c:v>7773.3930606746144</c:v>
                </c:pt>
                <c:pt idx="8">
                  <c:v>10701.113610152926</c:v>
                </c:pt>
                <c:pt idx="9">
                  <c:v>14126.952169720578</c:v>
                </c:pt>
                <c:pt idx="10">
                  <c:v>17971.146367634457</c:v>
                </c:pt>
                <c:pt idx="11">
                  <c:v>22127.873834492937</c:v>
                </c:pt>
                <c:pt idx="12">
                  <c:v>26478.325842895021</c:v>
                </c:pt>
                <c:pt idx="13">
                  <c:v>30903.232804058542</c:v>
                </c:pt>
                <c:pt idx="14">
                  <c:v>35292.949176355294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48C7-9475-C8DAF79C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369312"/>
        <c:axId val="577373248"/>
      </c:barChart>
      <c:lineChart>
        <c:grouping val="standard"/>
        <c:varyColors val="0"/>
        <c:ser>
          <c:idx val="1"/>
          <c:order val="1"/>
          <c:tx>
            <c:strRef>
              <c:f>[1]Sheet1!$B$9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[1]Sheet1!$C$7:$Q$7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[1]Sheet1!$C$9:$Q$9</c:f>
              <c:numCache>
                <c:formatCode>General</c:formatCode>
                <c:ptCount val="15"/>
                <c:pt idx="0">
                  <c:v>6.6294890781192148E-2</c:v>
                </c:pt>
                <c:pt idx="1">
                  <c:v>0.12758280310003076</c:v>
                </c:pt>
                <c:pt idx="2">
                  <c:v>0.13026539610435312</c:v>
                </c:pt>
                <c:pt idx="3">
                  <c:v>0.15532225572136316</c:v>
                </c:pt>
                <c:pt idx="4">
                  <c:v>0.16098703151107616</c:v>
                </c:pt>
                <c:pt idx="5">
                  <c:v>0.12809047544360314</c:v>
                </c:pt>
                <c:pt idx="6">
                  <c:v>0.12809047544360314</c:v>
                </c:pt>
                <c:pt idx="7">
                  <c:v>0.12809047544360308</c:v>
                </c:pt>
                <c:pt idx="8">
                  <c:v>0.12809047544360311</c:v>
                </c:pt>
                <c:pt idx="9">
                  <c:v>0.12809047544360308</c:v>
                </c:pt>
                <c:pt idx="10">
                  <c:v>0.128090475443603</c:v>
                </c:pt>
                <c:pt idx="11">
                  <c:v>0.12809047544360305</c:v>
                </c:pt>
                <c:pt idx="12">
                  <c:v>0.12809047544360302</c:v>
                </c:pt>
                <c:pt idx="13">
                  <c:v>0.12809047544360311</c:v>
                </c:pt>
                <c:pt idx="14">
                  <c:v>0.12809047544360308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D-48C7-9475-C8DAF79C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389344"/>
        <c:axId val="698390328"/>
      </c:lineChart>
      <c:catAx>
        <c:axId val="57736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73248"/>
        <c:crosses val="autoZero"/>
        <c:auto val="1"/>
        <c:lblAlgn val="ctr"/>
        <c:lblOffset val="100"/>
        <c:noMultiLvlLbl val="0"/>
      </c:catAx>
      <c:valAx>
        <c:axId val="57737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69312"/>
        <c:crosses val="autoZero"/>
        <c:crossBetween val="between"/>
      </c:valAx>
      <c:valAx>
        <c:axId val="698390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89344"/>
        <c:crosses val="max"/>
        <c:crossBetween val="between"/>
      </c:valAx>
      <c:catAx>
        <c:axId val="69838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8390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80314960629921"/>
          <c:y val="6.9444444444444448E-2"/>
          <c:w val="0.8033101487314086"/>
          <c:h val="0.78672827354913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[1]Sheet2!$B$7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2581922572178478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6C-4C60-A1BB-F09338E0DB36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[1]Sheet2!$C$6:$Q$6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[1]Sheet2!$C$7:$Q$7</c:f>
              <c:numCache>
                <c:formatCode>General</c:formatCode>
                <c:ptCount val="15"/>
                <c:pt idx="0">
                  <c:v>-181.13000000000005</c:v>
                </c:pt>
                <c:pt idx="1">
                  <c:v>34.60000000000035</c:v>
                </c:pt>
                <c:pt idx="2">
                  <c:v>393.69000000000051</c:v>
                </c:pt>
                <c:pt idx="3">
                  <c:v>1477.4599999999984</c:v>
                </c:pt>
                <c:pt idx="4">
                  <c:v>1534.410000000001</c:v>
                </c:pt>
                <c:pt idx="5">
                  <c:v>2935.2070377739437</c:v>
                </c:pt>
                <c:pt idx="6">
                  <c:v>4650.8507586826072</c:v>
                </c:pt>
                <c:pt idx="7">
                  <c:v>6869.3467081565941</c:v>
                </c:pt>
                <c:pt idx="8">
                  <c:v>9590.6099379635943</c:v>
                </c:pt>
                <c:pt idx="9">
                  <c:v>12774.886263760416</c:v>
                </c:pt>
                <c:pt idx="10">
                  <c:v>16348.01919554909</c:v>
                </c:pt>
                <c:pt idx="11">
                  <c:v>20211.629052020904</c:v>
                </c:pt>
                <c:pt idx="12">
                  <c:v>24255.322616675701</c:v>
                </c:pt>
                <c:pt idx="13">
                  <c:v>28368.221177215208</c:v>
                </c:pt>
                <c:pt idx="14">
                  <c:v>32448.390697330611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C-4C60-A1BB-F09338E0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390000"/>
        <c:axId val="698390984"/>
      </c:barChart>
      <c:lineChart>
        <c:grouping val="standard"/>
        <c:varyColors val="0"/>
        <c:ser>
          <c:idx val="1"/>
          <c:order val="1"/>
          <c:tx>
            <c:strRef>
              <c:f>[1]Sheet2!$B$8</c:f>
              <c:strCache>
                <c:ptCount val="1"/>
                <c:pt idx="0">
                  <c:v>Net Margin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[1]Sheet2!$C$6:$Q$6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[1]Sheet2!$C$8:$Q$8</c:f>
              <c:numCache>
                <c:formatCode>General</c:formatCode>
                <c:ptCount val="15"/>
                <c:pt idx="0">
                  <c:v>-6.9854529186720984E-2</c:v>
                </c:pt>
                <c:pt idx="1">
                  <c:v>7.6922734892242248E-3</c:v>
                </c:pt>
                <c:pt idx="2">
                  <c:v>4.7766202945394513E-2</c:v>
                </c:pt>
                <c:pt idx="3">
                  <c:v>0.1193896458294107</c:v>
                </c:pt>
                <c:pt idx="4">
                  <c:v>8.9550331171821304E-2</c:v>
                </c:pt>
                <c:pt idx="5">
                  <c:v>0.10618262769726371</c:v>
                </c:pt>
                <c:pt idx="6">
                  <c:v>0.11059475297361743</c:v>
                </c:pt>
                <c:pt idx="7">
                  <c:v>0.1131935409629686</c:v>
                </c:pt>
                <c:pt idx="8">
                  <c:v>0.11479793893435228</c:v>
                </c:pt>
                <c:pt idx="9">
                  <c:v>0.11583115987115228</c:v>
                </c:pt>
                <c:pt idx="10">
                  <c:v>0.11652153449099462</c:v>
                </c:pt>
                <c:pt idx="11">
                  <c:v>0.11699800867119428</c:v>
                </c:pt>
                <c:pt idx="12">
                  <c:v>0.11733656517568845</c:v>
                </c:pt>
                <c:pt idx="13">
                  <c:v>0.11758313316662358</c:v>
                </c:pt>
                <c:pt idx="14">
                  <c:v>0.11776657629352837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C-4C60-A1BB-F09338E0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393936"/>
        <c:axId val="698394264"/>
      </c:lineChart>
      <c:catAx>
        <c:axId val="6983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0984"/>
        <c:crosses val="autoZero"/>
        <c:auto val="1"/>
        <c:lblAlgn val="ctr"/>
        <c:lblOffset val="100"/>
        <c:noMultiLvlLbl val="0"/>
      </c:catAx>
      <c:valAx>
        <c:axId val="698390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0000"/>
        <c:crosses val="autoZero"/>
        <c:crossBetween val="between"/>
      </c:valAx>
      <c:valAx>
        <c:axId val="6983942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3936"/>
        <c:crosses val="max"/>
        <c:crossBetween val="between"/>
      </c:valAx>
      <c:catAx>
        <c:axId val="6983939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8394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[1]Sheet3!$B$7</c:f>
              <c:strCache>
                <c:ptCount val="1"/>
                <c:pt idx="0">
                  <c:v>Asset/ 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[1]Sheet3!$C$6:$Q$6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[1]Sheet3!$C$7:$Q$7</c:f>
              <c:numCache>
                <c:formatCode>General</c:formatCode>
                <c:ptCount val="15"/>
                <c:pt idx="0">
                  <c:v>2.4278606332077777</c:v>
                </c:pt>
                <c:pt idx="1">
                  <c:v>3.2058972422549949</c:v>
                </c:pt>
                <c:pt idx="2">
                  <c:v>3.0347807147658443</c:v>
                </c:pt>
                <c:pt idx="3">
                  <c:v>1.7456655429862598</c:v>
                </c:pt>
                <c:pt idx="4">
                  <c:v>1.6870916437414036</c:v>
                </c:pt>
                <c:pt idx="5">
                  <c:v>1.8666348248389091</c:v>
                </c:pt>
                <c:pt idx="6">
                  <c:v>1.8636805509677494</c:v>
                </c:pt>
                <c:pt idx="7">
                  <c:v>1.8257276268810647</c:v>
                </c:pt>
                <c:pt idx="8">
                  <c:v>1.7726536450408339</c:v>
                </c:pt>
                <c:pt idx="9">
                  <c:v>1.7149834649733053</c:v>
                </c:pt>
                <c:pt idx="10">
                  <c:v>1.6578095009134943</c:v>
                </c:pt>
                <c:pt idx="11">
                  <c:v>1.6034668353407098</c:v>
                </c:pt>
                <c:pt idx="12">
                  <c:v>1.5529399643836406</c:v>
                </c:pt>
                <c:pt idx="13">
                  <c:v>1.5065501991222341</c:v>
                </c:pt>
                <c:pt idx="14">
                  <c:v>1.4642880227640551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0-41EA-A08E-6FAF05B80D2E}"/>
            </c:ext>
          </c:extLst>
        </c:ser>
        <c:ser>
          <c:idx val="1"/>
          <c:order val="1"/>
          <c:tx>
            <c:strRef>
              <c:f>[1]Sheet3!$B$8</c:f>
              <c:strCache>
                <c:ptCount val="1"/>
                <c:pt idx="0">
                  <c:v>Debt/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[1]Sheet3!$C$6:$Q$6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[1]Sheet3!$C$8:$Q$8</c:f>
              <c:numCache>
                <c:formatCode>General</c:formatCode>
                <c:ptCount val="15"/>
                <c:pt idx="0">
                  <c:v>1.2570964403271234</c:v>
                </c:pt>
                <c:pt idx="1">
                  <c:v>1.9607791065337727</c:v>
                </c:pt>
                <c:pt idx="2">
                  <c:v>1.6763763767522728</c:v>
                </c:pt>
                <c:pt idx="3">
                  <c:v>0.42728861524061629</c:v>
                </c:pt>
                <c:pt idx="4">
                  <c:v>0.40068883253094911</c:v>
                </c:pt>
                <c:pt idx="5">
                  <c:v>0.46976778328386554</c:v>
                </c:pt>
                <c:pt idx="6">
                  <c:v>0.46816639057739778</c:v>
                </c:pt>
                <c:pt idx="7">
                  <c:v>0.44759364124130141</c:v>
                </c:pt>
                <c:pt idx="8">
                  <c:v>0.41882437639694442</c:v>
                </c:pt>
                <c:pt idx="9">
                  <c:v>0.38756369787881534</c:v>
                </c:pt>
                <c:pt idx="10">
                  <c:v>0.35657199804385725</c:v>
                </c:pt>
                <c:pt idx="11">
                  <c:v>0.32711503091977606</c:v>
                </c:pt>
                <c:pt idx="12">
                  <c:v>0.29972645214879939</c:v>
                </c:pt>
                <c:pt idx="13">
                  <c:v>0.27458043150745182</c:v>
                </c:pt>
                <c:pt idx="14">
                  <c:v>0.25167181032640956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0-41EA-A08E-6FAF05B8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842568"/>
        <c:axId val="699846832"/>
      </c:lineChart>
      <c:catAx>
        <c:axId val="69984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46832"/>
        <c:crosses val="autoZero"/>
        <c:auto val="1"/>
        <c:lblAlgn val="ctr"/>
        <c:lblOffset val="100"/>
        <c:noMultiLvlLbl val="0"/>
      </c:catAx>
      <c:valAx>
        <c:axId val="69984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4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23381452318461"/>
          <c:y val="5.0925925925925923E-2"/>
          <c:w val="0.84454396325459313"/>
          <c:h val="0.792244823563721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[1]Sheet4!$B$9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[1]Sheet4!$C$8:$Q$8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[1]Sheet4!$C$9:$Q$9</c:f>
              <c:numCache>
                <c:formatCode>General</c:formatCode>
                <c:ptCount val="15"/>
                <c:pt idx="0">
                  <c:v>2592.96</c:v>
                </c:pt>
                <c:pt idx="1">
                  <c:v>4498.0200000000004</c:v>
                </c:pt>
                <c:pt idx="2">
                  <c:v>8242.02</c:v>
                </c:pt>
                <c:pt idx="3">
                  <c:v>12375.109999999999</c:v>
                </c:pt>
                <c:pt idx="4">
                  <c:v>17134.61</c:v>
                </c:pt>
                <c:pt idx="5">
                  <c:v>27643.006218893781</c:v>
                </c:pt>
                <c:pt idx="6">
                  <c:v>42053.086910841746</c:v>
                </c:pt>
                <c:pt idx="7">
                  <c:v>60686.737509200357</c:v>
                </c:pt>
                <c:pt idx="8">
                  <c:v>83543.398313518745</c:v>
                </c:pt>
                <c:pt idx="9">
                  <c:v>110288.85731586289</c:v>
                </c:pt>
                <c:pt idx="10">
                  <c:v>140300.41113827375</c:v>
                </c:pt>
                <c:pt idx="11">
                  <c:v>172751.90647750869</c:v>
                </c:pt>
                <c:pt idx="12">
                  <c:v>206715.80577084492</c:v>
                </c:pt>
                <c:pt idx="13">
                  <c:v>241260.97351918186</c:v>
                </c:pt>
                <c:pt idx="14">
                  <c:v>275531.40898360097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4-4905-B9FE-2CE9691149DF}"/>
            </c:ext>
          </c:extLst>
        </c:ser>
        <c:ser>
          <c:idx val="1"/>
          <c:order val="1"/>
          <c:tx>
            <c:strRef>
              <c:f>[1]Sheet4!$B$10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[1]Sheet4!$C$8:$Q$8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[1]Sheet4!$C$10:$Q$10</c:f>
              <c:numCache>
                <c:formatCode>General</c:formatCode>
                <c:ptCount val="15"/>
                <c:pt idx="0">
                  <c:v>1058.96</c:v>
                </c:pt>
                <c:pt idx="1">
                  <c:v>2016.4800000000005</c:v>
                </c:pt>
                <c:pt idx="2">
                  <c:v>3522.2800000000007</c:v>
                </c:pt>
                <c:pt idx="3">
                  <c:v>5416.2199999999984</c:v>
                </c:pt>
                <c:pt idx="4">
                  <c:v>7445.4700000000012</c:v>
                </c:pt>
                <c:pt idx="5">
                  <c:v>11921.085273865136</c:v>
                </c:pt>
                <c:pt idx="6">
                  <c:v>18135.452820278242</c:v>
                </c:pt>
                <c:pt idx="7">
                  <c:v>26171.240823488064</c:v>
                </c:pt>
                <c:pt idx="8">
                  <c:v>36028.207911888705</c:v>
                </c:pt>
                <c:pt idx="9">
                  <c:v>47562.224687447917</c:v>
                </c:pt>
                <c:pt idx="10">
                  <c:v>60504.749443442779</c:v>
                </c:pt>
                <c:pt idx="11">
                  <c:v>74499.502406998639</c:v>
                </c:pt>
                <c:pt idx="12">
                  <c:v>89146.481700882097</c:v>
                </c:pt>
                <c:pt idx="13">
                  <c:v>104044.13383274133</c:v>
                </c:pt>
                <c:pt idx="14">
                  <c:v>118823.30728112688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4-4905-B9FE-2CE9691149DF}"/>
            </c:ext>
          </c:extLst>
        </c:ser>
        <c:ser>
          <c:idx val="2"/>
          <c:order val="2"/>
          <c:tx>
            <c:strRef>
              <c:f>[1]Sheet4!$B$11</c:f>
              <c:strCache>
                <c:ptCount val="1"/>
                <c:pt idx="0">
                  <c:v>EBT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[1]Sheet4!$C$8:$Q$8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[1]Sheet4!$C$11:$Q$11</c:f>
              <c:numCache>
                <c:formatCode>General</c:formatCode>
                <c:ptCount val="15"/>
                <c:pt idx="0">
                  <c:v>-133.46000000000006</c:v>
                </c:pt>
                <c:pt idx="1">
                  <c:v>106.08000000000035</c:v>
                </c:pt>
                <c:pt idx="2">
                  <c:v>468.66000000000048</c:v>
                </c:pt>
                <c:pt idx="3">
                  <c:v>1797.2599999999984</c:v>
                </c:pt>
                <c:pt idx="4">
                  <c:v>1943.2400000000009</c:v>
                </c:pt>
                <c:pt idx="5">
                  <c:v>4128.3495395562604</c:v>
                </c:pt>
                <c:pt idx="6">
                  <c:v>6554.4176990889082</c:v>
                </c:pt>
                <c:pt idx="7">
                  <c:v>9691.5622702358742</c:v>
                </c:pt>
                <c:pt idx="8">
                  <c:v>13539.661982335187</c:v>
                </c:pt>
                <c:pt idx="9">
                  <c:v>18042.503283836708</c:v>
                </c:pt>
                <c:pt idx="10">
                  <c:v>23095.221356910075</c:v>
                </c:pt>
                <c:pt idx="11">
                  <c:v>28558.697656609565</c:v>
                </c:pt>
                <c:pt idx="12">
                  <c:v>34276.829040507982</c:v>
                </c:pt>
                <c:pt idx="13">
                  <c:v>40092.822256061954</c:v>
                </c:pt>
                <c:pt idx="14">
                  <c:v>45862.53254617138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4-4905-B9FE-2CE9691149DF}"/>
            </c:ext>
          </c:extLst>
        </c:ser>
        <c:ser>
          <c:idx val="3"/>
          <c:order val="3"/>
          <c:tx>
            <c:strRef>
              <c:f>[1]Sheet4!$B$12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[1]Sheet4!$C$8:$Q$8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[1]Sheet4!$C$12:$Q$12</c:f>
              <c:numCache>
                <c:formatCode>General</c:formatCode>
                <c:ptCount val="15"/>
                <c:pt idx="0">
                  <c:v>-181.13000000000005</c:v>
                </c:pt>
                <c:pt idx="1">
                  <c:v>34.60000000000035</c:v>
                </c:pt>
                <c:pt idx="2">
                  <c:v>393.69000000000051</c:v>
                </c:pt>
                <c:pt idx="3">
                  <c:v>1477.4599999999984</c:v>
                </c:pt>
                <c:pt idx="4">
                  <c:v>1534.410000000001</c:v>
                </c:pt>
                <c:pt idx="5">
                  <c:v>2935.2070377739437</c:v>
                </c:pt>
                <c:pt idx="6">
                  <c:v>4650.8507586826072</c:v>
                </c:pt>
                <c:pt idx="7">
                  <c:v>6869.3467081565941</c:v>
                </c:pt>
                <c:pt idx="8">
                  <c:v>9590.6099379635943</c:v>
                </c:pt>
                <c:pt idx="9">
                  <c:v>12774.886263760416</c:v>
                </c:pt>
                <c:pt idx="10">
                  <c:v>16348.01919554909</c:v>
                </c:pt>
                <c:pt idx="11">
                  <c:v>20211.629052020904</c:v>
                </c:pt>
                <c:pt idx="12">
                  <c:v>24255.322616675701</c:v>
                </c:pt>
                <c:pt idx="13">
                  <c:v>28368.221177215208</c:v>
                </c:pt>
                <c:pt idx="14">
                  <c:v>32448.390697330611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44-4905-B9FE-2CE969114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878880"/>
        <c:axId val="694878224"/>
      </c:barChart>
      <c:catAx>
        <c:axId val="6948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78224"/>
        <c:crosses val="autoZero"/>
        <c:auto val="1"/>
        <c:lblAlgn val="ctr"/>
        <c:lblOffset val="100"/>
        <c:noMultiLvlLbl val="0"/>
      </c:catAx>
      <c:valAx>
        <c:axId val="69487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57151</xdr:rowOff>
    </xdr:from>
    <xdr:to>
      <xdr:col>1</xdr:col>
      <xdr:colOff>1790700</xdr:colOff>
      <xdr:row>4</xdr:row>
      <xdr:rowOff>146121</xdr:rowOff>
    </xdr:to>
    <xdr:pic>
      <xdr:nvPicPr>
        <xdr:cNvPr id="4" name="Picture 3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57151"/>
          <a:ext cx="1876425" cy="85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333374</xdr:colOff>
      <xdr:row>4</xdr:row>
      <xdr:rowOff>142876</xdr:rowOff>
    </xdr:from>
    <xdr:to>
      <xdr:col>10</xdr:col>
      <xdr:colOff>323849</xdr:colOff>
      <xdr:row>17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099" y="904876"/>
          <a:ext cx="4010025" cy="2505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114301</xdr:rowOff>
    </xdr:from>
    <xdr:to>
      <xdr:col>1</xdr:col>
      <xdr:colOff>1981200</xdr:colOff>
      <xdr:row>4</xdr:row>
      <xdr:rowOff>171451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4301"/>
          <a:ext cx="19716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1</xdr:col>
      <xdr:colOff>1971675</xdr:colOff>
      <xdr:row>5</xdr:row>
      <xdr:rowOff>123824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499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1</xdr:col>
      <xdr:colOff>1971675</xdr:colOff>
      <xdr:row>5</xdr:row>
      <xdr:rowOff>171450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38125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1971675</xdr:colOff>
      <xdr:row>4</xdr:row>
      <xdr:rowOff>171450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95250</xdr:rowOff>
    </xdr:from>
    <xdr:to>
      <xdr:col>1</xdr:col>
      <xdr:colOff>2000250</xdr:colOff>
      <xdr:row>5</xdr:row>
      <xdr:rowOff>28575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25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66675</xdr:rowOff>
    </xdr:from>
    <xdr:to>
      <xdr:col>1</xdr:col>
      <xdr:colOff>1981200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57175"/>
          <a:ext cx="19716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152400</xdr:rowOff>
    </xdr:from>
    <xdr:to>
      <xdr:col>1</xdr:col>
      <xdr:colOff>1990725</xdr:colOff>
      <xdr:row>5</xdr:row>
      <xdr:rowOff>19050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52400"/>
          <a:ext cx="19716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1</xdr:col>
      <xdr:colOff>1971675</xdr:colOff>
      <xdr:row>5</xdr:row>
      <xdr:rowOff>133350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00025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581025</xdr:colOff>
      <xdr:row>6</xdr:row>
      <xdr:rowOff>9525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133350</xdr:rowOff>
    </xdr:from>
    <xdr:to>
      <xdr:col>3</xdr:col>
      <xdr:colOff>304800</xdr:colOff>
      <xdr:row>6</xdr:row>
      <xdr:rowOff>0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335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1971675</xdr:colOff>
      <xdr:row>5</xdr:row>
      <xdr:rowOff>123825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247650</xdr:colOff>
      <xdr:row>4</xdr:row>
      <xdr:rowOff>142875</xdr:rowOff>
    </xdr:to>
    <xdr:pic>
      <xdr:nvPicPr>
        <xdr:cNvPr id="2" name="Picture 1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85725</xdr:colOff>
      <xdr:row>21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6</xdr:row>
      <xdr:rowOff>161925</xdr:rowOff>
    </xdr:from>
    <xdr:to>
      <xdr:col>21</xdr:col>
      <xdr:colOff>161925</xdr:colOff>
      <xdr:row>21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11</xdr:col>
      <xdr:colOff>76200</xdr:colOff>
      <xdr:row>37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342899</xdr:colOff>
      <xdr:row>23</xdr:row>
      <xdr:rowOff>9525</xdr:rowOff>
    </xdr:from>
    <xdr:to>
      <xdr:col>21</xdr:col>
      <xdr:colOff>200024</xdr:colOff>
      <xdr:row>37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114300</xdr:colOff>
      <xdr:row>0</xdr:row>
      <xdr:rowOff>47625</xdr:rowOff>
    </xdr:from>
    <xdr:to>
      <xdr:col>4</xdr:col>
      <xdr:colOff>257175</xdr:colOff>
      <xdr:row>4</xdr:row>
      <xdr:rowOff>171450</xdr:rowOff>
    </xdr:to>
    <xdr:pic>
      <xdr:nvPicPr>
        <xdr:cNvPr id="7" name="Picture 6" descr="Trent Limited logo in transparent PNG and vectorized SVG format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1971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iraj%20Kumar/Downloads/500251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0251 (1)"/>
      <sheetName val="Sheet1"/>
      <sheetName val="Sheet2"/>
      <sheetName val="Sheet3"/>
      <sheetName val="Sheet4"/>
    </sheetNames>
    <sheetDataSet>
      <sheetData sheetId="0" refreshError="1"/>
      <sheetData sheetId="1">
        <row r="7">
          <cell r="C7">
            <v>2021</v>
          </cell>
          <cell r="D7">
            <v>2022</v>
          </cell>
          <cell r="E7">
            <v>2023</v>
          </cell>
          <cell r="F7">
            <v>2024</v>
          </cell>
          <cell r="G7">
            <v>2025</v>
          </cell>
          <cell r="H7">
            <v>2026</v>
          </cell>
          <cell r="I7">
            <v>2027</v>
          </cell>
          <cell r="J7">
            <v>2028</v>
          </cell>
          <cell r="K7">
            <v>2029</v>
          </cell>
          <cell r="L7">
            <v>2030</v>
          </cell>
          <cell r="M7">
            <v>2031</v>
          </cell>
          <cell r="N7">
            <v>2032</v>
          </cell>
          <cell r="O7">
            <v>2033</v>
          </cell>
          <cell r="P7">
            <v>2034</v>
          </cell>
          <cell r="Q7">
            <v>2035</v>
          </cell>
        </row>
        <row r="8">
          <cell r="B8" t="str">
            <v>EBITDA</v>
          </cell>
          <cell r="C8">
            <v>171.89999999999998</v>
          </cell>
          <cell r="D8">
            <v>573.87000000000035</v>
          </cell>
          <cell r="E8">
            <v>1073.6500000000005</v>
          </cell>
          <cell r="F8">
            <v>1922.1299999999983</v>
          </cell>
          <cell r="G8">
            <v>2758.4500000000007</v>
          </cell>
          <cell r="H8">
            <v>3540.8058092685824</v>
          </cell>
          <cell r="I8">
            <v>5386.5998962808826</v>
          </cell>
          <cell r="J8">
            <v>7773.3930606746144</v>
          </cell>
          <cell r="K8">
            <v>10701.113610152926</v>
          </cell>
          <cell r="L8">
            <v>14126.952169720578</v>
          </cell>
          <cell r="M8">
            <v>17971.146367634457</v>
          </cell>
          <cell r="N8">
            <v>22127.873834492937</v>
          </cell>
          <cell r="O8">
            <v>26478.325842895021</v>
          </cell>
          <cell r="P8">
            <v>30903.232804058542</v>
          </cell>
          <cell r="Q8">
            <v>35292.949176355294</v>
          </cell>
        </row>
        <row r="9">
          <cell r="B9" t="str">
            <v>EBITDA Margin</v>
          </cell>
          <cell r="C9">
            <v>6.6294890781192148E-2</v>
          </cell>
          <cell r="D9">
            <v>0.12758280310003076</v>
          </cell>
          <cell r="E9">
            <v>0.13026539610435312</v>
          </cell>
          <cell r="F9">
            <v>0.15532225572136316</v>
          </cell>
          <cell r="G9">
            <v>0.16098703151107616</v>
          </cell>
          <cell r="H9">
            <v>0.12809047544360314</v>
          </cell>
          <cell r="I9">
            <v>0.12809047544360314</v>
          </cell>
          <cell r="J9">
            <v>0.12809047544360308</v>
          </cell>
          <cell r="K9">
            <v>0.12809047544360311</v>
          </cell>
          <cell r="L9">
            <v>0.12809047544360308</v>
          </cell>
          <cell r="M9">
            <v>0.128090475443603</v>
          </cell>
          <cell r="N9">
            <v>0.12809047544360305</v>
          </cell>
          <cell r="O9">
            <v>0.12809047544360302</v>
          </cell>
          <cell r="P9">
            <v>0.12809047544360311</v>
          </cell>
          <cell r="Q9">
            <v>0.12809047544360308</v>
          </cell>
        </row>
      </sheetData>
      <sheetData sheetId="2">
        <row r="6">
          <cell r="C6">
            <v>2021</v>
          </cell>
          <cell r="D6">
            <v>2022</v>
          </cell>
          <cell r="E6">
            <v>2023</v>
          </cell>
          <cell r="F6">
            <v>2024</v>
          </cell>
          <cell r="G6">
            <v>2025</v>
          </cell>
          <cell r="H6">
            <v>2026</v>
          </cell>
          <cell r="I6">
            <v>2027</v>
          </cell>
          <cell r="J6">
            <v>2028</v>
          </cell>
          <cell r="K6">
            <v>2029</v>
          </cell>
          <cell r="L6">
            <v>2030</v>
          </cell>
          <cell r="M6">
            <v>2031</v>
          </cell>
          <cell r="N6">
            <v>2032</v>
          </cell>
          <cell r="O6">
            <v>2033</v>
          </cell>
          <cell r="P6">
            <v>2034</v>
          </cell>
          <cell r="Q6">
            <v>2035</v>
          </cell>
        </row>
        <row r="7">
          <cell r="B7" t="str">
            <v>Net Profit</v>
          </cell>
          <cell r="C7">
            <v>-181.13000000000005</v>
          </cell>
          <cell r="D7">
            <v>34.60000000000035</v>
          </cell>
          <cell r="E7">
            <v>393.69000000000051</v>
          </cell>
          <cell r="F7">
            <v>1477.4599999999984</v>
          </cell>
          <cell r="G7">
            <v>1534.410000000001</v>
          </cell>
          <cell r="H7">
            <v>2935.2070377739437</v>
          </cell>
          <cell r="I7">
            <v>4650.8507586826072</v>
          </cell>
          <cell r="J7">
            <v>6869.3467081565941</v>
          </cell>
          <cell r="K7">
            <v>9590.6099379635943</v>
          </cell>
          <cell r="L7">
            <v>12774.886263760416</v>
          </cell>
          <cell r="M7">
            <v>16348.01919554909</v>
          </cell>
          <cell r="N7">
            <v>20211.629052020904</v>
          </cell>
          <cell r="O7">
            <v>24255.322616675701</v>
          </cell>
          <cell r="P7">
            <v>28368.221177215208</v>
          </cell>
          <cell r="Q7">
            <v>32448.390697330611</v>
          </cell>
        </row>
        <row r="8">
          <cell r="B8" t="str">
            <v>Net Margin</v>
          </cell>
          <cell r="C8">
            <v>-6.9854529186720984E-2</v>
          </cell>
          <cell r="D8">
            <v>7.6922734892242248E-3</v>
          </cell>
          <cell r="E8">
            <v>4.7766202945394513E-2</v>
          </cell>
          <cell r="F8">
            <v>0.1193896458294107</v>
          </cell>
          <cell r="G8">
            <v>8.9550331171821304E-2</v>
          </cell>
          <cell r="H8">
            <v>0.10618262769726371</v>
          </cell>
          <cell r="I8">
            <v>0.11059475297361743</v>
          </cell>
          <cell r="J8">
            <v>0.1131935409629686</v>
          </cell>
          <cell r="K8">
            <v>0.11479793893435228</v>
          </cell>
          <cell r="L8">
            <v>0.11583115987115228</v>
          </cell>
          <cell r="M8">
            <v>0.11652153449099462</v>
          </cell>
          <cell r="N8">
            <v>0.11699800867119428</v>
          </cell>
          <cell r="O8">
            <v>0.11733656517568845</v>
          </cell>
          <cell r="P8">
            <v>0.11758313316662358</v>
          </cell>
          <cell r="Q8">
            <v>0.11776657629352837</v>
          </cell>
        </row>
      </sheetData>
      <sheetData sheetId="3">
        <row r="6">
          <cell r="C6">
            <v>2021</v>
          </cell>
          <cell r="D6">
            <v>2022</v>
          </cell>
          <cell r="E6">
            <v>2023</v>
          </cell>
          <cell r="F6">
            <v>2024</v>
          </cell>
          <cell r="G6">
            <v>2025</v>
          </cell>
          <cell r="H6">
            <v>2026</v>
          </cell>
          <cell r="I6">
            <v>2027</v>
          </cell>
          <cell r="J6">
            <v>2028</v>
          </cell>
          <cell r="K6">
            <v>2029</v>
          </cell>
          <cell r="L6">
            <v>2030</v>
          </cell>
          <cell r="M6">
            <v>2031</v>
          </cell>
          <cell r="N6">
            <v>2032</v>
          </cell>
          <cell r="O6">
            <v>2033</v>
          </cell>
          <cell r="P6">
            <v>2034</v>
          </cell>
          <cell r="Q6">
            <v>2035</v>
          </cell>
        </row>
        <row r="7">
          <cell r="B7" t="str">
            <v>Asset/ Equity</v>
          </cell>
          <cell r="C7">
            <v>2.4278606332077777</v>
          </cell>
          <cell r="D7">
            <v>3.2058972422549949</v>
          </cell>
          <cell r="E7">
            <v>3.0347807147658443</v>
          </cell>
          <cell r="F7">
            <v>1.7456655429862598</v>
          </cell>
          <cell r="G7">
            <v>1.6870916437414036</v>
          </cell>
          <cell r="H7">
            <v>1.8666348248389091</v>
          </cell>
          <cell r="I7">
            <v>1.8636805509677494</v>
          </cell>
          <cell r="J7">
            <v>1.8257276268810647</v>
          </cell>
          <cell r="K7">
            <v>1.7726536450408339</v>
          </cell>
          <cell r="L7">
            <v>1.7149834649733053</v>
          </cell>
          <cell r="M7">
            <v>1.6578095009134943</v>
          </cell>
          <cell r="N7">
            <v>1.6034668353407098</v>
          </cell>
          <cell r="O7">
            <v>1.5529399643836406</v>
          </cell>
          <cell r="P7">
            <v>1.5065501991222341</v>
          </cell>
          <cell r="Q7">
            <v>1.4642880227640551</v>
          </cell>
        </row>
        <row r="8">
          <cell r="B8" t="str">
            <v>Debt/ Equity</v>
          </cell>
          <cell r="C8">
            <v>1.2570964403271234</v>
          </cell>
          <cell r="D8">
            <v>1.9607791065337727</v>
          </cell>
          <cell r="E8">
            <v>1.6763763767522728</v>
          </cell>
          <cell r="F8">
            <v>0.42728861524061629</v>
          </cell>
          <cell r="G8">
            <v>0.40068883253094911</v>
          </cell>
          <cell r="H8">
            <v>0.46976778328386554</v>
          </cell>
          <cell r="I8">
            <v>0.46816639057739778</v>
          </cell>
          <cell r="J8">
            <v>0.44759364124130141</v>
          </cell>
          <cell r="K8">
            <v>0.41882437639694442</v>
          </cell>
          <cell r="L8">
            <v>0.38756369787881534</v>
          </cell>
          <cell r="M8">
            <v>0.35657199804385725</v>
          </cell>
          <cell r="N8">
            <v>0.32711503091977606</v>
          </cell>
          <cell r="O8">
            <v>0.29972645214879939</v>
          </cell>
          <cell r="P8">
            <v>0.27458043150745182</v>
          </cell>
          <cell r="Q8">
            <v>0.25167181032640956</v>
          </cell>
        </row>
      </sheetData>
      <sheetData sheetId="4">
        <row r="8">
          <cell r="C8">
            <v>2021</v>
          </cell>
          <cell r="D8">
            <v>2022</v>
          </cell>
          <cell r="E8">
            <v>2023</v>
          </cell>
          <cell r="F8">
            <v>2024</v>
          </cell>
          <cell r="G8">
            <v>2025</v>
          </cell>
          <cell r="H8">
            <v>2026</v>
          </cell>
          <cell r="I8">
            <v>2027</v>
          </cell>
          <cell r="J8">
            <v>2028</v>
          </cell>
          <cell r="K8">
            <v>2029</v>
          </cell>
          <cell r="L8">
            <v>2030</v>
          </cell>
          <cell r="M8">
            <v>2031</v>
          </cell>
          <cell r="N8">
            <v>2032</v>
          </cell>
          <cell r="O8">
            <v>2033</v>
          </cell>
          <cell r="P8">
            <v>2034</v>
          </cell>
          <cell r="Q8">
            <v>2035</v>
          </cell>
        </row>
        <row r="9">
          <cell r="B9" t="str">
            <v>Revenue</v>
          </cell>
          <cell r="C9">
            <v>2592.96</v>
          </cell>
          <cell r="D9">
            <v>4498.0200000000004</v>
          </cell>
          <cell r="E9">
            <v>8242.02</v>
          </cell>
          <cell r="F9">
            <v>12375.109999999999</v>
          </cell>
          <cell r="G9">
            <v>17134.61</v>
          </cell>
          <cell r="H9">
            <v>27643.006218893781</v>
          </cell>
          <cell r="I9">
            <v>42053.086910841746</v>
          </cell>
          <cell r="J9">
            <v>60686.737509200357</v>
          </cell>
          <cell r="K9">
            <v>83543.398313518745</v>
          </cell>
          <cell r="L9">
            <v>110288.85731586289</v>
          </cell>
          <cell r="M9">
            <v>140300.41113827375</v>
          </cell>
          <cell r="N9">
            <v>172751.90647750869</v>
          </cell>
          <cell r="O9">
            <v>206715.80577084492</v>
          </cell>
          <cell r="P9">
            <v>241260.97351918186</v>
          </cell>
          <cell r="Q9">
            <v>275531.40898360097</v>
          </cell>
        </row>
        <row r="10">
          <cell r="B10" t="str">
            <v>Gross Profit</v>
          </cell>
          <cell r="C10">
            <v>1058.96</v>
          </cell>
          <cell r="D10">
            <v>2016.4800000000005</v>
          </cell>
          <cell r="E10">
            <v>3522.2800000000007</v>
          </cell>
          <cell r="F10">
            <v>5416.2199999999984</v>
          </cell>
          <cell r="G10">
            <v>7445.4700000000012</v>
          </cell>
          <cell r="H10">
            <v>11921.085273865136</v>
          </cell>
          <cell r="I10">
            <v>18135.452820278242</v>
          </cell>
          <cell r="J10">
            <v>26171.240823488064</v>
          </cell>
          <cell r="K10">
            <v>36028.207911888705</v>
          </cell>
          <cell r="L10">
            <v>47562.224687447917</v>
          </cell>
          <cell r="M10">
            <v>60504.749443442779</v>
          </cell>
          <cell r="N10">
            <v>74499.502406998639</v>
          </cell>
          <cell r="O10">
            <v>89146.481700882097</v>
          </cell>
          <cell r="P10">
            <v>104044.13383274133</v>
          </cell>
          <cell r="Q10">
            <v>118823.30728112688</v>
          </cell>
        </row>
        <row r="11">
          <cell r="B11" t="str">
            <v>EBT</v>
          </cell>
          <cell r="C11">
            <v>-133.46000000000006</v>
          </cell>
          <cell r="D11">
            <v>106.08000000000035</v>
          </cell>
          <cell r="E11">
            <v>468.66000000000048</v>
          </cell>
          <cell r="F11">
            <v>1797.2599999999984</v>
          </cell>
          <cell r="G11">
            <v>1943.2400000000009</v>
          </cell>
          <cell r="H11">
            <v>4128.3495395562604</v>
          </cell>
          <cell r="I11">
            <v>6554.4176990889082</v>
          </cell>
          <cell r="J11">
            <v>9691.5622702358742</v>
          </cell>
          <cell r="K11">
            <v>13539.661982335187</v>
          </cell>
          <cell r="L11">
            <v>18042.503283836708</v>
          </cell>
          <cell r="M11">
            <v>23095.221356910075</v>
          </cell>
          <cell r="N11">
            <v>28558.697656609565</v>
          </cell>
          <cell r="O11">
            <v>34276.829040507982</v>
          </cell>
          <cell r="P11">
            <v>40092.822256061954</v>
          </cell>
          <cell r="Q11">
            <v>45862.53254617138</v>
          </cell>
        </row>
        <row r="12">
          <cell r="B12" t="str">
            <v>Net Profit</v>
          </cell>
          <cell r="C12">
            <v>-181.13000000000005</v>
          </cell>
          <cell r="D12">
            <v>34.60000000000035</v>
          </cell>
          <cell r="E12">
            <v>393.69000000000051</v>
          </cell>
          <cell r="F12">
            <v>1477.4599999999984</v>
          </cell>
          <cell r="G12">
            <v>1534.410000000001</v>
          </cell>
          <cell r="H12">
            <v>2935.2070377739437</v>
          </cell>
          <cell r="I12">
            <v>4650.8507586826072</v>
          </cell>
          <cell r="J12">
            <v>6869.3467081565941</v>
          </cell>
          <cell r="K12">
            <v>9590.6099379635943</v>
          </cell>
          <cell r="L12">
            <v>12774.886263760416</v>
          </cell>
          <cell r="M12">
            <v>16348.01919554909</v>
          </cell>
          <cell r="N12">
            <v>20211.629052020904</v>
          </cell>
          <cell r="O12">
            <v>24255.322616675701</v>
          </cell>
          <cell r="P12">
            <v>28368.221177215208</v>
          </cell>
          <cell r="Q12">
            <v>32448.390697330611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7"/>
  <sheetViews>
    <sheetView showGridLines="0" topLeftCell="B27" workbookViewId="0">
      <selection activeCell="B6" sqref="B6:C6"/>
    </sheetView>
  </sheetViews>
  <sheetFormatPr defaultRowHeight="15" x14ac:dyDescent="0.25"/>
  <cols>
    <col min="2" max="2" width="35.28515625" bestFit="1" customWidth="1"/>
    <col min="3" max="3" width="31.140625" customWidth="1"/>
    <col min="4" max="4" width="5.42578125" customWidth="1"/>
  </cols>
  <sheetData>
    <row r="5" spans="2:15" ht="15.75" thickBot="1" x14ac:dyDescent="0.3"/>
    <row r="6" spans="2:15" x14ac:dyDescent="0.25">
      <c r="B6" s="285" t="s">
        <v>172</v>
      </c>
      <c r="C6" s="286"/>
      <c r="L6" s="307" t="s">
        <v>430</v>
      </c>
      <c r="M6" s="308"/>
      <c r="N6" s="308"/>
      <c r="O6" s="309"/>
    </row>
    <row r="7" spans="2:15" x14ac:dyDescent="0.25">
      <c r="B7" s="130" t="s">
        <v>170</v>
      </c>
      <c r="C7" s="130">
        <f>IF(B7="Best",2,IF(B7="Base",1,3))</f>
        <v>1</v>
      </c>
      <c r="L7" s="310"/>
      <c r="M7" s="311"/>
      <c r="N7" s="311"/>
      <c r="O7" s="312"/>
    </row>
    <row r="8" spans="2:15" x14ac:dyDescent="0.25">
      <c r="L8" s="310"/>
      <c r="M8" s="311"/>
      <c r="N8" s="311"/>
      <c r="O8" s="312"/>
    </row>
    <row r="9" spans="2:15" ht="15.75" thickBot="1" x14ac:dyDescent="0.3">
      <c r="L9" s="310"/>
      <c r="M9" s="311"/>
      <c r="N9" s="311"/>
      <c r="O9" s="312"/>
    </row>
    <row r="10" spans="2:15" x14ac:dyDescent="0.25">
      <c r="B10" s="287" t="s">
        <v>288</v>
      </c>
      <c r="C10" s="288"/>
      <c r="L10" s="310"/>
      <c r="M10" s="311"/>
      <c r="N10" s="311"/>
      <c r="O10" s="312"/>
    </row>
    <row r="11" spans="2:15" ht="15.75" x14ac:dyDescent="0.25">
      <c r="B11" s="196" t="s">
        <v>289</v>
      </c>
      <c r="C11" s="197">
        <v>6.3119999999999996E-2</v>
      </c>
      <c r="L11" s="310"/>
      <c r="M11" s="311"/>
      <c r="N11" s="311"/>
      <c r="O11" s="312"/>
    </row>
    <row r="12" spans="2:15" ht="15.75" x14ac:dyDescent="0.25">
      <c r="B12" s="196" t="s">
        <v>290</v>
      </c>
      <c r="C12" s="198">
        <v>0.32</v>
      </c>
      <c r="L12" s="310"/>
      <c r="M12" s="311"/>
      <c r="N12" s="311"/>
      <c r="O12" s="312"/>
    </row>
    <row r="13" spans="2:15" ht="15.75" x14ac:dyDescent="0.25">
      <c r="B13" s="196" t="s">
        <v>291</v>
      </c>
      <c r="C13" s="198">
        <v>0.05</v>
      </c>
      <c r="L13" s="310"/>
      <c r="M13" s="311"/>
      <c r="N13" s="311"/>
      <c r="O13" s="312"/>
    </row>
    <row r="14" spans="2:15" ht="15.75" x14ac:dyDescent="0.25">
      <c r="B14" s="196" t="s">
        <v>292</v>
      </c>
      <c r="C14" s="198">
        <f>'DCF Valuation'!C36</f>
        <v>0.12381379320145938</v>
      </c>
      <c r="L14" s="310"/>
      <c r="M14" s="311"/>
      <c r="N14" s="311"/>
      <c r="O14" s="312"/>
    </row>
    <row r="15" spans="2:15" ht="15.75" x14ac:dyDescent="0.25">
      <c r="B15" s="196" t="s">
        <v>328</v>
      </c>
      <c r="C15" s="199">
        <f>35.6*10000000</f>
        <v>356000000</v>
      </c>
      <c r="L15" s="310"/>
      <c r="M15" s="311"/>
      <c r="N15" s="311"/>
      <c r="O15" s="312"/>
    </row>
    <row r="16" spans="2:15" ht="15.75" x14ac:dyDescent="0.25">
      <c r="B16" s="196" t="s">
        <v>295</v>
      </c>
      <c r="C16" s="200">
        <v>5392.65</v>
      </c>
      <c r="L16" s="310"/>
      <c r="M16" s="311"/>
      <c r="N16" s="311"/>
      <c r="O16" s="312"/>
    </row>
    <row r="17" spans="1:15" ht="16.5" thickBot="1" x14ac:dyDescent="0.3">
      <c r="B17" s="201" t="s">
        <v>294</v>
      </c>
      <c r="C17" s="202">
        <f>C16*C15/10000000</f>
        <v>191978.33999999997</v>
      </c>
      <c r="L17" s="313"/>
      <c r="M17" s="314"/>
      <c r="N17" s="314"/>
      <c r="O17" s="315"/>
    </row>
    <row r="20" spans="1:15" s="1" customFormat="1" x14ac:dyDescent="0.25">
      <c r="A20"/>
      <c r="B20" s="208" t="s">
        <v>396</v>
      </c>
      <c r="C20" s="208" t="s">
        <v>397</v>
      </c>
      <c r="D20" s="290" t="s">
        <v>398</v>
      </c>
      <c r="E20" s="290"/>
      <c r="F20" s="290"/>
      <c r="G20" s="290"/>
      <c r="H20" s="290"/>
      <c r="I20" s="290"/>
      <c r="J20" s="290"/>
      <c r="K20" s="290"/>
      <c r="L20" s="290"/>
      <c r="M20" s="290"/>
      <c r="N20" s="290"/>
      <c r="O20" s="290"/>
    </row>
    <row r="21" spans="1:15" x14ac:dyDescent="0.25">
      <c r="B21" s="289" t="s">
        <v>400</v>
      </c>
      <c r="C21" s="252" t="s">
        <v>402</v>
      </c>
      <c r="D21" s="289" t="s">
        <v>401</v>
      </c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</row>
    <row r="22" spans="1:15" x14ac:dyDescent="0.25">
      <c r="B22" s="289"/>
      <c r="C22" s="253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</row>
    <row r="23" spans="1:15" x14ac:dyDescent="0.25">
      <c r="B23" s="284" t="s">
        <v>403</v>
      </c>
      <c r="C23" s="252" t="s">
        <v>404</v>
      </c>
      <c r="D23" s="284" t="s">
        <v>405</v>
      </c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</row>
    <row r="24" spans="1:15" x14ac:dyDescent="0.25">
      <c r="B24" s="284"/>
      <c r="C24" s="253"/>
      <c r="D24" s="284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</row>
    <row r="25" spans="1:15" x14ac:dyDescent="0.25">
      <c r="B25" s="252" t="s">
        <v>161</v>
      </c>
      <c r="C25" s="252" t="s">
        <v>406</v>
      </c>
      <c r="D25" s="265" t="s">
        <v>407</v>
      </c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7"/>
    </row>
    <row r="26" spans="1:15" x14ac:dyDescent="0.25">
      <c r="B26" s="274"/>
      <c r="C26" s="274"/>
      <c r="D26" s="268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70"/>
    </row>
    <row r="27" spans="1:15" x14ac:dyDescent="0.25">
      <c r="B27" s="253"/>
      <c r="C27" s="253"/>
      <c r="D27" s="271"/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3"/>
    </row>
    <row r="29" spans="1:15" x14ac:dyDescent="0.25">
      <c r="B29" s="252" t="s">
        <v>146</v>
      </c>
      <c r="C29" s="252" t="s">
        <v>408</v>
      </c>
      <c r="D29" s="265" t="s">
        <v>409</v>
      </c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7"/>
    </row>
    <row r="30" spans="1:15" x14ac:dyDescent="0.25">
      <c r="B30" s="274"/>
      <c r="C30" s="274"/>
      <c r="D30" s="268"/>
      <c r="E30" s="269"/>
      <c r="F30" s="269"/>
      <c r="G30" s="269"/>
      <c r="H30" s="269"/>
      <c r="I30" s="269"/>
      <c r="J30" s="269"/>
      <c r="K30" s="269"/>
      <c r="L30" s="269"/>
      <c r="M30" s="269"/>
      <c r="N30" s="269"/>
      <c r="O30" s="270"/>
    </row>
    <row r="31" spans="1:15" x14ac:dyDescent="0.25">
      <c r="B31" s="253"/>
      <c r="C31" s="253"/>
      <c r="D31" s="271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3"/>
    </row>
    <row r="32" spans="1:15" ht="15" customHeight="1" x14ac:dyDescent="0.25">
      <c r="B32" s="217" t="s">
        <v>410</v>
      </c>
      <c r="C32" s="252" t="s">
        <v>411</v>
      </c>
      <c r="D32" s="275" t="s">
        <v>412</v>
      </c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7"/>
    </row>
    <row r="33" spans="2:15" x14ac:dyDescent="0.25">
      <c r="B33" s="218" t="s">
        <v>12</v>
      </c>
      <c r="C33" s="274"/>
      <c r="D33" s="278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80"/>
    </row>
    <row r="34" spans="2:15" x14ac:dyDescent="0.25">
      <c r="B34" s="219" t="s">
        <v>15</v>
      </c>
      <c r="C34" s="253"/>
      <c r="D34" s="281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3"/>
    </row>
    <row r="35" spans="2:15" ht="15" customHeight="1" x14ac:dyDescent="0.25">
      <c r="B35" s="220" t="s">
        <v>10</v>
      </c>
      <c r="C35" s="221" t="s">
        <v>413</v>
      </c>
      <c r="D35" s="261" t="s">
        <v>414</v>
      </c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3"/>
    </row>
    <row r="37" spans="2:15" x14ac:dyDescent="0.25">
      <c r="B37" s="264" t="s">
        <v>415</v>
      </c>
      <c r="C37" s="252" t="s">
        <v>416</v>
      </c>
      <c r="D37" s="264" t="s">
        <v>417</v>
      </c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</row>
    <row r="38" spans="2:15" x14ac:dyDescent="0.25">
      <c r="B38" s="264"/>
      <c r="C38" s="253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</row>
    <row r="39" spans="2:15" x14ac:dyDescent="0.25">
      <c r="B39" s="222" t="s">
        <v>419</v>
      </c>
      <c r="C39" s="221" t="s">
        <v>418</v>
      </c>
      <c r="D39" s="254" t="s">
        <v>420</v>
      </c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</row>
    <row r="41" spans="2:15" ht="15" customHeight="1" x14ac:dyDescent="0.25">
      <c r="B41" s="248" t="s">
        <v>421</v>
      </c>
      <c r="C41" s="252" t="s">
        <v>422</v>
      </c>
      <c r="D41" s="255" t="s">
        <v>423</v>
      </c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7"/>
    </row>
    <row r="42" spans="2:15" x14ac:dyDescent="0.25">
      <c r="B42" s="249"/>
      <c r="C42" s="253"/>
      <c r="D42" s="258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60"/>
    </row>
    <row r="44" spans="2:15" x14ac:dyDescent="0.25">
      <c r="B44" s="248" t="s">
        <v>424</v>
      </c>
      <c r="C44" s="252" t="s">
        <v>425</v>
      </c>
      <c r="D44" s="250" t="s">
        <v>426</v>
      </c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</row>
    <row r="45" spans="2:15" x14ac:dyDescent="0.25">
      <c r="B45" s="249"/>
      <c r="C45" s="253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</row>
    <row r="47" spans="2:15" x14ac:dyDescent="0.25"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mergeCells count="29">
    <mergeCell ref="B6:C6"/>
    <mergeCell ref="B10:C10"/>
    <mergeCell ref="B21:B22"/>
    <mergeCell ref="D21:O22"/>
    <mergeCell ref="C21:C22"/>
    <mergeCell ref="D20:O20"/>
    <mergeCell ref="L6:O17"/>
    <mergeCell ref="B23:B24"/>
    <mergeCell ref="D23:O24"/>
    <mergeCell ref="C23:C24"/>
    <mergeCell ref="D25:O27"/>
    <mergeCell ref="B25:B27"/>
    <mergeCell ref="C25:C27"/>
    <mergeCell ref="D35:O35"/>
    <mergeCell ref="B37:B38"/>
    <mergeCell ref="D37:O38"/>
    <mergeCell ref="C37:C38"/>
    <mergeCell ref="D29:O31"/>
    <mergeCell ref="C29:C31"/>
    <mergeCell ref="B29:B31"/>
    <mergeCell ref="C32:C34"/>
    <mergeCell ref="D32:O34"/>
    <mergeCell ref="B44:B45"/>
    <mergeCell ref="D44:O45"/>
    <mergeCell ref="C44:C45"/>
    <mergeCell ref="D39:O39"/>
    <mergeCell ref="D41:O42"/>
    <mergeCell ref="B41:B42"/>
    <mergeCell ref="C41:C42"/>
  </mergeCells>
  <dataValidations count="1">
    <dataValidation type="list" allowBlank="1" showInputMessage="1" showErrorMessage="1" sqref="B7">
      <formula1>"Base,Best,Worst 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42"/>
  <sheetViews>
    <sheetView showGridLines="0" topLeftCell="A23" workbookViewId="0">
      <selection activeCell="B42" sqref="B42:H42"/>
    </sheetView>
  </sheetViews>
  <sheetFormatPr defaultRowHeight="15" x14ac:dyDescent="0.25"/>
  <cols>
    <col min="1" max="1" width="1.85546875" customWidth="1"/>
    <col min="2" max="2" width="68.28515625" bestFit="1" customWidth="1"/>
  </cols>
  <sheetData>
    <row r="7" spans="2:8" x14ac:dyDescent="0.25">
      <c r="B7" s="147" t="s">
        <v>1</v>
      </c>
      <c r="C7" s="148"/>
      <c r="D7" s="148"/>
      <c r="E7" s="148"/>
      <c r="F7" s="148"/>
      <c r="G7" s="148"/>
      <c r="H7" s="148"/>
    </row>
    <row r="8" spans="2:8" ht="15.75" thickBot="1" x14ac:dyDescent="0.3">
      <c r="B8" s="122" t="s">
        <v>0</v>
      </c>
      <c r="C8" s="122"/>
      <c r="D8" s="122">
        <v>2021</v>
      </c>
      <c r="E8" s="122">
        <f>D8+1</f>
        <v>2022</v>
      </c>
      <c r="F8" s="122">
        <f>E8+1</f>
        <v>2023</v>
      </c>
      <c r="G8" s="122">
        <f>F8+1</f>
        <v>2024</v>
      </c>
      <c r="H8" s="122">
        <f>G8+1</f>
        <v>2025</v>
      </c>
    </row>
    <row r="9" spans="2:8" x14ac:dyDescent="0.25">
      <c r="B9" s="1" t="s">
        <v>2</v>
      </c>
    </row>
    <row r="10" spans="2:8" x14ac:dyDescent="0.25">
      <c r="B10" t="s">
        <v>3</v>
      </c>
      <c r="D10" s="144">
        <v>2592.96</v>
      </c>
      <c r="E10" s="144">
        <v>4498.0200000000004</v>
      </c>
      <c r="F10" s="144">
        <v>8242.02</v>
      </c>
      <c r="G10" s="144">
        <v>12375.11</v>
      </c>
      <c r="H10" s="144">
        <v>17134.61</v>
      </c>
    </row>
    <row r="11" spans="2:8" x14ac:dyDescent="0.25">
      <c r="B11" t="s">
        <v>4</v>
      </c>
      <c r="D11" s="144">
        <v>201.6</v>
      </c>
      <c r="E11" s="144">
        <v>175.21</v>
      </c>
      <c r="F11" s="144">
        <v>260.92</v>
      </c>
      <c r="G11" s="144">
        <v>289.27</v>
      </c>
      <c r="H11" s="144">
        <v>218.56</v>
      </c>
    </row>
    <row r="12" spans="2:8" x14ac:dyDescent="0.25">
      <c r="B12" s="3" t="s">
        <v>5</v>
      </c>
      <c r="C12" s="3"/>
      <c r="D12" s="117">
        <f>SUM(D10:D11)</f>
        <v>2794.56</v>
      </c>
      <c r="E12" s="117">
        <f>SUM(E10:E11)</f>
        <v>4673.2300000000005</v>
      </c>
      <c r="F12" s="117">
        <f>SUM(F10:F11)</f>
        <v>8502.94</v>
      </c>
      <c r="G12" s="117">
        <f>SUM(G10:G11)</f>
        <v>12664.380000000001</v>
      </c>
      <c r="H12" s="117">
        <f>SUM(H10:H11)</f>
        <v>17353.170000000002</v>
      </c>
    </row>
    <row r="13" spans="2:8" x14ac:dyDescent="0.25">
      <c r="B13" t="s">
        <v>6</v>
      </c>
      <c r="D13" s="116"/>
      <c r="E13" s="116"/>
      <c r="F13" s="116"/>
      <c r="G13" s="116"/>
      <c r="H13" s="116"/>
    </row>
    <row r="14" spans="2:8" x14ac:dyDescent="0.25">
      <c r="B14" t="s">
        <v>7</v>
      </c>
      <c r="D14" s="144">
        <v>1371.64</v>
      </c>
      <c r="E14" s="144">
        <v>2920.38</v>
      </c>
      <c r="F14" s="144">
        <v>5211.05</v>
      </c>
      <c r="G14" s="144">
        <v>7123.6</v>
      </c>
      <c r="H14" s="144">
        <v>10143.39</v>
      </c>
    </row>
    <row r="15" spans="2:8" x14ac:dyDescent="0.25">
      <c r="B15" t="s">
        <v>8</v>
      </c>
      <c r="D15" s="144">
        <v>162.36000000000001</v>
      </c>
      <c r="E15" s="144">
        <v>-438.84</v>
      </c>
      <c r="F15" s="144">
        <v>-491.31</v>
      </c>
      <c r="G15" s="144">
        <v>-164.71</v>
      </c>
      <c r="H15" s="144">
        <v>-454.25</v>
      </c>
    </row>
    <row r="16" spans="2:8" x14ac:dyDescent="0.25">
      <c r="B16" t="s">
        <v>9</v>
      </c>
      <c r="D16" s="144">
        <v>301.86</v>
      </c>
      <c r="E16" s="144">
        <v>398.95</v>
      </c>
      <c r="F16" s="144">
        <v>655.23</v>
      </c>
      <c r="G16" s="144">
        <v>1036.6400000000001</v>
      </c>
      <c r="H16" s="144">
        <v>1308.45</v>
      </c>
    </row>
    <row r="17" spans="2:9" x14ac:dyDescent="0.25">
      <c r="B17" t="s">
        <v>10</v>
      </c>
      <c r="D17" s="144">
        <v>248.65</v>
      </c>
      <c r="E17" s="144">
        <v>304.74</v>
      </c>
      <c r="F17" s="144">
        <v>369.22</v>
      </c>
      <c r="G17" s="144">
        <v>319.10000000000002</v>
      </c>
      <c r="H17" s="144">
        <v>138.59</v>
      </c>
    </row>
    <row r="18" spans="2:9" x14ac:dyDescent="0.25">
      <c r="B18" t="s">
        <v>11</v>
      </c>
      <c r="D18" s="144">
        <v>257.3</v>
      </c>
      <c r="E18" s="144">
        <v>310.82</v>
      </c>
      <c r="F18" s="144">
        <v>493.69</v>
      </c>
      <c r="G18" s="144">
        <v>671.11</v>
      </c>
      <c r="H18" s="144">
        <v>895.18</v>
      </c>
    </row>
    <row r="19" spans="2:9" x14ac:dyDescent="0.25">
      <c r="B19" t="s">
        <v>12</v>
      </c>
      <c r="D19" s="144">
        <v>585.20000000000005</v>
      </c>
      <c r="E19" s="144">
        <v>1043.6600000000001</v>
      </c>
      <c r="F19" s="144">
        <v>1793.4</v>
      </c>
      <c r="G19" s="144">
        <v>2457.4499999999998</v>
      </c>
      <c r="H19" s="144">
        <v>3378.57</v>
      </c>
    </row>
    <row r="20" spans="2:9" x14ac:dyDescent="0.25">
      <c r="B20" s="3" t="s">
        <v>13</v>
      </c>
      <c r="C20" s="3"/>
      <c r="D20" s="117">
        <f>SUM(D14:D19)</f>
        <v>2927.01</v>
      </c>
      <c r="E20" s="117">
        <f>SUM(E14:E19)</f>
        <v>4539.71</v>
      </c>
      <c r="F20" s="117">
        <f>SUM(F14:F19)</f>
        <v>8031.2799999999988</v>
      </c>
      <c r="G20" s="117">
        <f>SUM(G14:G19)</f>
        <v>11443.190000000002</v>
      </c>
      <c r="H20" s="117">
        <f>SUM(H14:H19)</f>
        <v>15409.93</v>
      </c>
    </row>
    <row r="21" spans="2:9" x14ac:dyDescent="0.25">
      <c r="B21" s="3" t="s">
        <v>14</v>
      </c>
      <c r="C21" s="3"/>
      <c r="D21" s="117">
        <f>D12-D20</f>
        <v>-132.45000000000027</v>
      </c>
      <c r="E21" s="117">
        <f>E12-E20</f>
        <v>133.52000000000044</v>
      </c>
      <c r="F21" s="117">
        <f>F12-F20</f>
        <v>471.66000000000167</v>
      </c>
      <c r="G21" s="117">
        <f>G12-G20</f>
        <v>1221.1899999999987</v>
      </c>
      <c r="H21" s="117">
        <f>H12-H20</f>
        <v>1943.2400000000016</v>
      </c>
    </row>
    <row r="22" spans="2:9" x14ac:dyDescent="0.25">
      <c r="B22" t="s">
        <v>15</v>
      </c>
      <c r="D22" s="144">
        <v>-1.01</v>
      </c>
      <c r="E22" s="144">
        <v>-27.44</v>
      </c>
      <c r="F22" s="144">
        <v>-3</v>
      </c>
      <c r="G22" s="144">
        <v>576.07000000000005</v>
      </c>
      <c r="H22" s="144">
        <v>0</v>
      </c>
    </row>
    <row r="23" spans="2:9" x14ac:dyDescent="0.25">
      <c r="B23" s="3" t="s">
        <v>16</v>
      </c>
      <c r="C23" s="3"/>
      <c r="D23" s="117">
        <f>D21+D22</f>
        <v>-133.46000000000026</v>
      </c>
      <c r="E23" s="117">
        <f>E21+E22</f>
        <v>106.08000000000044</v>
      </c>
      <c r="F23" s="117">
        <f>F21+F22</f>
        <v>468.66000000000167</v>
      </c>
      <c r="G23" s="117">
        <f>G21+G22</f>
        <v>1797.2599999999989</v>
      </c>
      <c r="H23" s="117">
        <f>H21+H22</f>
        <v>1943.2400000000016</v>
      </c>
    </row>
    <row r="24" spans="2:9" x14ac:dyDescent="0.25">
      <c r="B24" t="s">
        <v>17</v>
      </c>
      <c r="D24" s="144">
        <v>-71.36</v>
      </c>
      <c r="E24" s="144">
        <v>5.14</v>
      </c>
      <c r="F24" s="144">
        <v>83.47</v>
      </c>
      <c r="G24" s="144">
        <v>123.57</v>
      </c>
      <c r="H24" s="144">
        <v>86.5</v>
      </c>
    </row>
    <row r="25" spans="2:9" x14ac:dyDescent="0.25">
      <c r="B25" s="3" t="s">
        <v>18</v>
      </c>
      <c r="C25" s="3"/>
      <c r="D25" s="117">
        <f>D23+D24</f>
        <v>-204.82000000000028</v>
      </c>
      <c r="E25" s="117">
        <f>E23+E24</f>
        <v>111.22000000000044</v>
      </c>
      <c r="F25" s="117">
        <f>F23+F24</f>
        <v>552.1300000000017</v>
      </c>
      <c r="G25" s="117">
        <f>G23+G24</f>
        <v>1920.8299999999988</v>
      </c>
      <c r="H25" s="117">
        <f>H23+H24</f>
        <v>2029.7400000000016</v>
      </c>
    </row>
    <row r="26" spans="2:9" x14ac:dyDescent="0.25">
      <c r="B26" t="s">
        <v>19</v>
      </c>
      <c r="D26" s="144">
        <v>-23.69</v>
      </c>
      <c r="E26" s="144">
        <v>76.62</v>
      </c>
      <c r="F26" s="144">
        <v>158.44</v>
      </c>
      <c r="G26" s="144">
        <v>443.37</v>
      </c>
      <c r="H26" s="144">
        <v>495.33</v>
      </c>
    </row>
    <row r="27" spans="2:9" x14ac:dyDescent="0.25">
      <c r="B27" s="3" t="s">
        <v>20</v>
      </c>
      <c r="C27" s="3"/>
      <c r="D27" s="117">
        <f>D25-D26</f>
        <v>-181.13000000000028</v>
      </c>
      <c r="E27" s="117">
        <f>E25-E26</f>
        <v>34.600000000000435</v>
      </c>
      <c r="F27" s="117">
        <f>F25-F26</f>
        <v>393.6900000000017</v>
      </c>
      <c r="G27" s="117">
        <f>G25-G26</f>
        <v>1477.4599999999987</v>
      </c>
      <c r="H27" s="117">
        <f>H25-H26</f>
        <v>1534.4100000000017</v>
      </c>
    </row>
    <row r="31" spans="2:9" x14ac:dyDescent="0.25">
      <c r="B31" s="291" t="s">
        <v>136</v>
      </c>
      <c r="C31" s="291"/>
      <c r="D31" s="291"/>
      <c r="E31" s="291"/>
      <c r="F31" s="291"/>
      <c r="G31" s="291"/>
      <c r="H31" s="291"/>
      <c r="I31" s="291"/>
    </row>
    <row r="32" spans="2:9" x14ac:dyDescent="0.25">
      <c r="B32" s="147" t="s">
        <v>137</v>
      </c>
      <c r="C32" s="224"/>
      <c r="D32" s="224"/>
      <c r="E32" s="225">
        <f>E10/D10-1</f>
        <v>0.73470473898556099</v>
      </c>
      <c r="F32" s="225">
        <f>F10/E10-1</f>
        <v>0.83236624114610414</v>
      </c>
      <c r="G32" s="225">
        <f>G10/F10-1</f>
        <v>0.50146566011730132</v>
      </c>
      <c r="H32" s="225">
        <f>H10/G10-1</f>
        <v>0.38460264191591031</v>
      </c>
      <c r="I32" s="12"/>
    </row>
    <row r="33" spans="2:9" x14ac:dyDescent="0.25">
      <c r="B33" s="223" t="s">
        <v>138</v>
      </c>
      <c r="C33" s="226"/>
      <c r="D33" s="227">
        <f>(D10-D14-D15)/D10</f>
        <v>0.4083981241515488</v>
      </c>
      <c r="E33" s="227">
        <f>(E10-E14-E15)/E10</f>
        <v>0.44830392039163902</v>
      </c>
      <c r="F33" s="227">
        <f>(F10-F14-F15)/F10</f>
        <v>0.42735640049405366</v>
      </c>
      <c r="G33" s="227">
        <f>(G10-G14-G15)/G10</f>
        <v>0.43767045303031649</v>
      </c>
      <c r="H33" s="227">
        <f>(H10-H14-H15)/H10</f>
        <v>0.4345281275733735</v>
      </c>
      <c r="I33" s="13"/>
    </row>
    <row r="34" spans="2:9" x14ac:dyDescent="0.25">
      <c r="B34" s="223" t="s">
        <v>139</v>
      </c>
      <c r="C34" s="226"/>
      <c r="D34" s="227">
        <f>(D21-D17)/D10</f>
        <v>-0.14697488584474896</v>
      </c>
      <c r="E34" s="227">
        <f>(E21-E17)/E10</f>
        <v>-3.8065637769507374E-2</v>
      </c>
      <c r="F34" s="227">
        <f>(F21-F17)/F10</f>
        <v>1.2428991921883428E-2</v>
      </c>
      <c r="G34" s="227">
        <f>(G21-G17)/G10</f>
        <v>7.289551365604012E-2</v>
      </c>
      <c r="H34" s="227">
        <f>(H21-H17)/H10</f>
        <v>0.10532191861968271</v>
      </c>
      <c r="I34" s="13"/>
    </row>
    <row r="35" spans="2:9" x14ac:dyDescent="0.25">
      <c r="B35" s="223" t="s">
        <v>140</v>
      </c>
      <c r="C35" s="226"/>
      <c r="D35" s="227">
        <f>(D25-D17)/D10</f>
        <v>-0.17488507342959408</v>
      </c>
      <c r="E35" s="227">
        <f>(E25-E17)/E10</f>
        <v>-4.3023374729325249E-2</v>
      </c>
      <c r="F35" s="227">
        <f>(F25-F17)/F10</f>
        <v>2.2192375170164796E-2</v>
      </c>
      <c r="G35" s="227">
        <f>(G25-G17)/G10</f>
        <v>0.12943157676982253</v>
      </c>
      <c r="H35" s="227">
        <f>(H25-H17)/H10</f>
        <v>0.11037018058771117</v>
      </c>
      <c r="I35" s="14"/>
    </row>
    <row r="36" spans="2:9" x14ac:dyDescent="0.25">
      <c r="B36" s="223" t="s">
        <v>141</v>
      </c>
      <c r="C36" s="226"/>
      <c r="D36" s="227">
        <f>D27/D10</f>
        <v>-6.9854529186721068E-2</v>
      </c>
      <c r="E36" s="227">
        <f>E27/E10</f>
        <v>7.6922734892242431E-3</v>
      </c>
      <c r="F36" s="227">
        <f>F27/F10</f>
        <v>4.7766202945394659E-2</v>
      </c>
      <c r="G36" s="227">
        <f>G27/G10</f>
        <v>0.1193896458294107</v>
      </c>
      <c r="H36" s="227">
        <f>H27/H10</f>
        <v>8.9550331171821332E-2</v>
      </c>
      <c r="I36" s="14"/>
    </row>
    <row r="37" spans="2:9" x14ac:dyDescent="0.25">
      <c r="B37" s="223" t="s">
        <v>142</v>
      </c>
      <c r="C37" s="226"/>
      <c r="D37" s="227">
        <f>D27/'Historical Balance Sheet'!D43</f>
        <v>-3.164544798584145E-2</v>
      </c>
      <c r="E37" s="227">
        <f>E27/'Historical Balance Sheet'!E43</f>
        <v>4.4783730821303111E-3</v>
      </c>
      <c r="F37" s="227">
        <f>F27/'Historical Balance Sheet'!F43</f>
        <v>4.8714785442855707E-2</v>
      </c>
      <c r="G37" s="227">
        <f>G27/'Historical Balance Sheet'!G43</f>
        <v>0.20629873983314115</v>
      </c>
      <c r="H37" s="227">
        <f>H27/'Historical Balance Sheet'!H43</f>
        <v>0.16289476030931135</v>
      </c>
      <c r="I37" s="14"/>
    </row>
    <row r="38" spans="2:9" x14ac:dyDescent="0.25">
      <c r="B38" s="223" t="s">
        <v>143</v>
      </c>
      <c r="C38" s="226"/>
      <c r="D38" s="226">
        <f>D10/'Historical Balance Sheet'!D43</f>
        <v>0.45301927239754491</v>
      </c>
      <c r="E38" s="226">
        <f>E10/'Historical Balance Sheet'!E43</f>
        <v>0.5821910893318939</v>
      </c>
      <c r="F38" s="226">
        <f>F10/'Historical Balance Sheet'!F43</f>
        <v>1.0198588633587946</v>
      </c>
      <c r="G38" s="226">
        <f>G10/'Historical Balance Sheet'!G43</f>
        <v>1.7279449855133173</v>
      </c>
      <c r="H38" s="226">
        <f>H10/'Historical Balance Sheet'!H43</f>
        <v>1.8190302389475606</v>
      </c>
      <c r="I38" s="15"/>
    </row>
    <row r="39" spans="2:9" x14ac:dyDescent="0.25">
      <c r="B39" s="223" t="s">
        <v>144</v>
      </c>
      <c r="C39" s="226"/>
      <c r="D39" s="226">
        <f>'Historical Balance Sheet'!D43/'Historical Balance Sheet'!D50</f>
        <v>2.4278606332077777</v>
      </c>
      <c r="E39" s="226">
        <f>'Historical Balance Sheet'!E43/'Historical Balance Sheet'!E50</f>
        <v>3.2058972422549949</v>
      </c>
      <c r="F39" s="226">
        <f>'Historical Balance Sheet'!F43/'Historical Balance Sheet'!F50</f>
        <v>3.0347807147658443</v>
      </c>
      <c r="G39" s="226">
        <f>'Historical Balance Sheet'!G43/'Historical Balance Sheet'!G50</f>
        <v>1.7456655429862598</v>
      </c>
      <c r="H39" s="226">
        <f>'Historical Balance Sheet'!H43/'Historical Balance Sheet'!H50</f>
        <v>1.6870916437414034</v>
      </c>
      <c r="I39" s="15"/>
    </row>
    <row r="40" spans="2:9" x14ac:dyDescent="0.25">
      <c r="B40" s="149" t="s">
        <v>145</v>
      </c>
      <c r="C40" s="228"/>
      <c r="D40" s="229">
        <f>D27/'Historical Balance Sheet'!D50</f>
        <v>-7.6830737385048808E-2</v>
      </c>
      <c r="E40" s="229">
        <f>E27/'Historical Balance Sheet'!E50</f>
        <v>1.4357203913790565E-2</v>
      </c>
      <c r="F40" s="229">
        <f>F27/'Historical Balance Sheet'!F50</f>
        <v>0.14783869138593439</v>
      </c>
      <c r="G40" s="229">
        <f>G27/'Historical Balance Sheet'!G50</f>
        <v>0.36012860168820149</v>
      </c>
      <c r="H40" s="229">
        <f>H27/'Historical Balance Sheet'!H50</f>
        <v>0.27481838892709798</v>
      </c>
      <c r="I40" s="17"/>
    </row>
    <row r="42" spans="2:9" x14ac:dyDescent="0.25">
      <c r="B42" s="56"/>
      <c r="C42" s="56"/>
      <c r="D42" s="56"/>
      <c r="E42" s="56"/>
      <c r="F42" s="56"/>
      <c r="G42" s="56"/>
      <c r="H42" s="56"/>
    </row>
  </sheetData>
  <mergeCells count="1">
    <mergeCell ref="B31:I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3"/>
  <sheetViews>
    <sheetView showGridLines="0" topLeftCell="A15" workbookViewId="0">
      <selection activeCell="H33" sqref="B33:H33"/>
    </sheetView>
  </sheetViews>
  <sheetFormatPr defaultRowHeight="15" x14ac:dyDescent="0.25"/>
  <cols>
    <col min="1" max="1" width="1.85546875" customWidth="1"/>
    <col min="2" max="2" width="36.85546875" bestFit="1" customWidth="1"/>
  </cols>
  <sheetData>
    <row r="7" spans="2:8" x14ac:dyDescent="0.25">
      <c r="B7" s="147" t="s">
        <v>1</v>
      </c>
      <c r="C7" s="148"/>
      <c r="D7" s="148"/>
      <c r="E7" s="148"/>
      <c r="F7" s="148"/>
      <c r="G7" s="148"/>
      <c r="H7" s="148"/>
    </row>
    <row r="8" spans="2:8" ht="15.75" thickBot="1" x14ac:dyDescent="0.3">
      <c r="B8" s="122" t="s">
        <v>0</v>
      </c>
      <c r="C8" s="122"/>
      <c r="D8" s="122">
        <v>2021</v>
      </c>
      <c r="E8" s="122">
        <f>D8+1</f>
        <v>2022</v>
      </c>
      <c r="F8" s="122">
        <f>E8+1</f>
        <v>2023</v>
      </c>
      <c r="G8" s="122">
        <f>F8+1</f>
        <v>2024</v>
      </c>
      <c r="H8" s="122">
        <f>G8+1</f>
        <v>2025</v>
      </c>
    </row>
    <row r="10" spans="2:8" x14ac:dyDescent="0.25">
      <c r="B10" t="s">
        <v>161</v>
      </c>
      <c r="D10" s="121">
        <f>'Historical P&amp;L'!D10</f>
        <v>2592.96</v>
      </c>
      <c r="E10" s="121">
        <f>'Historical P&amp;L'!E10</f>
        <v>4498.0200000000004</v>
      </c>
      <c r="F10" s="121">
        <f>'Historical P&amp;L'!F10</f>
        <v>8242.02</v>
      </c>
      <c r="G10" s="121">
        <f>'Historical P&amp;L'!G10</f>
        <v>12375.11</v>
      </c>
      <c r="H10" s="121">
        <f>'Historical P&amp;L'!H10</f>
        <v>17134.61</v>
      </c>
    </row>
    <row r="11" spans="2:8" x14ac:dyDescent="0.25">
      <c r="B11" t="s">
        <v>146</v>
      </c>
      <c r="D11" s="121">
        <f>SUM('Historical P&amp;L'!D14:D15)</f>
        <v>1534</v>
      </c>
      <c r="E11" s="121">
        <f>SUM('Historical P&amp;L'!E14:E15)</f>
        <v>2481.54</v>
      </c>
      <c r="F11" s="121">
        <f>SUM('Historical P&amp;L'!F14:F15)</f>
        <v>4719.74</v>
      </c>
      <c r="G11" s="121">
        <f>SUM('Historical P&amp;L'!G14:G15)</f>
        <v>6958.89</v>
      </c>
      <c r="H11" s="121">
        <f>SUM('Historical P&amp;L'!H14:H15)</f>
        <v>9689.14</v>
      </c>
    </row>
    <row r="12" spans="2:8" x14ac:dyDescent="0.25">
      <c r="B12" s="3" t="s">
        <v>147</v>
      </c>
      <c r="C12" s="3"/>
      <c r="D12" s="117">
        <f>D10-D11</f>
        <v>1058.96</v>
      </c>
      <c r="E12" s="117">
        <f>E10-E11</f>
        <v>2016.4800000000005</v>
      </c>
      <c r="F12" s="117">
        <f>F10-F11</f>
        <v>3522.2800000000007</v>
      </c>
      <c r="G12" s="117">
        <f>G10-G11</f>
        <v>5416.22</v>
      </c>
      <c r="H12" s="117">
        <f>H10-H11</f>
        <v>7445.4700000000012</v>
      </c>
    </row>
    <row r="13" spans="2:8" x14ac:dyDescent="0.25">
      <c r="B13" s="20" t="s">
        <v>149</v>
      </c>
      <c r="C13" s="20"/>
      <c r="D13" s="21">
        <f>D12/D10</f>
        <v>0.4083981241515488</v>
      </c>
      <c r="E13" s="21">
        <f>E12/E10</f>
        <v>0.44830392039163908</v>
      </c>
      <c r="F13" s="21">
        <f>F12/F10</f>
        <v>0.42735640049405371</v>
      </c>
      <c r="G13" s="21">
        <f>G12/G10</f>
        <v>0.43767045303031649</v>
      </c>
      <c r="H13" s="21">
        <f>H12/H10</f>
        <v>0.4345281275733735</v>
      </c>
    </row>
    <row r="14" spans="2:8" x14ac:dyDescent="0.25">
      <c r="B14" t="s">
        <v>6</v>
      </c>
      <c r="D14" s="121">
        <f>SUM('Historical P&amp;L'!D16,'Historical P&amp;L'!D19)</f>
        <v>887.06000000000006</v>
      </c>
      <c r="E14" s="121">
        <f>SUM('Historical P&amp;L'!E16,'Historical P&amp;L'!E19)</f>
        <v>1442.6100000000001</v>
      </c>
      <c r="F14" s="121">
        <f>SUM('Historical P&amp;L'!F16,'Historical P&amp;L'!F19)</f>
        <v>2448.63</v>
      </c>
      <c r="G14" s="121">
        <f>SUM('Historical P&amp;L'!G16,'Historical P&amp;L'!G19)</f>
        <v>3494.09</v>
      </c>
      <c r="H14" s="121">
        <f>SUM('Historical P&amp;L'!H16,'Historical P&amp;L'!H19)</f>
        <v>4687.0200000000004</v>
      </c>
    </row>
    <row r="15" spans="2:8" x14ac:dyDescent="0.25">
      <c r="B15" s="3" t="s">
        <v>148</v>
      </c>
      <c r="C15" s="3"/>
      <c r="D15" s="117">
        <f>D12-D14</f>
        <v>171.89999999999998</v>
      </c>
      <c r="E15" s="117">
        <f>E12-E14</f>
        <v>573.87000000000035</v>
      </c>
      <c r="F15" s="117">
        <f>F12-F14</f>
        <v>1073.6500000000005</v>
      </c>
      <c r="G15" s="117">
        <f>G12-G14</f>
        <v>1922.13</v>
      </c>
      <c r="H15" s="117">
        <f>H12-H14</f>
        <v>2758.4500000000007</v>
      </c>
    </row>
    <row r="16" spans="2:8" x14ac:dyDescent="0.25">
      <c r="B16" s="20" t="s">
        <v>150</v>
      </c>
      <c r="C16" s="20"/>
      <c r="D16" s="21">
        <f>D15/D10</f>
        <v>6.6294890781192148E-2</v>
      </c>
      <c r="E16" s="21">
        <f>E15/E10</f>
        <v>0.12758280310003076</v>
      </c>
      <c r="F16" s="21">
        <f>F15/F10</f>
        <v>0.13026539610435312</v>
      </c>
      <c r="G16" s="21">
        <f>G15/G10</f>
        <v>0.15532225572136329</v>
      </c>
      <c r="H16" s="21">
        <f>H15/H10</f>
        <v>0.16098703151107616</v>
      </c>
    </row>
    <row r="17" spans="2:19" x14ac:dyDescent="0.25">
      <c r="B17" t="s">
        <v>11</v>
      </c>
      <c r="D17" s="121">
        <f>'Historical P&amp;L'!D18</f>
        <v>257.3</v>
      </c>
      <c r="E17" s="121">
        <f>'Historical P&amp;L'!E18</f>
        <v>310.82</v>
      </c>
      <c r="F17" s="121">
        <f>'Historical P&amp;L'!F18</f>
        <v>493.69</v>
      </c>
      <c r="G17" s="121">
        <f>'Historical P&amp;L'!G18</f>
        <v>671.11</v>
      </c>
      <c r="H17" s="121">
        <f>'Historical P&amp;L'!H18</f>
        <v>895.18</v>
      </c>
    </row>
    <row r="18" spans="2:19" x14ac:dyDescent="0.25">
      <c r="B18" s="3" t="s">
        <v>151</v>
      </c>
      <c r="C18" s="3"/>
      <c r="D18" s="117">
        <f>D15-D17</f>
        <v>-85.400000000000034</v>
      </c>
      <c r="E18" s="117">
        <f>E15-E17</f>
        <v>263.05000000000035</v>
      </c>
      <c r="F18" s="117">
        <f>F15-F17</f>
        <v>579.96000000000049</v>
      </c>
      <c r="G18" s="117">
        <f>G15-G17</f>
        <v>1251.02</v>
      </c>
      <c r="H18" s="117">
        <f>H15-H17</f>
        <v>1863.2700000000009</v>
      </c>
    </row>
    <row r="19" spans="2:19" x14ac:dyDescent="0.25">
      <c r="B19" s="20" t="s">
        <v>152</v>
      </c>
      <c r="C19" s="20"/>
      <c r="D19" s="21">
        <f>D18/D10</f>
        <v>-3.2935332592866851E-2</v>
      </c>
      <c r="E19" s="21">
        <f>E18/E10</f>
        <v>5.8481287321977299E-2</v>
      </c>
      <c r="F19" s="21">
        <f>F18/F10</f>
        <v>7.0366245168053523E-2</v>
      </c>
      <c r="G19" s="21">
        <f>G18/G10</f>
        <v>0.10109162666028827</v>
      </c>
      <c r="H19" s="21">
        <f>H18/H10</f>
        <v>0.10874306447593501</v>
      </c>
    </row>
    <row r="20" spans="2:19" x14ac:dyDescent="0.25">
      <c r="B20" t="s">
        <v>153</v>
      </c>
      <c r="D20" s="121">
        <f>'Historical P&amp;L'!D17</f>
        <v>248.65</v>
      </c>
      <c r="E20" s="121">
        <f>'Historical P&amp;L'!E17</f>
        <v>304.74</v>
      </c>
      <c r="F20" s="121">
        <f>'Historical P&amp;L'!F17</f>
        <v>369.22</v>
      </c>
      <c r="G20" s="121">
        <f>'Historical P&amp;L'!G17</f>
        <v>319.10000000000002</v>
      </c>
      <c r="H20" s="121">
        <f>'Historical P&amp;L'!H17</f>
        <v>138.59</v>
      </c>
    </row>
    <row r="21" spans="2:19" x14ac:dyDescent="0.25">
      <c r="B21" t="s">
        <v>4</v>
      </c>
      <c r="D21" s="121">
        <f>'Historical P&amp;L'!D11</f>
        <v>201.6</v>
      </c>
      <c r="E21" s="121">
        <f>'Historical P&amp;L'!E11</f>
        <v>175.21</v>
      </c>
      <c r="F21" s="121">
        <f>'Historical P&amp;L'!F11</f>
        <v>260.92</v>
      </c>
      <c r="G21" s="121">
        <f>'Historical P&amp;L'!G11</f>
        <v>289.27</v>
      </c>
      <c r="H21" s="121">
        <f>'Historical P&amp;L'!H11</f>
        <v>218.56</v>
      </c>
    </row>
    <row r="22" spans="2:19" x14ac:dyDescent="0.25">
      <c r="B22" t="s">
        <v>15</v>
      </c>
      <c r="D22" s="121">
        <f>'Historical P&amp;L'!D22</f>
        <v>-1.01</v>
      </c>
      <c r="E22" s="121">
        <f>'Historical P&amp;L'!E22</f>
        <v>-27.44</v>
      </c>
      <c r="F22" s="121">
        <f>'Historical P&amp;L'!F22</f>
        <v>-3</v>
      </c>
      <c r="G22" s="121">
        <f>'Historical P&amp;L'!G22</f>
        <v>576.07000000000005</v>
      </c>
      <c r="H22" s="121">
        <f>'Historical P&amp;L'!H22</f>
        <v>0</v>
      </c>
    </row>
    <row r="23" spans="2:19" x14ac:dyDescent="0.25">
      <c r="B23" s="3" t="s">
        <v>154</v>
      </c>
      <c r="C23" s="3"/>
      <c r="D23" s="117">
        <f>D18-D20+D21+D22</f>
        <v>-133.46000000000006</v>
      </c>
      <c r="E23" s="117">
        <f>E18-E20+E21+E22</f>
        <v>106.08000000000035</v>
      </c>
      <c r="F23" s="117">
        <f>F18-F20+F21+F22</f>
        <v>468.66000000000048</v>
      </c>
      <c r="G23" s="117">
        <f>G18-G20+G21+G22</f>
        <v>1797.2600000000002</v>
      </c>
      <c r="H23" s="117">
        <f>H18-H20+H21+H22</f>
        <v>1943.2400000000009</v>
      </c>
    </row>
    <row r="24" spans="2:19" x14ac:dyDescent="0.25">
      <c r="B24" s="20" t="s">
        <v>158</v>
      </c>
      <c r="C24" s="20"/>
      <c r="D24" s="21">
        <f>D23/D10</f>
        <v>-5.1470134518079746E-2</v>
      </c>
      <c r="E24" s="21">
        <f>E23/E10</f>
        <v>2.3583710165806366E-2</v>
      </c>
      <c r="F24" s="21">
        <f>F23/F10</f>
        <v>5.6862274054176092E-2</v>
      </c>
      <c r="G24" s="21">
        <f>G23/G10</f>
        <v>0.1452318403634392</v>
      </c>
      <c r="H24" s="21">
        <f>H23/H10</f>
        <v>0.11341022643643485</v>
      </c>
    </row>
    <row r="25" spans="2:19" x14ac:dyDescent="0.25">
      <c r="B25" t="s">
        <v>155</v>
      </c>
      <c r="D25" s="121">
        <f>'Historical P&amp;L'!D26</f>
        <v>-23.69</v>
      </c>
      <c r="E25" s="121">
        <f>'Historical P&amp;L'!E26</f>
        <v>76.62</v>
      </c>
      <c r="F25" s="121">
        <f>'Historical P&amp;L'!F26</f>
        <v>158.44</v>
      </c>
      <c r="G25" s="121">
        <f>'Historical P&amp;L'!G26</f>
        <v>443.37</v>
      </c>
      <c r="H25" s="121">
        <f>'Historical P&amp;L'!H26</f>
        <v>495.33</v>
      </c>
    </row>
    <row r="26" spans="2:19" x14ac:dyDescent="0.25">
      <c r="B26" s="22" t="s">
        <v>156</v>
      </c>
      <c r="D26" s="121">
        <f>'Historical P&amp;L'!D24</f>
        <v>-71.36</v>
      </c>
      <c r="E26" s="121">
        <f>'Historical P&amp;L'!E24</f>
        <v>5.14</v>
      </c>
      <c r="F26" s="121">
        <f>'Historical P&amp;L'!F24</f>
        <v>83.47</v>
      </c>
      <c r="G26" s="121">
        <f>'Historical P&amp;L'!G24</f>
        <v>123.57</v>
      </c>
      <c r="H26" s="121">
        <f>'Historical P&amp;L'!H24</f>
        <v>86.5</v>
      </c>
    </row>
    <row r="27" spans="2:19" ht="15.75" thickBot="1" x14ac:dyDescent="0.3">
      <c r="B27" s="10" t="s">
        <v>157</v>
      </c>
      <c r="C27" s="10"/>
      <c r="D27" s="118">
        <f>D23-D25+D26</f>
        <v>-181.13000000000005</v>
      </c>
      <c r="E27" s="118">
        <f>E23-E25+E26</f>
        <v>34.60000000000035</v>
      </c>
      <c r="F27" s="118">
        <f>F23-F25+F26</f>
        <v>393.69000000000051</v>
      </c>
      <c r="G27" s="118">
        <f>G23-G25+G26</f>
        <v>1477.4600000000003</v>
      </c>
      <c r="H27" s="118">
        <f>H23-H25+H26</f>
        <v>1534.410000000001</v>
      </c>
    </row>
    <row r="28" spans="2:19" x14ac:dyDescent="0.25">
      <c r="B28" s="20" t="s">
        <v>159</v>
      </c>
      <c r="D28" s="21">
        <f>D27/D10</f>
        <v>-6.9854529186720984E-2</v>
      </c>
      <c r="E28" s="21">
        <f>E27/E10</f>
        <v>7.6922734892242248E-3</v>
      </c>
      <c r="F28" s="21">
        <f>F27/F10</f>
        <v>4.7766202945394513E-2</v>
      </c>
      <c r="G28" s="21">
        <f>G27/G10</f>
        <v>0.11938964582941082</v>
      </c>
      <c r="H28" s="21">
        <f>H27/H10</f>
        <v>8.9550331171821304E-2</v>
      </c>
    </row>
    <row r="30" spans="2:19" x14ac:dyDescent="0.25">
      <c r="B30" s="3" t="s">
        <v>123</v>
      </c>
      <c r="C30" s="3"/>
      <c r="D30" s="117">
        <f>'Historical Cashflow statement'!D73</f>
        <v>-35.54</v>
      </c>
      <c r="E30" s="117">
        <f>'Historical Cashflow statement'!E73</f>
        <v>-42.72</v>
      </c>
      <c r="F30" s="117">
        <f>'Historical Cashflow statement'!F73</f>
        <v>-39.26</v>
      </c>
      <c r="G30" s="117">
        <f>'Historical Cashflow statement'!G73</f>
        <v>-78.27</v>
      </c>
      <c r="H30" s="117">
        <f>'Historical Cashflow statement'!H73</f>
        <v>-113.59</v>
      </c>
    </row>
    <row r="31" spans="2:19" ht="15.75" thickBot="1" x14ac:dyDescent="0.3">
      <c r="B31" s="166" t="s">
        <v>229</v>
      </c>
      <c r="C31" s="166"/>
      <c r="D31" s="180">
        <f>D30/D27</f>
        <v>0.19621266493678569</v>
      </c>
      <c r="E31" s="180">
        <f>-E30/E27</f>
        <v>1.2346820809248429</v>
      </c>
      <c r="F31" s="180">
        <f>-F30/F27</f>
        <v>9.9723132413828006E-2</v>
      </c>
      <c r="G31" s="180">
        <f>-G30/G27</f>
        <v>5.2976053497218185E-2</v>
      </c>
      <c r="H31" s="180">
        <f>-H30/H27</f>
        <v>7.4028453933433658E-2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3" spans="2:8" x14ac:dyDescent="0.25">
      <c r="B33" s="56"/>
      <c r="C33" s="56"/>
      <c r="D33" s="56"/>
      <c r="E33" s="56"/>
      <c r="F33" s="56"/>
      <c r="G33" s="56"/>
      <c r="H33" s="5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33"/>
  <sheetViews>
    <sheetView showGridLines="0" topLeftCell="A23" workbookViewId="0">
      <selection activeCell="B33" sqref="B33:R33"/>
    </sheetView>
  </sheetViews>
  <sheetFormatPr defaultRowHeight="15" x14ac:dyDescent="0.25"/>
  <cols>
    <col min="1" max="1" width="1.85546875" customWidth="1"/>
    <col min="2" max="2" width="49" bestFit="1" customWidth="1"/>
    <col min="4" max="8" width="8.42578125" customWidth="1"/>
    <col min="9" max="18" width="11.140625" bestFit="1" customWidth="1"/>
  </cols>
  <sheetData>
    <row r="7" spans="2:18" ht="15.75" thickBot="1" x14ac:dyDescent="0.3">
      <c r="B7" s="147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2:18" ht="15.75" thickBot="1" x14ac:dyDescent="0.3">
      <c r="B8" s="170" t="s">
        <v>326</v>
      </c>
      <c r="C8" s="160"/>
      <c r="D8" s="159" t="s">
        <v>162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167</v>
      </c>
      <c r="J8" s="159" t="s">
        <v>167</v>
      </c>
      <c r="K8" s="159" t="s">
        <v>167</v>
      </c>
      <c r="L8" s="159" t="s">
        <v>167</v>
      </c>
      <c r="M8" s="159" t="s">
        <v>167</v>
      </c>
      <c r="N8" s="159" t="s">
        <v>167</v>
      </c>
      <c r="O8" s="159" t="s">
        <v>167</v>
      </c>
      <c r="P8" s="159" t="s">
        <v>167</v>
      </c>
      <c r="Q8" s="159" t="s">
        <v>167</v>
      </c>
      <c r="R8" s="159" t="s">
        <v>167</v>
      </c>
    </row>
    <row r="10" spans="2:18" x14ac:dyDescent="0.25">
      <c r="B10" t="s">
        <v>161</v>
      </c>
      <c r="D10" s="116">
        <f>'Revenue Build-up'!D11</f>
        <v>2592.96</v>
      </c>
      <c r="E10" s="116">
        <f>'Revenue Build-up'!E11</f>
        <v>4498.0200000000004</v>
      </c>
      <c r="F10" s="116">
        <f>'Revenue Build-up'!F11</f>
        <v>8242.02</v>
      </c>
      <c r="G10" s="116">
        <f>'Revenue Build-up'!G11</f>
        <v>12375.109999999999</v>
      </c>
      <c r="H10" s="116">
        <f>'Revenue Build-up'!H11</f>
        <v>17134.61</v>
      </c>
      <c r="I10" s="116">
        <f>'Revenue Build-up'!I11</f>
        <v>27643.006218893781</v>
      </c>
      <c r="J10" s="116">
        <f>'Revenue Build-up'!J11</f>
        <v>42053.086910841746</v>
      </c>
      <c r="K10" s="116">
        <f>'Revenue Build-up'!K11</f>
        <v>60686.737509200357</v>
      </c>
      <c r="L10" s="116">
        <f>'Revenue Build-up'!L11</f>
        <v>83543.398313518745</v>
      </c>
      <c r="M10" s="116">
        <f>'Revenue Build-up'!M11</f>
        <v>110288.85731586289</v>
      </c>
      <c r="N10" s="116">
        <f>'Revenue Build-up'!N11</f>
        <v>140300.41113827375</v>
      </c>
      <c r="O10" s="116">
        <f>'Revenue Build-up'!O11</f>
        <v>172751.90647750869</v>
      </c>
      <c r="P10" s="116">
        <f>'Revenue Build-up'!P11</f>
        <v>206715.80577084492</v>
      </c>
      <c r="Q10" s="116">
        <f>'Revenue Build-up'!Q11</f>
        <v>241260.97351918186</v>
      </c>
      <c r="R10" s="116">
        <f>'Revenue Build-up'!R11</f>
        <v>275531.40898360097</v>
      </c>
    </row>
    <row r="11" spans="2:18" x14ac:dyDescent="0.25">
      <c r="B11" t="s">
        <v>146</v>
      </c>
      <c r="D11" s="116">
        <f>'Cost Build-up'!D19</f>
        <v>1534</v>
      </c>
      <c r="E11" s="116">
        <f>'Cost Build-up'!E19</f>
        <v>2481.54</v>
      </c>
      <c r="F11" s="116">
        <f>'Cost Build-up'!F19</f>
        <v>4719.74</v>
      </c>
      <c r="G11" s="116">
        <f>'Cost Build-up'!G19</f>
        <v>6958.89</v>
      </c>
      <c r="H11" s="116">
        <f>'Cost Build-up'!H19</f>
        <v>9689.14</v>
      </c>
      <c r="I11" s="116">
        <f>'Cost Build-up'!I19</f>
        <v>15721.920945028645</v>
      </c>
      <c r="J11" s="116">
        <f>'Cost Build-up'!J19</f>
        <v>23917.634090563504</v>
      </c>
      <c r="K11" s="116">
        <f>'Cost Build-up'!K19</f>
        <v>34515.496685712293</v>
      </c>
      <c r="L11" s="116">
        <f>'Cost Build-up'!L19</f>
        <v>47515.19040163004</v>
      </c>
      <c r="M11" s="116">
        <f>'Cost Build-up'!M19</f>
        <v>62726.632628414969</v>
      </c>
      <c r="N11" s="116">
        <f>'Cost Build-up'!N19</f>
        <v>79795.661694830967</v>
      </c>
      <c r="O11" s="116">
        <f>'Cost Build-up'!O19</f>
        <v>98252.404070510049</v>
      </c>
      <c r="P11" s="116">
        <f>'Cost Build-up'!P19</f>
        <v>117569.32406996282</v>
      </c>
      <c r="Q11" s="116">
        <f>'Cost Build-up'!Q19</f>
        <v>137216.83968644054</v>
      </c>
      <c r="R11" s="116">
        <f>'Cost Build-up'!R19</f>
        <v>156708.10170247409</v>
      </c>
    </row>
    <row r="12" spans="2:18" x14ac:dyDescent="0.25">
      <c r="B12" s="3" t="s">
        <v>147</v>
      </c>
      <c r="C12" s="3"/>
      <c r="D12" s="117">
        <f>D10-D11</f>
        <v>1058.96</v>
      </c>
      <c r="E12" s="117">
        <f t="shared" ref="E12:R12" si="1">E10-E11</f>
        <v>2016.4800000000005</v>
      </c>
      <c r="F12" s="117">
        <f t="shared" si="1"/>
        <v>3522.2800000000007</v>
      </c>
      <c r="G12" s="117">
        <f t="shared" si="1"/>
        <v>5416.2199999999984</v>
      </c>
      <c r="H12" s="117">
        <f t="shared" si="1"/>
        <v>7445.4700000000012</v>
      </c>
      <c r="I12" s="117">
        <f t="shared" si="1"/>
        <v>11921.085273865136</v>
      </c>
      <c r="J12" s="117">
        <f t="shared" si="1"/>
        <v>18135.452820278242</v>
      </c>
      <c r="K12" s="117">
        <f t="shared" si="1"/>
        <v>26171.240823488064</v>
      </c>
      <c r="L12" s="117">
        <f t="shared" si="1"/>
        <v>36028.207911888705</v>
      </c>
      <c r="M12" s="117">
        <f t="shared" si="1"/>
        <v>47562.224687447917</v>
      </c>
      <c r="N12" s="117">
        <f t="shared" si="1"/>
        <v>60504.749443442779</v>
      </c>
      <c r="O12" s="117">
        <f t="shared" si="1"/>
        <v>74499.502406998639</v>
      </c>
      <c r="P12" s="117">
        <f t="shared" si="1"/>
        <v>89146.481700882097</v>
      </c>
      <c r="Q12" s="117">
        <f t="shared" si="1"/>
        <v>104044.13383274133</v>
      </c>
      <c r="R12" s="117">
        <f t="shared" si="1"/>
        <v>118823.30728112688</v>
      </c>
    </row>
    <row r="13" spans="2:18" x14ac:dyDescent="0.25">
      <c r="B13" s="20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</row>
    <row r="14" spans="2:18" x14ac:dyDescent="0.25">
      <c r="B14" t="s">
        <v>6</v>
      </c>
      <c r="D14" s="116">
        <f>'Cost Build-up'!D26+'Cost Build-up'!D28</f>
        <v>887.06000000000006</v>
      </c>
      <c r="E14" s="116">
        <f>'Cost Build-up'!E26+'Cost Build-up'!E28</f>
        <v>1442.6100000000001</v>
      </c>
      <c r="F14" s="116">
        <f>'Cost Build-up'!F26+'Cost Build-up'!F28</f>
        <v>2448.63</v>
      </c>
      <c r="G14" s="116">
        <f>'Cost Build-up'!G26+'Cost Build-up'!G28</f>
        <v>3494.09</v>
      </c>
      <c r="H14" s="116">
        <f>'Cost Build-up'!H26+'Cost Build-up'!H28</f>
        <v>4687.0200000000004</v>
      </c>
      <c r="I14" s="116">
        <f>'Cost Build-up'!I26+'Cost Build-up'!I28</f>
        <v>8380.2794645965532</v>
      </c>
      <c r="J14" s="116">
        <f>'Cost Build-up'!J26+'Cost Build-up'!J28</f>
        <v>12748.85292399736</v>
      </c>
      <c r="K14" s="116">
        <f>'Cost Build-up'!K26+'Cost Build-up'!K28</f>
        <v>18397.84776281345</v>
      </c>
      <c r="L14" s="116">
        <f>'Cost Build-up'!L26+'Cost Build-up'!L28</f>
        <v>25327.094301735779</v>
      </c>
      <c r="M14" s="116">
        <f>'Cost Build-up'!M26+'Cost Build-up'!M28</f>
        <v>33435.272517727339</v>
      </c>
      <c r="N14" s="116">
        <f>'Cost Build-up'!N26+'Cost Build-up'!N28</f>
        <v>42533.603075808322</v>
      </c>
      <c r="O14" s="116">
        <f>'Cost Build-up'!O26+'Cost Build-up'!O28</f>
        <v>52371.628572505702</v>
      </c>
      <c r="P14" s="116">
        <f>'Cost Build-up'!P26+'Cost Build-up'!P28</f>
        <v>62668.155857987076</v>
      </c>
      <c r="Q14" s="116">
        <f>'Cost Build-up'!Q26+'Cost Build-up'!Q28</f>
        <v>73140.901028682783</v>
      </c>
      <c r="R14" s="116">
        <f>'Cost Build-up'!R26+'Cost Build-up'!R28</f>
        <v>83530.358104771585</v>
      </c>
    </row>
    <row r="15" spans="2:18" x14ac:dyDescent="0.25">
      <c r="B15" s="3" t="s">
        <v>148</v>
      </c>
      <c r="C15" s="3"/>
      <c r="D15" s="117">
        <f>D12-D14</f>
        <v>171.89999999999998</v>
      </c>
      <c r="E15" s="117">
        <f t="shared" ref="E15:R15" si="2">E12-E14</f>
        <v>573.87000000000035</v>
      </c>
      <c r="F15" s="117">
        <f t="shared" si="2"/>
        <v>1073.6500000000005</v>
      </c>
      <c r="G15" s="117">
        <f t="shared" si="2"/>
        <v>1922.1299999999983</v>
      </c>
      <c r="H15" s="117">
        <f t="shared" si="2"/>
        <v>2758.4500000000007</v>
      </c>
      <c r="I15" s="117">
        <f t="shared" si="2"/>
        <v>3540.8058092685824</v>
      </c>
      <c r="J15" s="117">
        <f t="shared" si="2"/>
        <v>5386.5998962808826</v>
      </c>
      <c r="K15" s="117">
        <f t="shared" si="2"/>
        <v>7773.3930606746144</v>
      </c>
      <c r="L15" s="117">
        <f t="shared" si="2"/>
        <v>10701.113610152926</v>
      </c>
      <c r="M15" s="117">
        <f t="shared" si="2"/>
        <v>14126.952169720578</v>
      </c>
      <c r="N15" s="117">
        <f t="shared" si="2"/>
        <v>17971.146367634457</v>
      </c>
      <c r="O15" s="117">
        <f t="shared" si="2"/>
        <v>22127.873834492937</v>
      </c>
      <c r="P15" s="117">
        <f t="shared" si="2"/>
        <v>26478.325842895021</v>
      </c>
      <c r="Q15" s="117">
        <f t="shared" si="2"/>
        <v>30903.232804058542</v>
      </c>
      <c r="R15" s="117">
        <f t="shared" si="2"/>
        <v>35292.949176355294</v>
      </c>
    </row>
    <row r="16" spans="2:18" x14ac:dyDescent="0.25">
      <c r="B16" s="20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</row>
    <row r="17" spans="2:18" x14ac:dyDescent="0.25">
      <c r="B17" t="s">
        <v>11</v>
      </c>
      <c r="D17" s="116">
        <f>'p&amp;l'!D17</f>
        <v>257.3</v>
      </c>
      <c r="E17" s="116">
        <f>'p&amp;l'!E17</f>
        <v>310.82</v>
      </c>
      <c r="F17" s="116">
        <f>'p&amp;l'!F17</f>
        <v>493.69</v>
      </c>
      <c r="G17" s="116">
        <f>'p&amp;l'!G17</f>
        <v>671.11</v>
      </c>
      <c r="H17" s="116">
        <f>'p&amp;l'!H17</f>
        <v>895.18</v>
      </c>
      <c r="I17" s="116">
        <f>FAS!I381</f>
        <v>525.60199999999986</v>
      </c>
      <c r="J17" s="116">
        <f>FAS!J381</f>
        <v>525.60199999999986</v>
      </c>
      <c r="K17" s="116">
        <f>FAS!K381</f>
        <v>525.60199999999986</v>
      </c>
      <c r="L17" s="116">
        <f>FAS!L381</f>
        <v>525.62903999999992</v>
      </c>
      <c r="M17" s="116">
        <f>FAS!M381</f>
        <v>525.62903999999992</v>
      </c>
      <c r="N17" s="116">
        <f>FAS!N381</f>
        <v>525.62903999999992</v>
      </c>
      <c r="O17" s="116">
        <f>FAS!O381</f>
        <v>525.65716159999988</v>
      </c>
      <c r="P17" s="116">
        <f>FAS!P381</f>
        <v>525.65716159999988</v>
      </c>
      <c r="Q17" s="116">
        <f>FAS!Q381</f>
        <v>525.65716159999988</v>
      </c>
      <c r="R17" s="116">
        <f>FAS!R381</f>
        <v>525.68640806399992</v>
      </c>
    </row>
    <row r="18" spans="2:18" x14ac:dyDescent="0.25">
      <c r="B18" s="3" t="s">
        <v>151</v>
      </c>
      <c r="C18" s="3"/>
      <c r="D18" s="117">
        <f>D15-D17</f>
        <v>-85.400000000000034</v>
      </c>
      <c r="E18" s="117">
        <f t="shared" ref="E18:R18" si="3">E15-E17</f>
        <v>263.05000000000035</v>
      </c>
      <c r="F18" s="117">
        <f t="shared" si="3"/>
        <v>579.96000000000049</v>
      </c>
      <c r="G18" s="117">
        <f t="shared" si="3"/>
        <v>1251.0199999999982</v>
      </c>
      <c r="H18" s="117">
        <f t="shared" si="3"/>
        <v>1863.2700000000009</v>
      </c>
      <c r="I18" s="117">
        <f t="shared" si="3"/>
        <v>3015.2038092685825</v>
      </c>
      <c r="J18" s="117">
        <f t="shared" si="3"/>
        <v>4860.9978962808827</v>
      </c>
      <c r="K18" s="117">
        <f t="shared" si="3"/>
        <v>7247.7910606746145</v>
      </c>
      <c r="L18" s="117">
        <f t="shared" si="3"/>
        <v>10175.484570152927</v>
      </c>
      <c r="M18" s="117">
        <f t="shared" si="3"/>
        <v>13601.323129720578</v>
      </c>
      <c r="N18" s="117">
        <f t="shared" si="3"/>
        <v>17445.517327634458</v>
      </c>
      <c r="O18" s="117">
        <f t="shared" si="3"/>
        <v>21602.216672892937</v>
      </c>
      <c r="P18" s="117">
        <f t="shared" si="3"/>
        <v>25952.668681295021</v>
      </c>
      <c r="Q18" s="117">
        <f t="shared" si="3"/>
        <v>30377.575642458542</v>
      </c>
      <c r="R18" s="117">
        <f t="shared" si="3"/>
        <v>34767.262768291293</v>
      </c>
    </row>
    <row r="19" spans="2:18" x14ac:dyDescent="0.25">
      <c r="B19" s="20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</row>
    <row r="20" spans="2:18" x14ac:dyDescent="0.25">
      <c r="B20" t="s">
        <v>153</v>
      </c>
      <c r="D20" s="116">
        <f>'Cost Build-up'!D33</f>
        <v>248.65</v>
      </c>
      <c r="E20" s="116">
        <f>'Cost Build-up'!E33</f>
        <v>304.74</v>
      </c>
      <c r="F20" s="116">
        <f>'Cost Build-up'!F33</f>
        <v>369.22</v>
      </c>
      <c r="G20" s="116">
        <f>'Cost Build-up'!G33</f>
        <v>319.10000000000002</v>
      </c>
      <c r="H20" s="116">
        <f>'Cost Build-up'!H33</f>
        <v>138.59</v>
      </c>
      <c r="I20" s="116">
        <f>'Cost Build-up'!I33</f>
        <v>126.29098593635491</v>
      </c>
      <c r="J20" s="116">
        <f>'Cost Build-up'!J33</f>
        <v>192.12547888541332</v>
      </c>
      <c r="K20" s="116">
        <f>'Cost Build-up'!K33</f>
        <v>277.25594866955066</v>
      </c>
      <c r="L20" s="116">
        <f>'Cost Build-up'!L33</f>
        <v>381.6798382180487</v>
      </c>
      <c r="M20" s="116">
        <f>'Cost Build-up'!M33</f>
        <v>503.87025267513343</v>
      </c>
      <c r="N20" s="116">
        <f>'Cost Build-up'!N33</f>
        <v>640.98228353390755</v>
      </c>
      <c r="O20" s="116">
        <f>'Cost Build-up'!O33</f>
        <v>789.24153251167718</v>
      </c>
      <c r="P20" s="116">
        <f>'Cost Build-up'!P33</f>
        <v>944.41041298846028</v>
      </c>
      <c r="Q20" s="116">
        <f>'Cost Build-up'!Q33</f>
        <v>1102.2349006627544</v>
      </c>
      <c r="R20" s="116">
        <f>'Cost Build-up'!R33</f>
        <v>1258.8042350179855</v>
      </c>
    </row>
    <row r="21" spans="2:18" x14ac:dyDescent="0.25">
      <c r="B21" t="s">
        <v>4</v>
      </c>
      <c r="D21" s="116">
        <f>'Revenue Build-up'!D16</f>
        <v>201.6</v>
      </c>
      <c r="E21" s="116">
        <f>'Revenue Build-up'!E16</f>
        <v>175.21</v>
      </c>
      <c r="F21" s="116">
        <f>'Revenue Build-up'!F16</f>
        <v>260.92</v>
      </c>
      <c r="G21" s="116">
        <f>'Revenue Build-up'!G16</f>
        <v>289.27</v>
      </c>
      <c r="H21" s="116">
        <f>'Revenue Build-up'!H16</f>
        <v>218.56</v>
      </c>
      <c r="I21" s="116">
        <f>'Revenue Build-up'!I16</f>
        <v>1019.9693216247924</v>
      </c>
      <c r="J21" s="116">
        <f>'Revenue Build-up'!J16</f>
        <v>1551.6712686394708</v>
      </c>
      <c r="K21" s="116">
        <f>'Revenue Build-up'!K16</f>
        <v>2239.2141433073843</v>
      </c>
      <c r="L21" s="116">
        <f>'Revenue Build-up'!L16</f>
        <v>3082.5772938483083</v>
      </c>
      <c r="M21" s="116">
        <f>'Revenue Build-up'!M16</f>
        <v>4069.4289936652149</v>
      </c>
      <c r="N21" s="116">
        <f>'Revenue Build-up'!N16</f>
        <v>5176.7927858213679</v>
      </c>
      <c r="O21" s="116">
        <f>'Revenue Build-up'!O16</f>
        <v>6374.1853351254413</v>
      </c>
      <c r="P21" s="116">
        <f>'Revenue Build-up'!P16</f>
        <v>7627.3824384954542</v>
      </c>
      <c r="Q21" s="116">
        <f>'Revenue Build-up'!Q16</f>
        <v>8902.0271364951604</v>
      </c>
      <c r="R21" s="116">
        <f>'Revenue Build-up'!R16</f>
        <v>10166.534785758664</v>
      </c>
    </row>
    <row r="22" spans="2:18" x14ac:dyDescent="0.25">
      <c r="B22" t="s">
        <v>15</v>
      </c>
      <c r="D22" s="116">
        <f>'Cost Build-up'!D30</f>
        <v>-1.01</v>
      </c>
      <c r="E22" s="116">
        <f>'Cost Build-up'!E30</f>
        <v>-27.44</v>
      </c>
      <c r="F22" s="116">
        <f>'Cost Build-up'!F30</f>
        <v>-3</v>
      </c>
      <c r="G22" s="116">
        <f>'Cost Build-up'!G30</f>
        <v>576.07000000000005</v>
      </c>
      <c r="H22" s="116">
        <f>'Cost Build-up'!H30</f>
        <v>0</v>
      </c>
      <c r="I22" s="116">
        <f>'Cost Build-up'!I30</f>
        <v>219.46739459924069</v>
      </c>
      <c r="J22" s="116">
        <f>'Cost Build-up'!J30</f>
        <v>333.87401305396827</v>
      </c>
      <c r="K22" s="116">
        <f>'Cost Build-up'!K30</f>
        <v>481.81301492342556</v>
      </c>
      <c r="L22" s="116">
        <f>'Cost Build-up'!L30</f>
        <v>663.27995655200084</v>
      </c>
      <c r="M22" s="116">
        <f>'Cost Build-up'!M30</f>
        <v>875.62141312604535</v>
      </c>
      <c r="N22" s="116">
        <f>'Cost Build-up'!N30</f>
        <v>1113.8935269881597</v>
      </c>
      <c r="O22" s="116">
        <f>'Cost Build-up'!O30</f>
        <v>1371.5371811028642</v>
      </c>
      <c r="P22" s="116">
        <f>'Cost Build-up'!P30</f>
        <v>1641.1883337059687</v>
      </c>
      <c r="Q22" s="116">
        <f>'Cost Build-up'!Q30</f>
        <v>1915.4543777710062</v>
      </c>
      <c r="R22" s="116">
        <f>'Cost Build-up'!R30</f>
        <v>2187.5392271394071</v>
      </c>
    </row>
    <row r="23" spans="2:18" x14ac:dyDescent="0.25">
      <c r="B23" s="3" t="s">
        <v>154</v>
      </c>
      <c r="C23" s="3"/>
      <c r="D23" s="117">
        <f>D18-D20+D21+D22</f>
        <v>-133.46000000000006</v>
      </c>
      <c r="E23" s="117">
        <f t="shared" ref="E23:J23" si="4">E18-E20+E21+E22</f>
        <v>106.08000000000035</v>
      </c>
      <c r="F23" s="117">
        <f t="shared" si="4"/>
        <v>468.66000000000048</v>
      </c>
      <c r="G23" s="117">
        <f t="shared" si="4"/>
        <v>1797.2599999999984</v>
      </c>
      <c r="H23" s="117">
        <f t="shared" si="4"/>
        <v>1943.2400000000009</v>
      </c>
      <c r="I23" s="117">
        <f t="shared" si="4"/>
        <v>4128.3495395562604</v>
      </c>
      <c r="J23" s="117">
        <f t="shared" si="4"/>
        <v>6554.4176990889082</v>
      </c>
      <c r="K23" s="117">
        <f t="shared" ref="K23:R23" si="5">K18-K20+K21+K22</f>
        <v>9691.5622702358742</v>
      </c>
      <c r="L23" s="117">
        <f t="shared" si="5"/>
        <v>13539.661982335187</v>
      </c>
      <c r="M23" s="117">
        <f t="shared" si="5"/>
        <v>18042.503283836708</v>
      </c>
      <c r="N23" s="117">
        <f t="shared" si="5"/>
        <v>23095.221356910075</v>
      </c>
      <c r="O23" s="117">
        <f t="shared" si="5"/>
        <v>28558.697656609565</v>
      </c>
      <c r="P23" s="117">
        <f t="shared" si="5"/>
        <v>34276.829040507982</v>
      </c>
      <c r="Q23" s="117">
        <f t="shared" si="5"/>
        <v>40092.822256061954</v>
      </c>
      <c r="R23" s="117">
        <f t="shared" si="5"/>
        <v>45862.53254617138</v>
      </c>
    </row>
    <row r="24" spans="2:18" x14ac:dyDescent="0.25">
      <c r="B24" s="20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</row>
    <row r="25" spans="2:18" x14ac:dyDescent="0.25">
      <c r="B25" t="s">
        <v>155</v>
      </c>
      <c r="D25" s="116">
        <f>'p&amp;l'!D25</f>
        <v>-23.69</v>
      </c>
      <c r="E25" s="116">
        <f>'p&amp;l'!E25</f>
        <v>76.62</v>
      </c>
      <c r="F25" s="116">
        <f>'p&amp;l'!F25</f>
        <v>158.44</v>
      </c>
      <c r="G25" s="116">
        <f>'p&amp;l'!G25</f>
        <v>443.37</v>
      </c>
      <c r="H25" s="116">
        <f>'p&amp;l'!H25</f>
        <v>495.33</v>
      </c>
      <c r="I25" s="116">
        <f>I23*'Cost Build-up'!I36</f>
        <v>1332.6916387591323</v>
      </c>
      <c r="J25" s="116">
        <f>J23*'Cost Build-up'!J36</f>
        <v>2115.8619396964991</v>
      </c>
      <c r="K25" s="116">
        <f>K23*'Cost Build-up'!K36</f>
        <v>3128.5781110107014</v>
      </c>
      <c r="L25" s="116">
        <f>L23*'Cost Build-up'!L36</f>
        <v>4370.8010047575817</v>
      </c>
      <c r="M25" s="116">
        <f>M23*'Cost Build-up'!M36</f>
        <v>5824.384063961279</v>
      </c>
      <c r="N25" s="116">
        <f>N23*'Cost Build-up'!N36</f>
        <v>7455.4753910090876</v>
      </c>
      <c r="O25" s="116">
        <f>O23*'Cost Build-up'!O36</f>
        <v>9219.1654839634775</v>
      </c>
      <c r="P25" s="116">
        <f>P23*'Cost Build-up'!P36</f>
        <v>11065.061964295592</v>
      </c>
      <c r="Q25" s="116">
        <f>Q23*'Cost Build-up'!Q36</f>
        <v>12942.549675833152</v>
      </c>
      <c r="R25" s="116">
        <f>R23*'Cost Build-up'!R36</f>
        <v>14805.096581809976</v>
      </c>
    </row>
    <row r="26" spans="2:18" x14ac:dyDescent="0.25">
      <c r="B26" s="22" t="s">
        <v>156</v>
      </c>
      <c r="D26" s="116">
        <f>'Revenue Build-up'!D19</f>
        <v>-71.36</v>
      </c>
      <c r="E26" s="116">
        <f>'Revenue Build-up'!E19</f>
        <v>5.14</v>
      </c>
      <c r="F26" s="116">
        <f>'Revenue Build-up'!F19</f>
        <v>83.47</v>
      </c>
      <c r="G26" s="116">
        <f>'Revenue Build-up'!G19</f>
        <v>123.57</v>
      </c>
      <c r="H26" s="116">
        <f>'Revenue Build-up'!H19</f>
        <v>86.5</v>
      </c>
      <c r="I26" s="116">
        <f>'Revenue Build-up'!I19</f>
        <v>139.54913697681548</v>
      </c>
      <c r="J26" s="116">
        <f>'Revenue Build-up'!J19</f>
        <v>212.29499929019752</v>
      </c>
      <c r="K26" s="116">
        <f>'Revenue Build-up'!K19</f>
        <v>306.36254893142188</v>
      </c>
      <c r="L26" s="116">
        <f>'Revenue Build-up'!L19</f>
        <v>421.74896038598905</v>
      </c>
      <c r="M26" s="116">
        <f>'Revenue Build-up'!M19</f>
        <v>556.76704388498717</v>
      </c>
      <c r="N26" s="116">
        <f>'Revenue Build-up'!N19</f>
        <v>708.27322964810287</v>
      </c>
      <c r="O26" s="116">
        <f>'Revenue Build-up'!O19</f>
        <v>872.09687937481522</v>
      </c>
      <c r="P26" s="116">
        <f>'Revenue Build-up'!P19</f>
        <v>1043.555540463313</v>
      </c>
      <c r="Q26" s="116">
        <f>'Revenue Build-up'!Q19</f>
        <v>1217.9485969864054</v>
      </c>
      <c r="R26" s="116">
        <f>'Revenue Build-up'!R19</f>
        <v>1390.9547329692059</v>
      </c>
    </row>
    <row r="27" spans="2:18" ht="15.75" thickBot="1" x14ac:dyDescent="0.3">
      <c r="B27" s="10" t="s">
        <v>157</v>
      </c>
      <c r="C27" s="10"/>
      <c r="D27" s="118">
        <f>D23-D25+D26</f>
        <v>-181.13000000000005</v>
      </c>
      <c r="E27" s="118">
        <f t="shared" ref="E27:P27" si="6">E23-E25+E26</f>
        <v>34.60000000000035</v>
      </c>
      <c r="F27" s="118">
        <f t="shared" si="6"/>
        <v>393.69000000000051</v>
      </c>
      <c r="G27" s="118">
        <f t="shared" si="6"/>
        <v>1477.4599999999984</v>
      </c>
      <c r="H27" s="118">
        <f t="shared" si="6"/>
        <v>1534.410000000001</v>
      </c>
      <c r="I27" s="118">
        <f t="shared" si="6"/>
        <v>2935.2070377739437</v>
      </c>
      <c r="J27" s="118">
        <f t="shared" si="6"/>
        <v>4650.8507586826072</v>
      </c>
      <c r="K27" s="118">
        <f t="shared" si="6"/>
        <v>6869.3467081565941</v>
      </c>
      <c r="L27" s="118">
        <f t="shared" si="6"/>
        <v>9590.6099379635943</v>
      </c>
      <c r="M27" s="118">
        <f t="shared" si="6"/>
        <v>12774.886263760416</v>
      </c>
      <c r="N27" s="118">
        <f t="shared" si="6"/>
        <v>16348.01919554909</v>
      </c>
      <c r="O27" s="118">
        <f t="shared" si="6"/>
        <v>20211.629052020904</v>
      </c>
      <c r="P27" s="118">
        <f t="shared" si="6"/>
        <v>24255.322616675701</v>
      </c>
      <c r="Q27" s="118">
        <f>Q23-Q25+Q26</f>
        <v>28368.221177215208</v>
      </c>
      <c r="R27" s="118">
        <f>R23-R25+R26</f>
        <v>32448.390697330611</v>
      </c>
    </row>
    <row r="28" spans="2:18" x14ac:dyDescent="0.25">
      <c r="B28" s="20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</row>
    <row r="29" spans="2:18" x14ac:dyDescent="0.25"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</row>
    <row r="30" spans="2:18" ht="15.75" thickBot="1" x14ac:dyDescent="0.3">
      <c r="B30" s="162" t="s">
        <v>123</v>
      </c>
      <c r="C30" s="162"/>
      <c r="D30" s="168">
        <v>-35.54</v>
      </c>
      <c r="E30" s="168">
        <v>-42.72</v>
      </c>
      <c r="F30" s="168">
        <v>-39.26</v>
      </c>
      <c r="G30" s="168">
        <v>-78.27</v>
      </c>
      <c r="H30" s="168">
        <v>-113.59</v>
      </c>
      <c r="I30" s="168">
        <f>-I31*I27</f>
        <v>-217.28883898093866</v>
      </c>
      <c r="J30" s="168">
        <f t="shared" ref="J30:R30" si="7">-J31*J27</f>
        <v>-344.29529114041037</v>
      </c>
      <c r="K30" s="168">
        <f t="shared" si="7"/>
        <v>-508.52711633755456</v>
      </c>
      <c r="L30" s="168">
        <f t="shared" si="7"/>
        <v>-709.97802598606893</v>
      </c>
      <c r="M30" s="168">
        <f t="shared" si="7"/>
        <v>-945.70507928164238</v>
      </c>
      <c r="N30" s="168">
        <f t="shared" si="7"/>
        <v>-1210.2185859205949</v>
      </c>
      <c r="O30" s="168">
        <f t="shared" si="7"/>
        <v>-1496.235650197179</v>
      </c>
      <c r="P30" s="168">
        <f t="shared" si="7"/>
        <v>-1795.5840329691487</v>
      </c>
      <c r="Q30" s="168">
        <f t="shared" si="7"/>
        <v>-2100.0555545909333</v>
      </c>
      <c r="R30" s="168">
        <f t="shared" si="7"/>
        <v>-2402.1041959513964</v>
      </c>
    </row>
    <row r="31" spans="2:18" x14ac:dyDescent="0.25">
      <c r="B31" s="169" t="s">
        <v>327</v>
      </c>
      <c r="D31" s="153">
        <f>D30/D27</f>
        <v>0.19621266493678569</v>
      </c>
      <c r="E31" s="153">
        <f>-E30/E27</f>
        <v>1.2346820809248429</v>
      </c>
      <c r="F31" s="153">
        <f>-F30/F27</f>
        <v>9.9723132413828006E-2</v>
      </c>
      <c r="G31" s="153">
        <f>-G30/G27</f>
        <v>5.2976053497218255E-2</v>
      </c>
      <c r="H31" s="153">
        <f>-H30/H27</f>
        <v>7.4028453933433658E-2</v>
      </c>
      <c r="I31" s="153">
        <f>H31</f>
        <v>7.4028453933433658E-2</v>
      </c>
      <c r="J31" s="167">
        <f>I31</f>
        <v>7.4028453933433658E-2</v>
      </c>
      <c r="K31" s="167">
        <f t="shared" ref="K31:R31" si="8">J31</f>
        <v>7.4028453933433658E-2</v>
      </c>
      <c r="L31" s="167">
        <f t="shared" si="8"/>
        <v>7.4028453933433658E-2</v>
      </c>
      <c r="M31" s="167">
        <f t="shared" si="8"/>
        <v>7.4028453933433658E-2</v>
      </c>
      <c r="N31" s="167">
        <f t="shared" si="8"/>
        <v>7.4028453933433658E-2</v>
      </c>
      <c r="O31" s="167">
        <f t="shared" si="8"/>
        <v>7.4028453933433658E-2</v>
      </c>
      <c r="P31" s="167">
        <f t="shared" si="8"/>
        <v>7.4028453933433658E-2</v>
      </c>
      <c r="Q31" s="167">
        <f t="shared" si="8"/>
        <v>7.4028453933433658E-2</v>
      </c>
      <c r="R31" s="167">
        <f t="shared" si="8"/>
        <v>7.4028453933433658E-2</v>
      </c>
    </row>
    <row r="33" spans="2:18" x14ac:dyDescent="0.2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79"/>
  <sheetViews>
    <sheetView showGridLines="0" topLeftCell="A66" workbookViewId="0">
      <selection activeCell="B79" sqref="B79:H79"/>
    </sheetView>
  </sheetViews>
  <sheetFormatPr defaultRowHeight="15" x14ac:dyDescent="0.25"/>
  <cols>
    <col min="1" max="1" width="1.85546875" customWidth="1"/>
    <col min="2" max="2" width="43.42578125" bestFit="1" customWidth="1"/>
  </cols>
  <sheetData>
    <row r="7" spans="2:8" x14ac:dyDescent="0.25">
      <c r="B7" s="147" t="s">
        <v>21</v>
      </c>
      <c r="C7" s="148"/>
      <c r="D7" s="148"/>
      <c r="E7" s="148"/>
      <c r="F7" s="148"/>
      <c r="G7" s="148"/>
      <c r="H7" s="148"/>
    </row>
    <row r="8" spans="2:8" ht="15.75" thickBot="1" x14ac:dyDescent="0.3">
      <c r="B8" s="122" t="s">
        <v>0</v>
      </c>
      <c r="C8" s="122"/>
      <c r="D8" s="122">
        <v>2021</v>
      </c>
      <c r="E8" s="122">
        <f>D8+1</f>
        <v>2022</v>
      </c>
      <c r="F8" s="122">
        <f>E8+1</f>
        <v>2023</v>
      </c>
      <c r="G8" s="122">
        <f>F8+1</f>
        <v>2024</v>
      </c>
      <c r="H8" s="122">
        <f>G8+1</f>
        <v>2025</v>
      </c>
    </row>
    <row r="9" spans="2:8" x14ac:dyDescent="0.25">
      <c r="B9" s="1" t="s">
        <v>22</v>
      </c>
    </row>
    <row r="10" spans="2:8" x14ac:dyDescent="0.25">
      <c r="B10" s="1" t="s">
        <v>23</v>
      </c>
    </row>
    <row r="11" spans="2:8" x14ac:dyDescent="0.25">
      <c r="B11" t="s">
        <v>24</v>
      </c>
      <c r="D11" s="144">
        <v>640.45000000000005</v>
      </c>
      <c r="E11" s="144">
        <v>724.94</v>
      </c>
      <c r="F11" s="144">
        <v>871.18</v>
      </c>
      <c r="G11" s="144">
        <v>1146.32</v>
      </c>
      <c r="H11" s="144">
        <v>2068.2399999999998</v>
      </c>
    </row>
    <row r="12" spans="2:8" x14ac:dyDescent="0.25">
      <c r="B12" t="s">
        <v>25</v>
      </c>
      <c r="D12" s="144">
        <v>107.98</v>
      </c>
      <c r="E12" s="144">
        <v>104.72</v>
      </c>
      <c r="F12" s="144">
        <v>101.72</v>
      </c>
      <c r="G12" s="144">
        <v>223.78</v>
      </c>
      <c r="H12" s="144">
        <v>179.5</v>
      </c>
    </row>
    <row r="13" spans="2:8" x14ac:dyDescent="0.25">
      <c r="B13" t="s">
        <v>26</v>
      </c>
      <c r="D13" s="144">
        <v>28.11</v>
      </c>
      <c r="E13" s="144">
        <v>27.84</v>
      </c>
      <c r="F13" s="144">
        <v>27.13</v>
      </c>
      <c r="G13" s="144">
        <v>26.91</v>
      </c>
      <c r="H13" s="144">
        <v>26.86</v>
      </c>
    </row>
    <row r="14" spans="2:8" x14ac:dyDescent="0.25">
      <c r="B14" t="s">
        <v>27</v>
      </c>
      <c r="D14" s="144">
        <v>27.19</v>
      </c>
      <c r="E14" s="144">
        <v>27.19</v>
      </c>
      <c r="F14" s="144">
        <v>27.19</v>
      </c>
      <c r="G14" s="144">
        <v>27.19</v>
      </c>
      <c r="H14" s="144">
        <v>27.19</v>
      </c>
    </row>
    <row r="15" spans="2:8" x14ac:dyDescent="0.25">
      <c r="B15" t="s">
        <v>28</v>
      </c>
      <c r="D15" s="144">
        <v>39.58</v>
      </c>
      <c r="E15" s="144">
        <v>42.53</v>
      </c>
      <c r="F15" s="144">
        <v>51.21</v>
      </c>
      <c r="G15" s="144">
        <v>47.37</v>
      </c>
      <c r="H15" s="144">
        <v>46.09</v>
      </c>
    </row>
    <row r="16" spans="2:8" x14ac:dyDescent="0.25">
      <c r="B16" t="s">
        <v>29</v>
      </c>
      <c r="D16" s="144">
        <v>2318.4899999999998</v>
      </c>
      <c r="E16" s="144">
        <v>3864.21</v>
      </c>
      <c r="F16" s="144">
        <v>3550.24</v>
      </c>
      <c r="G16" s="144">
        <v>1202.1300000000001</v>
      </c>
      <c r="H16" s="144">
        <v>1726.75</v>
      </c>
    </row>
    <row r="17" spans="2:9" x14ac:dyDescent="0.25">
      <c r="B17" s="1" t="s">
        <v>30</v>
      </c>
      <c r="D17" s="144"/>
      <c r="E17" s="144"/>
      <c r="F17" s="144"/>
      <c r="G17" s="144"/>
      <c r="H17" s="144"/>
    </row>
    <row r="18" spans="2:9" x14ac:dyDescent="0.25">
      <c r="B18" s="6" t="s">
        <v>31</v>
      </c>
      <c r="D18" s="144">
        <v>816.63</v>
      </c>
      <c r="E18" s="144">
        <v>757.39</v>
      </c>
      <c r="F18" s="144">
        <v>564.13</v>
      </c>
      <c r="G18" s="144">
        <v>696.26</v>
      </c>
      <c r="H18" s="144">
        <v>845.56</v>
      </c>
    </row>
    <row r="19" spans="2:9" x14ac:dyDescent="0.25">
      <c r="B19" s="6" t="s">
        <v>32</v>
      </c>
      <c r="D19" s="144">
        <v>2.35</v>
      </c>
      <c r="E19" s="144">
        <v>2.13</v>
      </c>
      <c r="F19" s="144">
        <v>1.86</v>
      </c>
      <c r="G19" s="144">
        <v>1.66</v>
      </c>
      <c r="H19" s="144">
        <v>1.35</v>
      </c>
    </row>
    <row r="20" spans="2:9" x14ac:dyDescent="0.25">
      <c r="B20" s="6" t="s">
        <v>33</v>
      </c>
      <c r="D20" s="144">
        <v>72.28</v>
      </c>
      <c r="E20" s="144">
        <v>94.75</v>
      </c>
      <c r="F20" s="144">
        <v>136.71</v>
      </c>
      <c r="G20" s="144">
        <v>447.7</v>
      </c>
      <c r="H20" s="144">
        <v>616.75</v>
      </c>
    </row>
    <row r="21" spans="2:9" x14ac:dyDescent="0.25">
      <c r="B21" t="s">
        <v>34</v>
      </c>
      <c r="D21" s="144">
        <v>114.52</v>
      </c>
      <c r="E21" s="144">
        <v>126.35</v>
      </c>
      <c r="F21" s="144">
        <v>156.05000000000001</v>
      </c>
      <c r="G21" s="144">
        <v>54.43</v>
      </c>
      <c r="H21" s="144">
        <v>43.47</v>
      </c>
    </row>
    <row r="22" spans="2:9" x14ac:dyDescent="0.25">
      <c r="B22" t="s">
        <v>35</v>
      </c>
      <c r="D22" s="144">
        <v>152.80000000000001</v>
      </c>
      <c r="E22" s="144">
        <v>170.51</v>
      </c>
      <c r="F22" s="144">
        <v>216.33</v>
      </c>
      <c r="G22" s="144">
        <v>178.15</v>
      </c>
      <c r="H22" s="144">
        <v>164.43</v>
      </c>
    </row>
    <row r="23" spans="2:9" x14ac:dyDescent="0.25">
      <c r="B23" s="3" t="s">
        <v>36</v>
      </c>
      <c r="C23" s="3"/>
      <c r="D23" s="117">
        <f>SUM(D11:D22)</f>
        <v>4320.380000000001</v>
      </c>
      <c r="E23" s="117">
        <f>SUM(E11:E22)</f>
        <v>5942.5600000000013</v>
      </c>
      <c r="F23" s="117">
        <f>SUM(F11:F22)</f>
        <v>5703.75</v>
      </c>
      <c r="G23" s="117">
        <f>SUM(G11:G22)</f>
        <v>4051.8999999999996</v>
      </c>
      <c r="H23" s="117">
        <f>SUM(H11:H22)</f>
        <v>5746.1900000000014</v>
      </c>
      <c r="I23" s="3"/>
    </row>
    <row r="24" spans="2:9" x14ac:dyDescent="0.25">
      <c r="D24" s="116"/>
      <c r="E24" s="116"/>
      <c r="F24" s="116"/>
      <c r="G24" s="116"/>
      <c r="H24" s="116"/>
    </row>
    <row r="25" spans="2:9" x14ac:dyDescent="0.25">
      <c r="B25" s="1" t="s">
        <v>37</v>
      </c>
      <c r="D25" s="116"/>
      <c r="E25" s="116"/>
      <c r="F25" s="116"/>
      <c r="G25" s="116"/>
      <c r="H25" s="116"/>
    </row>
    <row r="26" spans="2:9" x14ac:dyDescent="0.25">
      <c r="B26" t="s">
        <v>38</v>
      </c>
      <c r="D26" s="144">
        <v>428.39</v>
      </c>
      <c r="E26" s="144">
        <v>867.78</v>
      </c>
      <c r="F26" s="144">
        <v>1361.16</v>
      </c>
      <c r="G26" s="144">
        <v>1582.73</v>
      </c>
      <c r="H26" s="144">
        <v>2045.05</v>
      </c>
    </row>
    <row r="27" spans="2:9" x14ac:dyDescent="0.25">
      <c r="B27" s="1" t="s">
        <v>30</v>
      </c>
      <c r="D27" s="144"/>
      <c r="E27" s="144"/>
      <c r="F27" s="144"/>
      <c r="G27" s="144"/>
      <c r="H27" s="144"/>
    </row>
    <row r="28" spans="2:9" x14ac:dyDescent="0.25">
      <c r="B28" t="s">
        <v>31</v>
      </c>
      <c r="D28" s="144">
        <v>670.66</v>
      </c>
      <c r="E28" s="144">
        <v>526.33000000000004</v>
      </c>
      <c r="F28" s="144">
        <v>545.74</v>
      </c>
      <c r="G28" s="144">
        <v>719.77</v>
      </c>
      <c r="H28" s="144">
        <v>634.69000000000005</v>
      </c>
    </row>
    <row r="29" spans="2:9" x14ac:dyDescent="0.25">
      <c r="B29" s="1" t="s">
        <v>39</v>
      </c>
      <c r="D29" s="144"/>
      <c r="E29" s="144"/>
      <c r="F29" s="144"/>
      <c r="G29" s="144"/>
      <c r="H29" s="144"/>
    </row>
    <row r="30" spans="2:9" x14ac:dyDescent="0.25">
      <c r="B30" t="s">
        <v>40</v>
      </c>
      <c r="D30" s="144">
        <v>20.77</v>
      </c>
      <c r="E30" s="144">
        <v>17.86</v>
      </c>
      <c r="F30" s="144">
        <v>34.39</v>
      </c>
      <c r="G30" s="144">
        <v>81.739999999999995</v>
      </c>
      <c r="H30" s="144">
        <v>62.95</v>
      </c>
    </row>
    <row r="31" spans="2:9" x14ac:dyDescent="0.25">
      <c r="B31" t="s">
        <v>41</v>
      </c>
      <c r="D31" s="144"/>
      <c r="E31" s="144"/>
      <c r="F31" s="144"/>
      <c r="G31" s="144"/>
      <c r="H31" s="144"/>
    </row>
    <row r="32" spans="2:9" x14ac:dyDescent="0.25">
      <c r="B32" t="s">
        <v>42</v>
      </c>
      <c r="D32" s="144">
        <v>75.63</v>
      </c>
      <c r="E32" s="144">
        <v>82.16</v>
      </c>
      <c r="F32" s="144">
        <v>83.23</v>
      </c>
      <c r="G32" s="144">
        <v>294.55</v>
      </c>
      <c r="H32" s="144">
        <v>338.47</v>
      </c>
    </row>
    <row r="33" spans="2:9" x14ac:dyDescent="0.25">
      <c r="B33" t="s">
        <v>43</v>
      </c>
      <c r="D33" s="144">
        <v>5.84</v>
      </c>
      <c r="E33" s="144">
        <v>4.21</v>
      </c>
      <c r="F33" s="144">
        <v>3.07</v>
      </c>
      <c r="G33" s="144">
        <v>3.01</v>
      </c>
      <c r="H33" s="144">
        <v>1.37</v>
      </c>
    </row>
    <row r="34" spans="2:9" x14ac:dyDescent="0.25">
      <c r="B34" s="1" t="s">
        <v>32</v>
      </c>
      <c r="D34" s="144"/>
      <c r="E34" s="144"/>
      <c r="F34" s="144"/>
      <c r="G34" s="144"/>
      <c r="H34" s="144"/>
    </row>
    <row r="35" spans="2:9" x14ac:dyDescent="0.25">
      <c r="B35" t="s">
        <v>44</v>
      </c>
      <c r="D35" s="144">
        <v>25</v>
      </c>
      <c r="E35" s="144">
        <v>25</v>
      </c>
      <c r="F35" s="144">
        <v>15</v>
      </c>
      <c r="G35" s="144">
        <v>15</v>
      </c>
      <c r="H35" s="144">
        <v>15</v>
      </c>
    </row>
    <row r="36" spans="2:9" x14ac:dyDescent="0.25">
      <c r="B36" t="s">
        <v>45</v>
      </c>
      <c r="D36" s="144">
        <v>1.04</v>
      </c>
      <c r="E36" s="144">
        <v>1.44</v>
      </c>
      <c r="F36" s="144">
        <v>2.04</v>
      </c>
      <c r="G36" s="144">
        <v>2.08</v>
      </c>
      <c r="H36" s="144">
        <v>2.97</v>
      </c>
    </row>
    <row r="37" spans="2:9" x14ac:dyDescent="0.25">
      <c r="B37" t="s">
        <v>33</v>
      </c>
      <c r="D37" s="144">
        <v>55.5</v>
      </c>
      <c r="E37" s="144">
        <v>98.19</v>
      </c>
      <c r="F37" s="144">
        <v>119.24</v>
      </c>
      <c r="G37" s="144">
        <v>140.22</v>
      </c>
      <c r="H37" s="144">
        <v>158.84</v>
      </c>
    </row>
    <row r="38" spans="2:9" x14ac:dyDescent="0.25">
      <c r="B38" t="s">
        <v>46</v>
      </c>
      <c r="D38" s="144">
        <v>4.5199999999999996</v>
      </c>
      <c r="E38" s="144">
        <v>1.89</v>
      </c>
      <c r="F38" s="144">
        <v>17.21</v>
      </c>
      <c r="G38" s="144">
        <v>4</v>
      </c>
      <c r="H38" s="144">
        <v>2.36</v>
      </c>
    </row>
    <row r="39" spans="2:9" x14ac:dyDescent="0.25">
      <c r="B39" t="s">
        <v>47</v>
      </c>
      <c r="D39" s="144">
        <v>106.03</v>
      </c>
      <c r="E39" s="144">
        <v>152.19999999999999</v>
      </c>
      <c r="F39" s="144">
        <v>188.01</v>
      </c>
      <c r="G39" s="144">
        <v>253.63</v>
      </c>
      <c r="H39" s="144">
        <v>402.61</v>
      </c>
    </row>
    <row r="40" spans="2:9" x14ac:dyDescent="0.25">
      <c r="B40" t="s">
        <v>48</v>
      </c>
      <c r="D40" s="144">
        <v>9.9700000000000006</v>
      </c>
      <c r="E40" s="144">
        <v>6.4</v>
      </c>
      <c r="F40" s="144">
        <v>8.69</v>
      </c>
      <c r="G40" s="144">
        <v>13.12</v>
      </c>
      <c r="H40" s="144">
        <v>9.14</v>
      </c>
    </row>
    <row r="41" spans="2:9" x14ac:dyDescent="0.25">
      <c r="B41" s="3" t="s">
        <v>49</v>
      </c>
      <c r="C41" s="3"/>
      <c r="D41" s="117">
        <f>SUM(D26:D40)</f>
        <v>1403.3499999999997</v>
      </c>
      <c r="E41" s="117">
        <f>SUM(E26:E40)</f>
        <v>1783.4600000000005</v>
      </c>
      <c r="F41" s="117">
        <f>SUM(F26:F40)</f>
        <v>2377.7800000000002</v>
      </c>
      <c r="G41" s="117">
        <f>SUM(G26:G40)</f>
        <v>3109.85</v>
      </c>
      <c r="H41" s="117">
        <f>SUM(H26:H40)</f>
        <v>3673.45</v>
      </c>
    </row>
    <row r="42" spans="2:9" x14ac:dyDescent="0.25">
      <c r="D42" s="116"/>
      <c r="E42" s="116"/>
      <c r="F42" s="116"/>
      <c r="G42" s="116"/>
      <c r="H42" s="116"/>
    </row>
    <row r="43" spans="2:9" x14ac:dyDescent="0.25">
      <c r="B43" s="3" t="s">
        <v>50</v>
      </c>
      <c r="C43" s="3"/>
      <c r="D43" s="117">
        <f>D41+D23</f>
        <v>5723.7300000000005</v>
      </c>
      <c r="E43" s="117">
        <f>E41+E23</f>
        <v>7726.0200000000023</v>
      </c>
      <c r="F43" s="117">
        <f>F41+F23</f>
        <v>8081.5300000000007</v>
      </c>
      <c r="G43" s="117">
        <f>G41+G23</f>
        <v>7161.75</v>
      </c>
      <c r="H43" s="117">
        <f>H41+H23</f>
        <v>9419.6400000000012</v>
      </c>
      <c r="I43" s="1"/>
    </row>
    <row r="44" spans="2:9" x14ac:dyDescent="0.25">
      <c r="D44" s="116"/>
      <c r="E44" s="116"/>
      <c r="F44" s="116"/>
      <c r="G44" s="116"/>
      <c r="H44" s="116"/>
    </row>
    <row r="45" spans="2:9" x14ac:dyDescent="0.25">
      <c r="B45" s="1" t="s">
        <v>51</v>
      </c>
      <c r="D45" s="116"/>
      <c r="E45" s="116"/>
      <c r="F45" s="116"/>
      <c r="G45" s="116"/>
      <c r="H45" s="116"/>
    </row>
    <row r="46" spans="2:9" x14ac:dyDescent="0.25">
      <c r="B46" s="1" t="s">
        <v>52</v>
      </c>
      <c r="D46" s="116"/>
      <c r="E46" s="116"/>
      <c r="F46" s="116"/>
      <c r="G46" s="116"/>
      <c r="H46" s="116"/>
    </row>
    <row r="47" spans="2:9" x14ac:dyDescent="0.25">
      <c r="B47" t="s">
        <v>53</v>
      </c>
      <c r="D47" s="144">
        <v>35.549999999999997</v>
      </c>
      <c r="E47" s="144">
        <v>35.549999999999997</v>
      </c>
      <c r="F47" s="144">
        <v>35.549999999999997</v>
      </c>
      <c r="G47" s="144">
        <v>35.549999999999997</v>
      </c>
      <c r="H47" s="144">
        <v>35.549999999999997</v>
      </c>
    </row>
    <row r="48" spans="2:9" x14ac:dyDescent="0.25">
      <c r="B48" t="s">
        <v>54</v>
      </c>
      <c r="D48" s="144">
        <v>2277.48</v>
      </c>
      <c r="E48" s="144">
        <v>2328.4499999999998</v>
      </c>
      <c r="F48" s="144">
        <v>2559.94</v>
      </c>
      <c r="G48" s="144">
        <v>4032.19</v>
      </c>
      <c r="H48" s="144">
        <v>5426.19</v>
      </c>
    </row>
    <row r="49" spans="2:9" x14ac:dyDescent="0.25">
      <c r="B49" t="s">
        <v>55</v>
      </c>
      <c r="D49" s="144">
        <v>44.49</v>
      </c>
      <c r="E49" s="144">
        <v>45.94</v>
      </c>
      <c r="F49" s="144">
        <v>67.48</v>
      </c>
      <c r="G49" s="144">
        <v>34.85</v>
      </c>
      <c r="H49" s="144">
        <v>121.62</v>
      </c>
    </row>
    <row r="50" spans="2:9" x14ac:dyDescent="0.25">
      <c r="B50" s="3" t="s">
        <v>56</v>
      </c>
      <c r="C50" s="3"/>
      <c r="D50" s="117">
        <f>SUM(D47:D49)</f>
        <v>2357.52</v>
      </c>
      <c r="E50" s="117">
        <f>SUM(E47:E49)</f>
        <v>2409.94</v>
      </c>
      <c r="F50" s="117">
        <f>SUM(F47:F49)</f>
        <v>2662.9700000000003</v>
      </c>
      <c r="G50" s="117">
        <f>SUM(G47:G49)</f>
        <v>4102.59</v>
      </c>
      <c r="H50" s="117">
        <f>SUM(H47:H49)</f>
        <v>5583.36</v>
      </c>
      <c r="I50" s="1"/>
    </row>
    <row r="51" spans="2:9" x14ac:dyDescent="0.25">
      <c r="D51" s="116"/>
      <c r="E51" s="116"/>
      <c r="F51" s="116"/>
      <c r="G51" s="116"/>
      <c r="H51" s="116"/>
    </row>
    <row r="52" spans="2:9" x14ac:dyDescent="0.25">
      <c r="B52" s="1" t="s">
        <v>57</v>
      </c>
      <c r="D52" s="116"/>
      <c r="E52" s="116"/>
      <c r="F52" s="116"/>
      <c r="G52" s="116"/>
      <c r="H52" s="116"/>
    </row>
    <row r="53" spans="2:9" x14ac:dyDescent="0.25">
      <c r="B53" s="1" t="s">
        <v>58</v>
      </c>
      <c r="D53" s="116"/>
      <c r="E53" s="116"/>
      <c r="F53" s="116"/>
      <c r="G53" s="116"/>
      <c r="H53" s="116"/>
    </row>
    <row r="54" spans="2:9" x14ac:dyDescent="0.25">
      <c r="B54" s="1" t="s">
        <v>59</v>
      </c>
      <c r="D54" s="116"/>
      <c r="E54" s="116"/>
      <c r="F54" s="116"/>
      <c r="G54" s="116"/>
      <c r="H54" s="116"/>
    </row>
    <row r="55" spans="2:9" x14ac:dyDescent="0.25">
      <c r="B55" t="s">
        <v>60</v>
      </c>
      <c r="D55" s="144"/>
      <c r="E55" s="144">
        <v>497.38</v>
      </c>
      <c r="F55" s="144">
        <v>497.95</v>
      </c>
      <c r="G55" s="144">
        <v>498.56</v>
      </c>
      <c r="H55" s="144">
        <v>499.2</v>
      </c>
    </row>
    <row r="56" spans="2:9" x14ac:dyDescent="0.25">
      <c r="B56" t="s">
        <v>73</v>
      </c>
      <c r="D56" s="144">
        <v>2587.19</v>
      </c>
      <c r="E56" s="144">
        <v>4126.01</v>
      </c>
      <c r="F56" s="144">
        <v>3750.22</v>
      </c>
      <c r="G56" s="144">
        <v>845.2</v>
      </c>
      <c r="H56" s="144">
        <v>1101.8</v>
      </c>
    </row>
    <row r="57" spans="2:9" x14ac:dyDescent="0.25">
      <c r="B57" t="s">
        <v>61</v>
      </c>
      <c r="D57" s="144">
        <v>4.9400000000000004</v>
      </c>
      <c r="E57" s="144">
        <v>8.48</v>
      </c>
      <c r="F57" s="144">
        <v>8.06</v>
      </c>
      <c r="G57" s="144">
        <v>5.3</v>
      </c>
      <c r="H57" s="144">
        <v>46.47</v>
      </c>
    </row>
    <row r="58" spans="2:9" x14ac:dyDescent="0.25">
      <c r="B58" t="s">
        <v>62</v>
      </c>
      <c r="D58" s="144">
        <v>13.98</v>
      </c>
      <c r="E58" s="144">
        <v>21.26</v>
      </c>
      <c r="F58" s="144">
        <v>58.9</v>
      </c>
      <c r="G58" s="144">
        <v>160.04</v>
      </c>
      <c r="H58" s="144">
        <v>165.78</v>
      </c>
    </row>
    <row r="59" spans="2:9" x14ac:dyDescent="0.25">
      <c r="B59" t="s">
        <v>63</v>
      </c>
      <c r="D59" s="144">
        <v>8.66</v>
      </c>
      <c r="E59" s="144">
        <v>9.5</v>
      </c>
      <c r="F59" s="144">
        <v>9.4499999999999993</v>
      </c>
      <c r="G59" s="144">
        <v>8.59</v>
      </c>
      <c r="H59" s="144">
        <v>12.34</v>
      </c>
    </row>
    <row r="60" spans="2:9" x14ac:dyDescent="0.25">
      <c r="B60" s="3" t="s">
        <v>64</v>
      </c>
      <c r="C60" s="3"/>
      <c r="D60" s="117">
        <f>SUM(D55:D59)</f>
        <v>2614.77</v>
      </c>
      <c r="E60" s="117">
        <f>SUM(E55:E59)</f>
        <v>4662.63</v>
      </c>
      <c r="F60" s="117">
        <f>SUM(F55:F59)</f>
        <v>4324.58</v>
      </c>
      <c r="G60" s="117">
        <f>SUM(G55:G59)</f>
        <v>1517.6899999999998</v>
      </c>
      <c r="H60" s="117">
        <f>SUM(H55:H59)</f>
        <v>1825.59</v>
      </c>
      <c r="I60" s="1"/>
    </row>
    <row r="61" spans="2:9" x14ac:dyDescent="0.25">
      <c r="D61" s="116"/>
      <c r="E61" s="116"/>
      <c r="F61" s="116"/>
      <c r="G61" s="116"/>
      <c r="H61" s="116"/>
    </row>
    <row r="62" spans="2:9" x14ac:dyDescent="0.25">
      <c r="B62" s="1" t="s">
        <v>65</v>
      </c>
      <c r="D62" s="116"/>
      <c r="E62" s="116"/>
      <c r="F62" s="116"/>
      <c r="G62" s="116"/>
      <c r="H62" s="116"/>
    </row>
    <row r="63" spans="2:9" x14ac:dyDescent="0.25">
      <c r="B63" t="s">
        <v>59</v>
      </c>
      <c r="D63" s="116"/>
      <c r="E63" s="116"/>
      <c r="F63" s="116"/>
      <c r="G63" s="116"/>
      <c r="H63" s="116"/>
    </row>
    <row r="64" spans="2:9" x14ac:dyDescent="0.25">
      <c r="B64" t="s">
        <v>60</v>
      </c>
      <c r="D64" s="144">
        <v>299.93</v>
      </c>
      <c r="E64" s="144"/>
      <c r="F64" s="144"/>
      <c r="G64" s="144"/>
      <c r="H64" s="144"/>
    </row>
    <row r="65" spans="2:10" x14ac:dyDescent="0.25">
      <c r="B65" t="s">
        <v>73</v>
      </c>
      <c r="D65" s="144">
        <v>76.510000000000005</v>
      </c>
      <c r="E65" s="144">
        <v>101.97</v>
      </c>
      <c r="F65" s="144">
        <v>215.97</v>
      </c>
      <c r="G65" s="144">
        <v>409.23</v>
      </c>
      <c r="H65" s="144">
        <v>636.19000000000005</v>
      </c>
    </row>
    <row r="66" spans="2:10" x14ac:dyDescent="0.25">
      <c r="B66" t="s">
        <v>66</v>
      </c>
      <c r="D66" s="144">
        <v>274.57</v>
      </c>
      <c r="E66" s="144">
        <v>378.03</v>
      </c>
      <c r="F66" s="144">
        <v>665.22</v>
      </c>
      <c r="G66" s="144">
        <v>773.91000000000008</v>
      </c>
      <c r="H66" s="144">
        <v>928.19</v>
      </c>
    </row>
    <row r="67" spans="2:10" x14ac:dyDescent="0.25">
      <c r="B67" t="s">
        <v>61</v>
      </c>
      <c r="D67" s="144">
        <v>45.04</v>
      </c>
      <c r="E67" s="144">
        <v>85.93</v>
      </c>
      <c r="F67" s="144">
        <v>79.489999999999995</v>
      </c>
      <c r="G67" s="144">
        <v>159.62</v>
      </c>
      <c r="H67" s="144">
        <v>242.91</v>
      </c>
    </row>
    <row r="68" spans="2:10" x14ac:dyDescent="0.25">
      <c r="B68" t="s">
        <v>67</v>
      </c>
      <c r="D68" s="144">
        <v>46.17</v>
      </c>
      <c r="E68" s="144">
        <v>71.900000000000006</v>
      </c>
      <c r="F68" s="144">
        <v>118.44</v>
      </c>
      <c r="G68" s="144">
        <v>150.05000000000001</v>
      </c>
      <c r="H68" s="144">
        <v>172.6</v>
      </c>
    </row>
    <row r="69" spans="2:10" x14ac:dyDescent="0.25">
      <c r="B69" t="s">
        <v>62</v>
      </c>
      <c r="D69" s="144">
        <v>6.45</v>
      </c>
      <c r="E69" s="144">
        <v>9.59</v>
      </c>
      <c r="F69" s="144">
        <v>12.42</v>
      </c>
      <c r="G69" s="144">
        <v>18.71</v>
      </c>
      <c r="H69" s="144">
        <v>27.08</v>
      </c>
    </row>
    <row r="70" spans="2:10" x14ac:dyDescent="0.25">
      <c r="B70" t="s">
        <v>68</v>
      </c>
      <c r="D70" s="144">
        <v>2.77</v>
      </c>
      <c r="E70" s="144">
        <v>6.03</v>
      </c>
      <c r="F70" s="144">
        <v>2.44</v>
      </c>
      <c r="G70" s="144">
        <v>29.95</v>
      </c>
      <c r="H70" s="144">
        <v>3.72</v>
      </c>
    </row>
    <row r="71" spans="2:10" x14ac:dyDescent="0.25">
      <c r="B71" s="3" t="s">
        <v>69</v>
      </c>
      <c r="C71" s="3"/>
      <c r="D71" s="117">
        <f>SUM(D63:D70)</f>
        <v>751.43999999999994</v>
      </c>
      <c r="E71" s="117">
        <f>SUM(E63:E70)</f>
        <v>653.45000000000005</v>
      </c>
      <c r="F71" s="117">
        <f>SUM(F63:F70)</f>
        <v>1093.9800000000002</v>
      </c>
      <c r="G71" s="117">
        <f>SUM(G63:G70)</f>
        <v>1541.4700000000003</v>
      </c>
      <c r="H71" s="117">
        <f>SUM(H63:H70)</f>
        <v>2010.69</v>
      </c>
      <c r="I71" s="1"/>
    </row>
    <row r="72" spans="2:10" x14ac:dyDescent="0.25">
      <c r="D72" s="116"/>
      <c r="E72" s="116"/>
      <c r="F72" s="116"/>
      <c r="G72" s="116"/>
      <c r="H72" s="116"/>
    </row>
    <row r="73" spans="2:10" x14ac:dyDescent="0.25">
      <c r="B73" s="3" t="s">
        <v>70</v>
      </c>
      <c r="C73" s="2"/>
      <c r="D73" s="117">
        <f>D71+D60</f>
        <v>3366.21</v>
      </c>
      <c r="E73" s="117">
        <f>E71+E60</f>
        <v>5316.08</v>
      </c>
      <c r="F73" s="117">
        <f>F71+F60</f>
        <v>5418.56</v>
      </c>
      <c r="G73" s="117">
        <f>G71+G60</f>
        <v>3059.16</v>
      </c>
      <c r="H73" s="117">
        <f>H71+H60</f>
        <v>3836.2799999999997</v>
      </c>
    </row>
    <row r="74" spans="2:10" x14ac:dyDescent="0.25">
      <c r="D74" s="116"/>
      <c r="E74" s="116"/>
      <c r="F74" s="116"/>
      <c r="G74" s="116"/>
      <c r="H74" s="116"/>
    </row>
    <row r="75" spans="2:10" x14ac:dyDescent="0.25">
      <c r="B75" s="3" t="s">
        <v>71</v>
      </c>
      <c r="C75" s="2"/>
      <c r="D75" s="117">
        <f>D73+D50</f>
        <v>5723.73</v>
      </c>
      <c r="E75" s="117">
        <f>E73+E50</f>
        <v>7726.02</v>
      </c>
      <c r="F75" s="117">
        <f>F73+F50</f>
        <v>8081.5300000000007</v>
      </c>
      <c r="G75" s="117">
        <f>G73+G50</f>
        <v>7161.75</v>
      </c>
      <c r="H75" s="117">
        <f>H73+H50</f>
        <v>9419.64</v>
      </c>
    </row>
    <row r="77" spans="2:10" x14ac:dyDescent="0.25">
      <c r="B77" s="1" t="s">
        <v>72</v>
      </c>
      <c r="C77" s="1"/>
      <c r="D77" s="1" t="b">
        <f>D75=D43</f>
        <v>1</v>
      </c>
      <c r="E77" s="1" t="b">
        <f>E75=E43</f>
        <v>1</v>
      </c>
      <c r="F77" s="1" t="b">
        <f>F75=F43</f>
        <v>1</v>
      </c>
      <c r="G77" s="1" t="b">
        <f>G75=G43</f>
        <v>1</v>
      </c>
      <c r="H77" s="1" t="b">
        <f>H75=H43</f>
        <v>1</v>
      </c>
      <c r="I77" s="1"/>
      <c r="J77" s="1"/>
    </row>
    <row r="79" spans="2:10" x14ac:dyDescent="0.25">
      <c r="B79" s="56"/>
      <c r="C79" s="56"/>
      <c r="D79" s="56"/>
      <c r="E79" s="56"/>
      <c r="F79" s="56"/>
      <c r="G79" s="56"/>
      <c r="H79" s="5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74"/>
  <sheetViews>
    <sheetView showGridLines="0" topLeftCell="A64" workbookViewId="0">
      <selection activeCell="B74" sqref="B74:R74"/>
    </sheetView>
  </sheetViews>
  <sheetFormatPr defaultRowHeight="15" x14ac:dyDescent="0.25"/>
  <cols>
    <col min="1" max="1" width="1.85546875" customWidth="1"/>
    <col min="2" max="2" width="58.7109375" bestFit="1" customWidth="1"/>
  </cols>
  <sheetData>
    <row r="7" spans="2:19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2:19" ht="15.75" thickBot="1" x14ac:dyDescent="0.3">
      <c r="B8" s="170" t="s">
        <v>326</v>
      </c>
      <c r="C8" s="160"/>
      <c r="D8" s="159" t="s">
        <v>162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167</v>
      </c>
      <c r="J8" s="159" t="s">
        <v>167</v>
      </c>
      <c r="K8" s="159" t="s">
        <v>167</v>
      </c>
      <c r="L8" s="159" t="s">
        <v>167</v>
      </c>
      <c r="M8" s="159" t="s">
        <v>167</v>
      </c>
      <c r="N8" s="159" t="s">
        <v>167</v>
      </c>
      <c r="O8" s="159" t="s">
        <v>167</v>
      </c>
      <c r="P8" s="159" t="s">
        <v>167</v>
      </c>
      <c r="Q8" s="159" t="s">
        <v>167</v>
      </c>
      <c r="R8" s="159" t="s">
        <v>167</v>
      </c>
    </row>
    <row r="10" spans="2:19" x14ac:dyDescent="0.25">
      <c r="B10" s="25" t="s">
        <v>22</v>
      </c>
    </row>
    <row r="11" spans="2:19" x14ac:dyDescent="0.25">
      <c r="B11" s="25" t="s">
        <v>223</v>
      </c>
    </row>
    <row r="12" spans="2:19" x14ac:dyDescent="0.25">
      <c r="B12" s="51" t="s">
        <v>31</v>
      </c>
      <c r="D12" s="116">
        <f>'Historical Balance Sheet'!D18</f>
        <v>816.63</v>
      </c>
      <c r="E12" s="116">
        <f>'Historical Balance Sheet'!E18</f>
        <v>757.39</v>
      </c>
      <c r="F12" s="116">
        <f>'Historical Balance Sheet'!F18</f>
        <v>564.13</v>
      </c>
      <c r="G12" s="116">
        <f>'Historical Balance Sheet'!G18</f>
        <v>696.26</v>
      </c>
      <c r="H12" s="116">
        <f>'Historical Balance Sheet'!H18</f>
        <v>845.56</v>
      </c>
      <c r="I12" s="116">
        <f>I13*'Revenue Build-up'!I$11</f>
        <v>1364.1291128568332</v>
      </c>
      <c r="J12" s="116">
        <f>J13*'Revenue Build-up'!J$11</f>
        <v>2075.2388393042702</v>
      </c>
      <c r="K12" s="116">
        <f>K13*'Revenue Build-up'!K$11</f>
        <v>2994.7736054850066</v>
      </c>
      <c r="L12" s="116">
        <f>L13*'Revenue Build-up'!L$11</f>
        <v>4122.7057912598475</v>
      </c>
      <c r="M12" s="116">
        <f>M13*'Revenue Build-up'!M$11</f>
        <v>5442.542677773291</v>
      </c>
      <c r="N12" s="116">
        <f>N13*'Revenue Build-up'!N$11</f>
        <v>6923.5550527312107</v>
      </c>
      <c r="O12" s="116">
        <f>O13*'Revenue Build-up'!O$11</f>
        <v>8524.9738418979032</v>
      </c>
      <c r="P12" s="116">
        <f>P13*'Revenue Build-up'!P$11</f>
        <v>10201.026853111662</v>
      </c>
      <c r="Q12" s="116">
        <f>Q13*'Revenue Build-up'!Q$11</f>
        <v>11905.764342980634</v>
      </c>
      <c r="R12" s="116">
        <f>R13*'Revenue Build-up'!R$11</f>
        <v>13596.944323808571</v>
      </c>
    </row>
    <row r="13" spans="2:19" x14ac:dyDescent="0.25">
      <c r="B13" s="172" t="str">
        <f>B12 &amp; "% of Revenue"</f>
        <v>Investments% of Revenue</v>
      </c>
      <c r="C13" s="173"/>
      <c r="D13" s="155">
        <f>D12/'Revenue Build-up'!D$11</f>
        <v>0.31494122547204739</v>
      </c>
      <c r="E13" s="155">
        <f>E12/'Revenue Build-up'!E$11</f>
        <v>0.16838297739894439</v>
      </c>
      <c r="F13" s="155">
        <f>F12/'Revenue Build-up'!F$11</f>
        <v>6.8445599501093177E-2</v>
      </c>
      <c r="G13" s="155">
        <f>G12/'Revenue Build-up'!G$11</f>
        <v>5.6262934228463429E-2</v>
      </c>
      <c r="H13" s="155">
        <f>H12/'Revenue Build-up'!H$11</f>
        <v>4.9348073869203903E-2</v>
      </c>
      <c r="I13" s="171">
        <f>H13</f>
        <v>4.9348073869203903E-2</v>
      </c>
      <c r="J13" s="171">
        <f>I13</f>
        <v>4.9348073869203903E-2</v>
      </c>
      <c r="K13" s="171">
        <f t="shared" ref="K13:R13" si="1">J13</f>
        <v>4.9348073869203903E-2</v>
      </c>
      <c r="L13" s="171">
        <f t="shared" si="1"/>
        <v>4.9348073869203903E-2</v>
      </c>
      <c r="M13" s="171">
        <f t="shared" si="1"/>
        <v>4.9348073869203903E-2</v>
      </c>
      <c r="N13" s="171">
        <f t="shared" si="1"/>
        <v>4.9348073869203903E-2</v>
      </c>
      <c r="O13" s="171">
        <f t="shared" si="1"/>
        <v>4.9348073869203903E-2</v>
      </c>
      <c r="P13" s="171">
        <f t="shared" si="1"/>
        <v>4.9348073869203903E-2</v>
      </c>
      <c r="Q13" s="171">
        <f t="shared" si="1"/>
        <v>4.9348073869203903E-2</v>
      </c>
      <c r="R13" s="171">
        <f t="shared" si="1"/>
        <v>4.9348073869203903E-2</v>
      </c>
      <c r="S13" s="31"/>
    </row>
    <row r="14" spans="2:19" x14ac:dyDescent="0.25">
      <c r="B14" s="51" t="s">
        <v>32</v>
      </c>
      <c r="D14" s="116">
        <f>'Historical Balance Sheet'!D19</f>
        <v>2.35</v>
      </c>
      <c r="E14" s="116">
        <f>'Historical Balance Sheet'!E19</f>
        <v>2.13</v>
      </c>
      <c r="F14" s="116">
        <f>'Historical Balance Sheet'!F19</f>
        <v>1.86</v>
      </c>
      <c r="G14" s="116">
        <f>'Historical Balance Sheet'!G19</f>
        <v>1.66</v>
      </c>
      <c r="H14" s="116">
        <f>'Historical Balance Sheet'!H19</f>
        <v>1.35</v>
      </c>
      <c r="I14" s="116">
        <f>I15*'Revenue Build-up'!I$11</f>
        <v>10.053445045057884</v>
      </c>
      <c r="J14" s="116">
        <f>J15*'Revenue Build-up'!J$11</f>
        <v>15.294226499295318</v>
      </c>
      <c r="K14" s="116">
        <f>K15*'Revenue Build-up'!K$11</f>
        <v>22.071071998514867</v>
      </c>
      <c r="L14" s="116">
        <f>L15*'Revenue Build-up'!L$11</f>
        <v>30.383777986067155</v>
      </c>
      <c r="M14" s="116">
        <f>M15*'Revenue Build-up'!M$11</f>
        <v>40.110795379028396</v>
      </c>
      <c r="N14" s="116">
        <f>N15*'Revenue Build-up'!N$11</f>
        <v>51.025654084380832</v>
      </c>
      <c r="O14" s="116">
        <f>O15*'Revenue Build-up'!O$11</f>
        <v>62.827891599342635</v>
      </c>
      <c r="P14" s="116">
        <f>P15*'Revenue Build-up'!P$11</f>
        <v>75.180173126091162</v>
      </c>
      <c r="Q14" s="116">
        <f>Q15*'Revenue Build-up'!Q$11</f>
        <v>87.743855338514066</v>
      </c>
      <c r="R14" s="116">
        <f>R15*'Revenue Build-up'!R$11</f>
        <v>100.20762056301604</v>
      </c>
    </row>
    <row r="15" spans="2:19" x14ac:dyDescent="0.25">
      <c r="B15" s="172" t="str">
        <f>B14 &amp; "% of Revenue"</f>
        <v>Loans% of Revenue</v>
      </c>
      <c r="C15" s="173"/>
      <c r="D15" s="155">
        <f>D14/'Revenue Build-up'!D$11</f>
        <v>9.063001357521906E-4</v>
      </c>
      <c r="E15" s="155">
        <f>E14/'Revenue Build-up'!E$11</f>
        <v>4.7354169167767142E-4</v>
      </c>
      <c r="F15" s="155">
        <f>F14/'Revenue Build-up'!F$11</f>
        <v>2.2567283263083565E-4</v>
      </c>
      <c r="G15" s="155">
        <f>G14/'Revenue Build-up'!G$11</f>
        <v>1.3414022178388717E-4</v>
      </c>
      <c r="H15" s="155">
        <f>H14/'Revenue Build-up'!H$11</f>
        <v>7.878790354726487E-5</v>
      </c>
      <c r="I15" s="171">
        <f>AVERAGE(D15:H15)</f>
        <v>3.636885570783699E-4</v>
      </c>
      <c r="J15" s="171">
        <f>I15</f>
        <v>3.636885570783699E-4</v>
      </c>
      <c r="K15" s="171">
        <f t="shared" ref="K15:R15" si="2">J15</f>
        <v>3.636885570783699E-4</v>
      </c>
      <c r="L15" s="171">
        <f t="shared" si="2"/>
        <v>3.636885570783699E-4</v>
      </c>
      <c r="M15" s="171">
        <f t="shared" si="2"/>
        <v>3.636885570783699E-4</v>
      </c>
      <c r="N15" s="171">
        <f t="shared" si="2"/>
        <v>3.636885570783699E-4</v>
      </c>
      <c r="O15" s="171">
        <f t="shared" si="2"/>
        <v>3.636885570783699E-4</v>
      </c>
      <c r="P15" s="171">
        <f t="shared" si="2"/>
        <v>3.636885570783699E-4</v>
      </c>
      <c r="Q15" s="171">
        <f t="shared" si="2"/>
        <v>3.636885570783699E-4</v>
      </c>
      <c r="R15" s="171">
        <f t="shared" si="2"/>
        <v>3.636885570783699E-4</v>
      </c>
      <c r="S15" s="31"/>
    </row>
    <row r="16" spans="2:19" x14ac:dyDescent="0.25">
      <c r="B16" s="51" t="s">
        <v>33</v>
      </c>
      <c r="D16" s="116">
        <f>'Historical Balance Sheet'!D20</f>
        <v>72.28</v>
      </c>
      <c r="E16" s="116">
        <f>'Historical Balance Sheet'!E20</f>
        <v>94.75</v>
      </c>
      <c r="F16" s="116">
        <f>'Historical Balance Sheet'!F20</f>
        <v>136.71</v>
      </c>
      <c r="G16" s="116">
        <f>'Historical Balance Sheet'!G20</f>
        <v>447.7</v>
      </c>
      <c r="H16" s="116">
        <f>'Historical Balance Sheet'!H20</f>
        <v>616.75</v>
      </c>
      <c r="I16" s="116">
        <f>I17*'Revenue Build-up'!I$11</f>
        <v>761.28347818806492</v>
      </c>
      <c r="J16" s="116">
        <f>J17*'Revenue Build-up'!J$11</f>
        <v>1158.1345392943931</v>
      </c>
      <c r="K16" s="116">
        <f>K17*'Revenue Build-up'!K$11</f>
        <v>1671.3019649546272</v>
      </c>
      <c r="L16" s="116">
        <f>L17*'Revenue Build-up'!L$11</f>
        <v>2300.7703411178277</v>
      </c>
      <c r="M16" s="116">
        <f>M17*'Revenue Build-up'!M$11</f>
        <v>3037.3355284860645</v>
      </c>
      <c r="N16" s="116">
        <f>N17*'Revenue Build-up'!N$11</f>
        <v>3863.8483867054179</v>
      </c>
      <c r="O16" s="116">
        <f>O17*'Revenue Build-up'!O$11</f>
        <v>4757.5568006394651</v>
      </c>
      <c r="P16" s="116">
        <f>P17*'Revenue Build-up'!P$11</f>
        <v>5692.9165506650497</v>
      </c>
      <c r="Q16" s="116">
        <f>Q17*'Revenue Build-up'!Q$11</f>
        <v>6644.284330630644</v>
      </c>
      <c r="R16" s="116">
        <f>R17*'Revenue Build-up'!R$11</f>
        <v>7588.0860323261932</v>
      </c>
    </row>
    <row r="17" spans="2:19" x14ac:dyDescent="0.25">
      <c r="B17" s="172" t="str">
        <f>B16 &amp; "% of Revenue"</f>
        <v>Others% of Revenue</v>
      </c>
      <c r="C17" s="173"/>
      <c r="D17" s="155">
        <f>D16/'Revenue Build-up'!D$11</f>
        <v>2.7875478217943971E-2</v>
      </c>
      <c r="E17" s="155">
        <f>E16/'Revenue Build-up'!E$11</f>
        <v>2.1064824078149941E-2</v>
      </c>
      <c r="F17" s="155">
        <f>F16/'Revenue Build-up'!F$11</f>
        <v>1.6586953198366419E-2</v>
      </c>
      <c r="G17" s="155">
        <f>G16/'Revenue Build-up'!G$11</f>
        <v>3.6177456200389334E-2</v>
      </c>
      <c r="H17" s="155">
        <f>H16/'Revenue Build-up'!H$11</f>
        <v>3.5994399639093039E-2</v>
      </c>
      <c r="I17" s="171">
        <f>AVERAGE(D17:H17)</f>
        <v>2.7539822266788538E-2</v>
      </c>
      <c r="J17" s="171">
        <f>I17</f>
        <v>2.7539822266788538E-2</v>
      </c>
      <c r="K17" s="171">
        <f t="shared" ref="K17:R17" si="3">J17</f>
        <v>2.7539822266788538E-2</v>
      </c>
      <c r="L17" s="171">
        <f t="shared" si="3"/>
        <v>2.7539822266788538E-2</v>
      </c>
      <c r="M17" s="171">
        <f t="shared" si="3"/>
        <v>2.7539822266788538E-2</v>
      </c>
      <c r="N17" s="171">
        <f t="shared" si="3"/>
        <v>2.7539822266788538E-2</v>
      </c>
      <c r="O17" s="171">
        <f t="shared" si="3"/>
        <v>2.7539822266788538E-2</v>
      </c>
      <c r="P17" s="171">
        <f t="shared" si="3"/>
        <v>2.7539822266788538E-2</v>
      </c>
      <c r="Q17" s="171">
        <f t="shared" si="3"/>
        <v>2.7539822266788538E-2</v>
      </c>
      <c r="R17" s="171">
        <f t="shared" si="3"/>
        <v>2.7539822266788538E-2</v>
      </c>
      <c r="S17" s="31"/>
    </row>
    <row r="18" spans="2:19" x14ac:dyDescent="0.25">
      <c r="B18" t="s">
        <v>34</v>
      </c>
      <c r="D18" s="116">
        <f>'Historical Balance Sheet'!D21</f>
        <v>114.52</v>
      </c>
      <c r="E18" s="116">
        <f>'Historical Balance Sheet'!E21</f>
        <v>126.35</v>
      </c>
      <c r="F18" s="116">
        <f>'Historical Balance Sheet'!F21</f>
        <v>156.05000000000001</v>
      </c>
      <c r="G18" s="116">
        <f>'Historical Balance Sheet'!G21</f>
        <v>54.43</v>
      </c>
      <c r="H18" s="116">
        <f>'Historical Balance Sheet'!H21</f>
        <v>43.47</v>
      </c>
      <c r="I18" s="116">
        <f>I19*'Revenue Build-up'!I$11</f>
        <v>542.4921123335489</v>
      </c>
      <c r="J18" s="116">
        <f>J19*'Revenue Build-up'!J$11</f>
        <v>825.28896342743019</v>
      </c>
      <c r="K18" s="116">
        <f>K19*'Revenue Build-up'!K$11</f>
        <v>1190.9730859697788</v>
      </c>
      <c r="L18" s="116">
        <f>L19*'Revenue Build-up'!L$11</f>
        <v>1639.5334958774074</v>
      </c>
      <c r="M18" s="116">
        <f>M19*'Revenue Build-up'!M$11</f>
        <v>2164.4113052813309</v>
      </c>
      <c r="N18" s="116">
        <f>N19*'Revenue Build-up'!N$11</f>
        <v>2753.3860028452923</v>
      </c>
      <c r="O18" s="116">
        <f>O19*'Revenue Build-up'!O$11</f>
        <v>3390.2443863206472</v>
      </c>
      <c r="P18" s="116">
        <f>P19*'Revenue Build-up'!P$11</f>
        <v>4056.7835942788779</v>
      </c>
      <c r="Q18" s="116">
        <f>Q19*'Revenue Build-up'!Q$11</f>
        <v>4734.7301560353599</v>
      </c>
      <c r="R18" s="116">
        <f>R19*'Revenue Build-up'!R$11</f>
        <v>5407.2851154513219</v>
      </c>
    </row>
    <row r="19" spans="2:19" x14ac:dyDescent="0.25">
      <c r="B19" s="172" t="str">
        <f>B18 &amp; "% of Revenue"</f>
        <v>Deferred Tax Assets (Net)% of Revenue</v>
      </c>
      <c r="C19" s="173"/>
      <c r="D19" s="155">
        <f>D18/'Revenue Build-up'!D$11</f>
        <v>4.4165741083549301E-2</v>
      </c>
      <c r="E19" s="155">
        <f>E18/'Revenue Build-up'!E$11</f>
        <v>2.8090137438250604E-2</v>
      </c>
      <c r="F19" s="155">
        <f>F18/'Revenue Build-up'!F$11</f>
        <v>1.8933465339807474E-2</v>
      </c>
      <c r="G19" s="155">
        <f>G18/'Revenue Build-up'!G$11</f>
        <v>4.3983447419861325E-3</v>
      </c>
      <c r="H19" s="155">
        <f>H18/'Revenue Build-up'!H$11</f>
        <v>2.5369704942219285E-3</v>
      </c>
      <c r="I19" s="171">
        <f>AVERAGE(D19:H19)</f>
        <v>1.9624931819563089E-2</v>
      </c>
      <c r="J19" s="171">
        <f>I19</f>
        <v>1.9624931819563089E-2</v>
      </c>
      <c r="K19" s="171">
        <f t="shared" ref="K19:R19" si="4">J19</f>
        <v>1.9624931819563089E-2</v>
      </c>
      <c r="L19" s="171">
        <f t="shared" si="4"/>
        <v>1.9624931819563089E-2</v>
      </c>
      <c r="M19" s="171">
        <f t="shared" si="4"/>
        <v>1.9624931819563089E-2</v>
      </c>
      <c r="N19" s="171">
        <f t="shared" si="4"/>
        <v>1.9624931819563089E-2</v>
      </c>
      <c r="O19" s="171">
        <f t="shared" si="4"/>
        <v>1.9624931819563089E-2</v>
      </c>
      <c r="P19" s="171">
        <f t="shared" si="4"/>
        <v>1.9624931819563089E-2</v>
      </c>
      <c r="Q19" s="171">
        <f t="shared" si="4"/>
        <v>1.9624931819563089E-2</v>
      </c>
      <c r="R19" s="171">
        <f t="shared" si="4"/>
        <v>1.9624931819563089E-2</v>
      </c>
      <c r="S19" s="31"/>
    </row>
    <row r="20" spans="2:19" x14ac:dyDescent="0.25">
      <c r="B20" t="s">
        <v>35</v>
      </c>
      <c r="D20" s="116">
        <f>'Historical Balance Sheet'!D22</f>
        <v>152.80000000000001</v>
      </c>
      <c r="E20" s="116">
        <f>'Historical Balance Sheet'!E22</f>
        <v>170.51</v>
      </c>
      <c r="F20" s="116">
        <f>'Historical Balance Sheet'!F22</f>
        <v>216.33</v>
      </c>
      <c r="G20" s="116">
        <f>'Historical Balance Sheet'!G22</f>
        <v>178.15</v>
      </c>
      <c r="H20" s="116">
        <f>'Historical Balance Sheet'!H22</f>
        <v>164.43</v>
      </c>
      <c r="I20" s="116">
        <f>I21*'Revenue Build-up'!I$11</f>
        <v>813.12448475906353</v>
      </c>
      <c r="J20" s="116">
        <f>J21*'Revenue Build-up'!J$11</f>
        <v>1236.9998529152272</v>
      </c>
      <c r="K20" s="116">
        <f>K21*'Revenue Build-up'!K$11</f>
        <v>1785.1123636165719</v>
      </c>
      <c r="L20" s="116">
        <f>L21*'Revenue Build-up'!L$11</f>
        <v>2457.4455531638491</v>
      </c>
      <c r="M20" s="116">
        <f>M21*'Revenue Build-up'!M$11</f>
        <v>3244.1685093690089</v>
      </c>
      <c r="N20" s="116">
        <f>N21*'Revenue Build-up'!N$11</f>
        <v>4126.9642894454682</v>
      </c>
      <c r="O20" s="116">
        <f>O21*'Revenue Build-up'!O$11</f>
        <v>5081.5314308926663</v>
      </c>
      <c r="P20" s="116">
        <f>P21*'Revenue Build-up'!P$11</f>
        <v>6080.5862332038141</v>
      </c>
      <c r="Q20" s="116">
        <f>Q21*'Revenue Build-up'!Q$11</f>
        <v>7096.739161863321</v>
      </c>
      <c r="R20" s="116">
        <f>R21*'Revenue Build-up'!R$11</f>
        <v>8104.8107861582303</v>
      </c>
    </row>
    <row r="21" spans="2:19" x14ac:dyDescent="0.25">
      <c r="B21" s="172" t="str">
        <f>B20 &amp; "% of Revenue"</f>
        <v>Other Non-Current Assets% of Revenue</v>
      </c>
      <c r="C21" s="173"/>
      <c r="D21" s="155">
        <f>D20/'Revenue Build-up'!D$11</f>
        <v>5.8928791805504137E-2</v>
      </c>
      <c r="E21" s="155">
        <f>E20/'Revenue Build-up'!E$11</f>
        <v>3.7907790538948244E-2</v>
      </c>
      <c r="F21" s="155">
        <f>F20/'Revenue Build-up'!F$11</f>
        <v>2.6247206388725096E-2</v>
      </c>
      <c r="G21" s="155">
        <f>G20/'Revenue Build-up'!G$11</f>
        <v>1.4395831633011748E-2</v>
      </c>
      <c r="H21" s="155">
        <f>H20/'Revenue Build-up'!H$11</f>
        <v>9.5963666520568602E-3</v>
      </c>
      <c r="I21" s="171">
        <f>AVERAGE(D21:H21)</f>
        <v>2.9415197403649219E-2</v>
      </c>
      <c r="J21" s="171">
        <f>I21</f>
        <v>2.9415197403649219E-2</v>
      </c>
      <c r="K21" s="171">
        <f t="shared" ref="K21:R21" si="5">J21</f>
        <v>2.9415197403649219E-2</v>
      </c>
      <c r="L21" s="171">
        <f t="shared" si="5"/>
        <v>2.9415197403649219E-2</v>
      </c>
      <c r="M21" s="171">
        <f t="shared" si="5"/>
        <v>2.9415197403649219E-2</v>
      </c>
      <c r="N21" s="171">
        <f t="shared" si="5"/>
        <v>2.9415197403649219E-2</v>
      </c>
      <c r="O21" s="171">
        <f t="shared" si="5"/>
        <v>2.9415197403649219E-2</v>
      </c>
      <c r="P21" s="171">
        <f t="shared" si="5"/>
        <v>2.9415197403649219E-2</v>
      </c>
      <c r="Q21" s="171">
        <f t="shared" si="5"/>
        <v>2.9415197403649219E-2</v>
      </c>
      <c r="R21" s="171">
        <f t="shared" si="5"/>
        <v>2.9415197403649219E-2</v>
      </c>
      <c r="S21" s="31"/>
    </row>
    <row r="23" spans="2:19" x14ac:dyDescent="0.25">
      <c r="B23" s="25" t="s">
        <v>37</v>
      </c>
    </row>
    <row r="24" spans="2:19" x14ac:dyDescent="0.25">
      <c r="B24" t="s">
        <v>31</v>
      </c>
      <c r="D24" s="116">
        <f>'Historical Balance Sheet'!D28</f>
        <v>670.66</v>
      </c>
      <c r="E24" s="116">
        <f>'Historical Balance Sheet'!E28</f>
        <v>526.33000000000004</v>
      </c>
      <c r="F24" s="116">
        <f>'Historical Balance Sheet'!F28</f>
        <v>545.74</v>
      </c>
      <c r="G24" s="116">
        <f>'Historical Balance Sheet'!G28</f>
        <v>719.77</v>
      </c>
      <c r="H24" s="116">
        <f>'Historical Balance Sheet'!H28</f>
        <v>634.69000000000005</v>
      </c>
      <c r="I24" s="116">
        <f>I25*'Revenue Build-up'!I$11</f>
        <v>1382.1503109446892</v>
      </c>
      <c r="J24" s="116">
        <f>J25*'Revenue Build-up'!J$11</f>
        <v>2102.6543455420874</v>
      </c>
      <c r="K24" s="116">
        <f>K25*'Revenue Build-up'!K$11</f>
        <v>3034.3368754600178</v>
      </c>
      <c r="L24" s="116">
        <f>L25*'Revenue Build-up'!L$11</f>
        <v>4177.1699156759378</v>
      </c>
      <c r="M24" s="116">
        <f>M25*'Revenue Build-up'!M$11</f>
        <v>5514.4428657931448</v>
      </c>
      <c r="N24" s="116">
        <f>N25*'Revenue Build-up'!N$11</f>
        <v>7015.0205569136879</v>
      </c>
      <c r="O24" s="116">
        <f>O25*'Revenue Build-up'!O$11</f>
        <v>8637.5953238754355</v>
      </c>
      <c r="P24" s="116">
        <f>P25*'Revenue Build-up'!P$11</f>
        <v>10335.790288542246</v>
      </c>
      <c r="Q24" s="116">
        <f>Q25*'Revenue Build-up'!Q$11</f>
        <v>12063.048675959093</v>
      </c>
      <c r="R24" s="116">
        <f>R25*'Revenue Build-up'!R$11</f>
        <v>13776.57044918005</v>
      </c>
    </row>
    <row r="25" spans="2:19" x14ac:dyDescent="0.25">
      <c r="B25" s="172" t="str">
        <f>B24 &amp; "% of Revenue"</f>
        <v>Investments% of Revenue</v>
      </c>
      <c r="C25" s="173"/>
      <c r="D25" s="155">
        <f>D24/'Revenue Build-up'!D$11</f>
        <v>0.2586464889547081</v>
      </c>
      <c r="E25" s="155">
        <f>E24/'Revenue Build-up'!E$11</f>
        <v>0.11701370825385392</v>
      </c>
      <c r="F25" s="155">
        <f>F24/'Revenue Build-up'!F$11</f>
        <v>6.6214350365565722E-2</v>
      </c>
      <c r="G25" s="155">
        <f>G24/'Revenue Build-up'!G$11</f>
        <v>5.8162715321318358E-2</v>
      </c>
      <c r="H25" s="155">
        <f>H24/'Revenue Build-up'!H$11</f>
        <v>3.704140333512114E-2</v>
      </c>
      <c r="I25" s="171">
        <v>0.05</v>
      </c>
      <c r="J25" s="171">
        <f>I25</f>
        <v>0.05</v>
      </c>
      <c r="K25" s="171">
        <f t="shared" ref="K25:R25" si="6">J25</f>
        <v>0.05</v>
      </c>
      <c r="L25" s="171">
        <f t="shared" si="6"/>
        <v>0.05</v>
      </c>
      <c r="M25" s="171">
        <f t="shared" si="6"/>
        <v>0.05</v>
      </c>
      <c r="N25" s="171">
        <f t="shared" si="6"/>
        <v>0.05</v>
      </c>
      <c r="O25" s="171">
        <f t="shared" si="6"/>
        <v>0.05</v>
      </c>
      <c r="P25" s="171">
        <f t="shared" si="6"/>
        <v>0.05</v>
      </c>
      <c r="Q25" s="171">
        <f t="shared" si="6"/>
        <v>0.05</v>
      </c>
      <c r="R25" s="171">
        <f t="shared" si="6"/>
        <v>0.05</v>
      </c>
      <c r="S25" s="31"/>
    </row>
    <row r="26" spans="2:19" x14ac:dyDescent="0.25">
      <c r="B26" t="s">
        <v>44</v>
      </c>
      <c r="D26" s="116">
        <f>'Historical Balance Sheet'!D35</f>
        <v>25</v>
      </c>
      <c r="E26" s="116">
        <f>'Historical Balance Sheet'!E35</f>
        <v>25</v>
      </c>
      <c r="F26" s="116">
        <f>'Historical Balance Sheet'!F35</f>
        <v>15</v>
      </c>
      <c r="G26" s="116">
        <f>'Historical Balance Sheet'!G35</f>
        <v>15</v>
      </c>
      <c r="H26" s="116">
        <f>'Historical Balance Sheet'!H35</f>
        <v>15</v>
      </c>
      <c r="I26" s="116">
        <f>I27*'Revenue Build-up'!I$11</f>
        <v>105.63479416175558</v>
      </c>
      <c r="J26" s="116">
        <f>J27*'Revenue Build-up'!J$11</f>
        <v>160.70137757509633</v>
      </c>
      <c r="K26" s="116">
        <f>K27*'Revenue Build-up'!K$11</f>
        <v>231.90788202880967</v>
      </c>
      <c r="L26" s="116">
        <f>L27*'Revenue Build-up'!L$11</f>
        <v>319.25216868743564</v>
      </c>
      <c r="M26" s="116">
        <f>M27*'Revenue Build-up'!M$11</f>
        <v>421.45708207863038</v>
      </c>
      <c r="N26" s="116">
        <f>N27*'Revenue Build-up'!N$11</f>
        <v>536.1430277894832</v>
      </c>
      <c r="O26" s="116">
        <f>O27*'Revenue Build-up'!O$11</f>
        <v>660.15294925953799</v>
      </c>
      <c r="P26" s="116">
        <f>P27*'Revenue Build-up'!P$11</f>
        <v>789.94236081528823</v>
      </c>
      <c r="Q26" s="116">
        <f>Q27*'Revenue Build-up'!Q$11</f>
        <v>921.9530276538577</v>
      </c>
      <c r="R26" s="116">
        <f>R27*'Revenue Build-up'!R$11</f>
        <v>1052.9138344290375</v>
      </c>
    </row>
    <row r="27" spans="2:19" x14ac:dyDescent="0.25">
      <c r="B27" s="172" t="str">
        <f>B26 &amp; "% of Revenue"</f>
        <v>Loan Receivables considered good - Secured% of Revenue</v>
      </c>
      <c r="C27" s="173"/>
      <c r="D27" s="155">
        <f>D26/'Revenue Build-up'!D$11</f>
        <v>9.6414908058743681E-3</v>
      </c>
      <c r="E27" s="155">
        <f>E26/'Revenue Build-up'!E$11</f>
        <v>5.5580010760290077E-3</v>
      </c>
      <c r="F27" s="155">
        <f>F26/'Revenue Build-up'!F$11</f>
        <v>1.8199421986357712E-3</v>
      </c>
      <c r="G27" s="155">
        <f>G26/'Revenue Build-up'!G$11</f>
        <v>1.2121104378062094E-3</v>
      </c>
      <c r="H27" s="155">
        <f>H26/'Revenue Build-up'!H$11</f>
        <v>8.7542115052516507E-4</v>
      </c>
      <c r="I27" s="171">
        <f>AVERAGE(D27:H27)</f>
        <v>3.8213931337741048E-3</v>
      </c>
      <c r="J27" s="171">
        <f>I27</f>
        <v>3.8213931337741048E-3</v>
      </c>
      <c r="K27" s="171">
        <f t="shared" ref="K27:R27" si="7">J27</f>
        <v>3.8213931337741048E-3</v>
      </c>
      <c r="L27" s="171">
        <f t="shared" si="7"/>
        <v>3.8213931337741048E-3</v>
      </c>
      <c r="M27" s="171">
        <f t="shared" si="7"/>
        <v>3.8213931337741048E-3</v>
      </c>
      <c r="N27" s="171">
        <f t="shared" si="7"/>
        <v>3.8213931337741048E-3</v>
      </c>
      <c r="O27" s="171">
        <f t="shared" si="7"/>
        <v>3.8213931337741048E-3</v>
      </c>
      <c r="P27" s="171">
        <f t="shared" si="7"/>
        <v>3.8213931337741048E-3</v>
      </c>
      <c r="Q27" s="171">
        <f t="shared" si="7"/>
        <v>3.8213931337741048E-3</v>
      </c>
      <c r="R27" s="171">
        <f t="shared" si="7"/>
        <v>3.8213931337741048E-3</v>
      </c>
      <c r="S27" s="31"/>
    </row>
    <row r="28" spans="2:19" x14ac:dyDescent="0.25">
      <c r="B28" t="s">
        <v>45</v>
      </c>
      <c r="D28" s="116">
        <f>'Historical Balance Sheet'!D36</f>
        <v>1.04</v>
      </c>
      <c r="E28" s="116">
        <f>'Historical Balance Sheet'!E36</f>
        <v>1.44</v>
      </c>
      <c r="F28" s="116">
        <f>'Historical Balance Sheet'!F36</f>
        <v>2.04</v>
      </c>
      <c r="G28" s="116">
        <f>'Historical Balance Sheet'!G36</f>
        <v>2.08</v>
      </c>
      <c r="H28" s="116">
        <f>'Historical Balance Sheet'!H36</f>
        <v>2.97</v>
      </c>
      <c r="I28" s="116">
        <f>I29*'Revenue Build-up'!I$11</f>
        <v>7.2433064307463457</v>
      </c>
      <c r="J28" s="116">
        <f>J29*'Revenue Build-up'!J$11</f>
        <v>11.019184832575878</v>
      </c>
      <c r="K28" s="116">
        <f>K29*'Revenue Build-up'!K$11</f>
        <v>15.901766710198181</v>
      </c>
      <c r="L28" s="116">
        <f>L29*'Revenue Build-up'!L$11</f>
        <v>21.890905405111539</v>
      </c>
      <c r="M28" s="116">
        <f>M29*'Revenue Build-up'!M$11</f>
        <v>28.8990272298837</v>
      </c>
      <c r="N28" s="116">
        <f>N29*'Revenue Build-up'!N$11</f>
        <v>36.762965004132695</v>
      </c>
      <c r="O28" s="116">
        <f>O29*'Revenue Build-up'!O$11</f>
        <v>45.266241493552883</v>
      </c>
      <c r="P28" s="116">
        <f>P29*'Revenue Build-up'!P$11</f>
        <v>54.165813711443462</v>
      </c>
      <c r="Q28" s="116">
        <f>Q29*'Revenue Build-up'!Q$11</f>
        <v>63.217695902596603</v>
      </c>
      <c r="R28" s="116">
        <f>R29*'Revenue Build-up'!R$11</f>
        <v>72.197589898866823</v>
      </c>
    </row>
    <row r="29" spans="2:19" x14ac:dyDescent="0.25">
      <c r="B29" s="172" t="str">
        <f>B28 &amp; "% of Revenue"</f>
        <v>Loan Receivables considered good - Unsecured% of Revenue</v>
      </c>
      <c r="C29" s="173"/>
      <c r="D29" s="155">
        <f>D28/'Revenue Build-up'!D$11</f>
        <v>4.010860175243737E-4</v>
      </c>
      <c r="E29" s="155">
        <f>E28/'Revenue Build-up'!E$11</f>
        <v>3.2014086197927085E-4</v>
      </c>
      <c r="F29" s="155">
        <f>F28/'Revenue Build-up'!F$11</f>
        <v>2.4751213901446489E-4</v>
      </c>
      <c r="G29" s="155">
        <f>G28/'Revenue Build-up'!G$11</f>
        <v>1.6807931404246105E-4</v>
      </c>
      <c r="H29" s="155">
        <f>H28/'Revenue Build-up'!H$11</f>
        <v>1.7333338780398271E-4</v>
      </c>
      <c r="I29" s="171">
        <f>AVERAGE(D29:H29)</f>
        <v>2.6203034407291064E-4</v>
      </c>
      <c r="J29" s="171">
        <f>I29</f>
        <v>2.6203034407291064E-4</v>
      </c>
      <c r="K29" s="171">
        <f t="shared" ref="K29:R29" si="8">J29</f>
        <v>2.6203034407291064E-4</v>
      </c>
      <c r="L29" s="171">
        <f t="shared" si="8"/>
        <v>2.6203034407291064E-4</v>
      </c>
      <c r="M29" s="171">
        <f t="shared" si="8"/>
        <v>2.6203034407291064E-4</v>
      </c>
      <c r="N29" s="171">
        <f t="shared" si="8"/>
        <v>2.6203034407291064E-4</v>
      </c>
      <c r="O29" s="171">
        <f t="shared" si="8"/>
        <v>2.6203034407291064E-4</v>
      </c>
      <c r="P29" s="171">
        <f t="shared" si="8"/>
        <v>2.6203034407291064E-4</v>
      </c>
      <c r="Q29" s="171">
        <f t="shared" si="8"/>
        <v>2.6203034407291064E-4</v>
      </c>
      <c r="R29" s="171">
        <f t="shared" si="8"/>
        <v>2.6203034407291064E-4</v>
      </c>
      <c r="S29" s="31"/>
    </row>
    <row r="30" spans="2:19" x14ac:dyDescent="0.25">
      <c r="B30" t="s">
        <v>33</v>
      </c>
      <c r="D30" s="116">
        <f>'Historical Balance Sheet'!D37</f>
        <v>55.5</v>
      </c>
      <c r="E30" s="116">
        <f>'Historical Balance Sheet'!E37</f>
        <v>98.19</v>
      </c>
      <c r="F30" s="116">
        <f>'Historical Balance Sheet'!F37</f>
        <v>119.24</v>
      </c>
      <c r="G30" s="116">
        <f>'Historical Balance Sheet'!G37</f>
        <v>140.22</v>
      </c>
      <c r="H30" s="116">
        <f>'Historical Balance Sheet'!H37</f>
        <v>158.84</v>
      </c>
      <c r="I30" s="116">
        <f>I31*'Revenue Build-up'!I$11</f>
        <v>432.90040490143974</v>
      </c>
      <c r="J30" s="116">
        <f>J31*'Revenue Build-up'!J$11</f>
        <v>658.56796496381025</v>
      </c>
      <c r="K30" s="116">
        <f>K31*'Revenue Build-up'!K$11</f>
        <v>950.37829937338677</v>
      </c>
      <c r="L30" s="116">
        <f>L31*'Revenue Build-up'!L$11</f>
        <v>1308.3226429998545</v>
      </c>
      <c r="M30" s="116">
        <f>M31*'Revenue Build-up'!M$11</f>
        <v>1727.1671036821401</v>
      </c>
      <c r="N30" s="116">
        <f>N31*'Revenue Build-up'!N$11</f>
        <v>2197.159900361507</v>
      </c>
      <c r="O30" s="116">
        <f>O31*'Revenue Build-up'!O$11</f>
        <v>2705.3631457238043</v>
      </c>
      <c r="P30" s="116">
        <f>P31*'Revenue Build-up'!P$11</f>
        <v>3237.2512348733703</v>
      </c>
      <c r="Q30" s="116">
        <f>Q31*'Revenue Build-up'!Q$11</f>
        <v>3778.2422178085712</v>
      </c>
      <c r="R30" s="116">
        <f>R31*'Revenue Build-up'!R$11</f>
        <v>4314.9307845736294</v>
      </c>
    </row>
    <row r="31" spans="2:19" x14ac:dyDescent="0.25">
      <c r="B31" s="172" t="str">
        <f>B30 &amp; "% of Revenue"</f>
        <v>Others% of Revenue</v>
      </c>
      <c r="C31" s="173"/>
      <c r="D31" s="155">
        <f>D30/'Revenue Build-up'!D$11</f>
        <v>2.1404109589041095E-2</v>
      </c>
      <c r="E31" s="155">
        <f>E30/'Revenue Build-up'!E$11</f>
        <v>2.1829605026211531E-2</v>
      </c>
      <c r="F31" s="155">
        <f>F30/'Revenue Build-up'!F$11</f>
        <v>1.446732718435529E-2</v>
      </c>
      <c r="G31" s="155">
        <f>G30/'Revenue Build-up'!G$11</f>
        <v>1.1330808372612447E-2</v>
      </c>
      <c r="H31" s="155">
        <f>H30/'Revenue Build-up'!H$11</f>
        <v>9.2701263699611486E-3</v>
      </c>
      <c r="I31" s="171">
        <f>AVERAGE(D31:H31)</f>
        <v>1.5660395308436305E-2</v>
      </c>
      <c r="J31" s="171">
        <f>I31</f>
        <v>1.5660395308436305E-2</v>
      </c>
      <c r="K31" s="171">
        <f t="shared" ref="K31:R31" si="9">J31</f>
        <v>1.5660395308436305E-2</v>
      </c>
      <c r="L31" s="171">
        <f t="shared" si="9"/>
        <v>1.5660395308436305E-2</v>
      </c>
      <c r="M31" s="171">
        <f t="shared" si="9"/>
        <v>1.5660395308436305E-2</v>
      </c>
      <c r="N31" s="171">
        <f t="shared" si="9"/>
        <v>1.5660395308436305E-2</v>
      </c>
      <c r="O31" s="171">
        <f t="shared" si="9"/>
        <v>1.5660395308436305E-2</v>
      </c>
      <c r="P31" s="171">
        <f t="shared" si="9"/>
        <v>1.5660395308436305E-2</v>
      </c>
      <c r="Q31" s="171">
        <f t="shared" si="9"/>
        <v>1.5660395308436305E-2</v>
      </c>
      <c r="R31" s="171">
        <f t="shared" si="9"/>
        <v>1.5660395308436305E-2</v>
      </c>
      <c r="S31" s="31"/>
    </row>
    <row r="32" spans="2:19" x14ac:dyDescent="0.25">
      <c r="B32" t="s">
        <v>224</v>
      </c>
      <c r="D32" s="116">
        <f>'Historical Balance Sheet'!D38</f>
        <v>4.5199999999999996</v>
      </c>
      <c r="E32" s="116">
        <f>'Historical Balance Sheet'!E38</f>
        <v>1.89</v>
      </c>
      <c r="F32" s="116">
        <f>'Historical Balance Sheet'!F38</f>
        <v>17.21</v>
      </c>
      <c r="G32" s="116">
        <f>'Historical Balance Sheet'!G38</f>
        <v>4</v>
      </c>
      <c r="H32" s="116">
        <f>'Historical Balance Sheet'!H38</f>
        <v>2.36</v>
      </c>
      <c r="I32" s="116">
        <f>I33*'Revenue Build-up'!I$11</f>
        <v>26.053031066040528</v>
      </c>
      <c r="J32" s="116">
        <f>J33*'Revenue Build-up'!J$11</f>
        <v>39.634270275648277</v>
      </c>
      <c r="K32" s="116">
        <f>K33*'Revenue Build-up'!K$11</f>
        <v>57.196147376445346</v>
      </c>
      <c r="L32" s="116">
        <f>L33*'Revenue Build-up'!L$11</f>
        <v>78.738134860926976</v>
      </c>
      <c r="M32" s="116">
        <f>M33*'Revenue Build-up'!M$11</f>
        <v>103.94524398451165</v>
      </c>
      <c r="N32" s="116">
        <f>N33*'Revenue Build-up'!N$11</f>
        <v>132.23058812848541</v>
      </c>
      <c r="O32" s="116">
        <f>O33*'Revenue Build-up'!O$11</f>
        <v>162.81553281640043</v>
      </c>
      <c r="P32" s="116">
        <f>P33*'Revenue Build-up'!P$11</f>
        <v>194.82589074948098</v>
      </c>
      <c r="Q32" s="116">
        <f>Q33*'Revenue Build-up'!Q$11</f>
        <v>227.3840836392925</v>
      </c>
      <c r="R32" s="116">
        <f>R33*'Revenue Build-up'!R$11</f>
        <v>259.68334634361418</v>
      </c>
    </row>
    <row r="33" spans="2:19" x14ac:dyDescent="0.25">
      <c r="B33" s="172" t="str">
        <f>B32 &amp; "% of Revenue"</f>
        <v>Current Tax Assets (Net)% of Revenue</v>
      </c>
      <c r="C33" s="173"/>
      <c r="D33" s="155">
        <f>D32/'Revenue Build-up'!D$11</f>
        <v>1.7431815377020854E-3</v>
      </c>
      <c r="E33" s="155">
        <f>E32/'Revenue Build-up'!E$11</f>
        <v>4.2018488134779297E-4</v>
      </c>
      <c r="F33" s="155">
        <f>F32/'Revenue Build-up'!F$11</f>
        <v>2.0880803492347748E-3</v>
      </c>
      <c r="G33" s="155">
        <f>G32/'Revenue Build-up'!G$11</f>
        <v>3.2322945008165588E-4</v>
      </c>
      <c r="H33" s="155">
        <f>H32/'Revenue Build-up'!H$11</f>
        <v>1.3773292768262598E-4</v>
      </c>
      <c r="I33" s="171">
        <f>AVERAGE(D33:H33)</f>
        <v>9.4248182920978699E-4</v>
      </c>
      <c r="J33" s="171">
        <f>I33</f>
        <v>9.4248182920978699E-4</v>
      </c>
      <c r="K33" s="171">
        <f t="shared" ref="K33:R33" si="10">J33</f>
        <v>9.4248182920978699E-4</v>
      </c>
      <c r="L33" s="171">
        <f t="shared" si="10"/>
        <v>9.4248182920978699E-4</v>
      </c>
      <c r="M33" s="171">
        <f t="shared" si="10"/>
        <v>9.4248182920978699E-4</v>
      </c>
      <c r="N33" s="171">
        <f t="shared" si="10"/>
        <v>9.4248182920978699E-4</v>
      </c>
      <c r="O33" s="171">
        <f t="shared" si="10"/>
        <v>9.4248182920978699E-4</v>
      </c>
      <c r="P33" s="171">
        <f t="shared" si="10"/>
        <v>9.4248182920978699E-4</v>
      </c>
      <c r="Q33" s="171">
        <f t="shared" si="10"/>
        <v>9.4248182920978699E-4</v>
      </c>
      <c r="R33" s="171">
        <f t="shared" si="10"/>
        <v>9.4248182920978699E-4</v>
      </c>
      <c r="S33" s="31"/>
    </row>
    <row r="34" spans="2:19" x14ac:dyDescent="0.25">
      <c r="B34" t="s">
        <v>47</v>
      </c>
      <c r="D34" s="116">
        <f>'Historical Balance Sheet'!D39</f>
        <v>106.03</v>
      </c>
      <c r="E34" s="116">
        <f>'Historical Balance Sheet'!E39</f>
        <v>152.19999999999999</v>
      </c>
      <c r="F34" s="116">
        <f>'Historical Balance Sheet'!F39</f>
        <v>188.01</v>
      </c>
      <c r="G34" s="116">
        <f>'Historical Balance Sheet'!G39</f>
        <v>253.63</v>
      </c>
      <c r="H34" s="116">
        <f>'Historical Balance Sheet'!H39</f>
        <v>402.61</v>
      </c>
      <c r="I34" s="116">
        <f>I35*'Revenue Build-up'!I$11</f>
        <v>782.47297134405619</v>
      </c>
      <c r="J34" s="116">
        <f>J35*'Revenue Build-up'!J$11</f>
        <v>1190.3699477817861</v>
      </c>
      <c r="K34" s="116">
        <f>K35*'Revenue Build-up'!K$11</f>
        <v>1717.8208275894631</v>
      </c>
      <c r="L34" s="116">
        <f>L35*'Revenue Build-up'!L$11</f>
        <v>2364.8097676828947</v>
      </c>
      <c r="M34" s="116">
        <f>M35*'Revenue Build-up'!M$11</f>
        <v>3121.8764416114709</v>
      </c>
      <c r="N34" s="116">
        <f>N35*'Revenue Build-up'!N$11</f>
        <v>3971.3943814520112</v>
      </c>
      <c r="O34" s="116">
        <f>O35*'Revenue Build-up'!O$11</f>
        <v>4889.9781918225863</v>
      </c>
      <c r="P34" s="116">
        <f>P35*'Revenue Build-up'!P$11</f>
        <v>5851.372657679296</v>
      </c>
      <c r="Q34" s="116">
        <f>Q35*'Revenue Build-up'!Q$11</f>
        <v>6829.2207194847024</v>
      </c>
      <c r="R34" s="116">
        <f>R35*'Revenue Build-up'!R$11</f>
        <v>7799.2921095048805</v>
      </c>
    </row>
    <row r="35" spans="2:19" x14ac:dyDescent="0.25">
      <c r="B35" s="172" t="str">
        <f>B34 &amp; "% of Revenue"</f>
        <v>Other Current Assets% of Revenue</v>
      </c>
      <c r="C35" s="173"/>
      <c r="D35" s="155">
        <f>D34/'Revenue Build-up'!D$11</f>
        <v>4.089149080587437E-2</v>
      </c>
      <c r="E35" s="155">
        <f>E34/'Revenue Build-up'!E$11</f>
        <v>3.3837110550864594E-2</v>
      </c>
      <c r="F35" s="155">
        <f>F34/'Revenue Build-up'!F$11</f>
        <v>2.2811155517700757E-2</v>
      </c>
      <c r="G35" s="155">
        <f>G34/'Revenue Build-up'!G$11</f>
        <v>2.0495171356052593E-2</v>
      </c>
      <c r="H35" s="155">
        <f>H34/'Revenue Build-up'!H$11</f>
        <v>2.3496887294195783E-2</v>
      </c>
      <c r="I35" s="171">
        <f>AVERAGE(D35:H35)</f>
        <v>2.8306363104937622E-2</v>
      </c>
      <c r="J35" s="171">
        <f>I35</f>
        <v>2.8306363104937622E-2</v>
      </c>
      <c r="K35" s="171">
        <f t="shared" ref="K35:R35" si="11">J35</f>
        <v>2.8306363104937622E-2</v>
      </c>
      <c r="L35" s="171">
        <f t="shared" si="11"/>
        <v>2.8306363104937622E-2</v>
      </c>
      <c r="M35" s="171">
        <f t="shared" si="11"/>
        <v>2.8306363104937622E-2</v>
      </c>
      <c r="N35" s="171">
        <f t="shared" si="11"/>
        <v>2.8306363104937622E-2</v>
      </c>
      <c r="O35" s="171">
        <f t="shared" si="11"/>
        <v>2.8306363104937622E-2</v>
      </c>
      <c r="P35" s="171">
        <f t="shared" si="11"/>
        <v>2.8306363104937622E-2</v>
      </c>
      <c r="Q35" s="171">
        <f t="shared" si="11"/>
        <v>2.8306363104937622E-2</v>
      </c>
      <c r="R35" s="171">
        <f t="shared" si="11"/>
        <v>2.8306363104937622E-2</v>
      </c>
      <c r="S35" s="31"/>
    </row>
    <row r="36" spans="2:19" x14ac:dyDescent="0.25">
      <c r="B36" t="s">
        <v>48</v>
      </c>
      <c r="D36" s="116">
        <f>'Historical Balance Sheet'!D40</f>
        <v>9.9700000000000006</v>
      </c>
      <c r="E36" s="116">
        <f>'Historical Balance Sheet'!E40</f>
        <v>6.4</v>
      </c>
      <c r="F36" s="116">
        <f>'Historical Balance Sheet'!F40</f>
        <v>8.69</v>
      </c>
      <c r="G36" s="116">
        <f>'Historical Balance Sheet'!G40</f>
        <v>13.12</v>
      </c>
      <c r="H36" s="116">
        <f>'Historical Balance Sheet'!H40</f>
        <v>9.14</v>
      </c>
      <c r="I36" s="116">
        <f>I37*'Revenue Build-up'!I$11</f>
        <v>43.763544283173083</v>
      </c>
      <c r="J36" s="116">
        <f>J37*'Revenue Build-up'!J$11</f>
        <v>66.577134074833566</v>
      </c>
      <c r="K36" s="116">
        <f>K37*'Revenue Build-up'!K$11</f>
        <v>96.077347859869406</v>
      </c>
      <c r="L36" s="116">
        <f>L37*'Revenue Build-up'!L$11</f>
        <v>132.26329953800362</v>
      </c>
      <c r="M36" s="116">
        <f>M37*'Revenue Build-up'!M$11</f>
        <v>174.60587509416246</v>
      </c>
      <c r="N36" s="116">
        <f>N37*'Revenue Build-up'!N$11</f>
        <v>222.11922998449285</v>
      </c>
      <c r="O36" s="116">
        <f>O37*'Revenue Build-up'!O$11</f>
        <v>273.49542409622813</v>
      </c>
      <c r="P36" s="116">
        <f>P37*'Revenue Build-up'!P$11</f>
        <v>327.26600892275189</v>
      </c>
      <c r="Q36" s="116">
        <f>Q37*'Revenue Build-up'!Q$11</f>
        <v>381.95683981692105</v>
      </c>
      <c r="R36" s="116">
        <f>R37*'Revenue Build-up'!R$11</f>
        <v>436.21272313780355</v>
      </c>
    </row>
    <row r="37" spans="2:19" x14ac:dyDescent="0.25">
      <c r="B37" s="172" t="str">
        <f>B36 &amp; "% of Revenue"</f>
        <v>Assets held for sale% of Revenue</v>
      </c>
      <c r="C37" s="173"/>
      <c r="D37" s="155">
        <f>D36/'Revenue Build-up'!D$11</f>
        <v>3.8450265333826979E-3</v>
      </c>
      <c r="E37" s="155">
        <f>E36/'Revenue Build-up'!E$11</f>
        <v>1.4228482754634262E-3</v>
      </c>
      <c r="F37" s="155">
        <f>F36/'Revenue Build-up'!F$11</f>
        <v>1.0543531804096567E-3</v>
      </c>
      <c r="G37" s="155">
        <f>G36/'Revenue Build-up'!G$11</f>
        <v>1.0601925962678313E-3</v>
      </c>
      <c r="H37" s="155">
        <f>H36/'Revenue Build-up'!H$11</f>
        <v>5.3342328772000059E-4</v>
      </c>
      <c r="I37" s="171">
        <f>AVERAGE(D37:H37)</f>
        <v>1.5831687746487226E-3</v>
      </c>
      <c r="J37" s="171">
        <f>I37</f>
        <v>1.5831687746487226E-3</v>
      </c>
      <c r="K37" s="171">
        <f t="shared" ref="K37:R37" si="12">J37</f>
        <v>1.5831687746487226E-3</v>
      </c>
      <c r="L37" s="171">
        <f t="shared" si="12"/>
        <v>1.5831687746487226E-3</v>
      </c>
      <c r="M37" s="171">
        <f t="shared" si="12"/>
        <v>1.5831687746487226E-3</v>
      </c>
      <c r="N37" s="171">
        <f t="shared" si="12"/>
        <v>1.5831687746487226E-3</v>
      </c>
      <c r="O37" s="171">
        <f t="shared" si="12"/>
        <v>1.5831687746487226E-3</v>
      </c>
      <c r="P37" s="171">
        <f t="shared" si="12"/>
        <v>1.5831687746487226E-3</v>
      </c>
      <c r="Q37" s="171">
        <f t="shared" si="12"/>
        <v>1.5831687746487226E-3</v>
      </c>
      <c r="R37" s="171">
        <f t="shared" si="12"/>
        <v>1.5831687746487226E-3</v>
      </c>
      <c r="S37" s="31"/>
    </row>
    <row r="40" spans="2:19" x14ac:dyDescent="0.25">
      <c r="B40" s="25" t="s">
        <v>225</v>
      </c>
    </row>
    <row r="41" spans="2:19" x14ac:dyDescent="0.25">
      <c r="B41" s="25" t="s">
        <v>226</v>
      </c>
    </row>
    <row r="42" spans="2:19" x14ac:dyDescent="0.25">
      <c r="B42" t="s">
        <v>60</v>
      </c>
      <c r="D42" s="116">
        <v>0</v>
      </c>
      <c r="E42" s="116">
        <v>497.38</v>
      </c>
      <c r="F42" s="116">
        <v>497.95</v>
      </c>
      <c r="G42" s="116">
        <v>498.56</v>
      </c>
      <c r="H42" s="116">
        <v>499.2</v>
      </c>
      <c r="I42" s="116">
        <f>I43*'Revenue Build-up'!I$11</f>
        <v>1329.1580713553019</v>
      </c>
      <c r="J42" s="116">
        <f>J43*'Revenue Build-up'!J$11</f>
        <v>2022.0376702280437</v>
      </c>
      <c r="K42" s="116">
        <f>K43*'Revenue Build-up'!K$11</f>
        <v>2917.9990897459684</v>
      </c>
      <c r="L42" s="116">
        <f>L43*'Revenue Build-up'!L$11</f>
        <v>4017.0154178443781</v>
      </c>
      <c r="M42" s="116">
        <f>M43*'Revenue Build-up'!M$11</f>
        <v>5303.016745759669</v>
      </c>
      <c r="N42" s="116">
        <f>N43*'Revenue Build-up'!N$11</f>
        <v>6746.0616404103412</v>
      </c>
      <c r="O42" s="116">
        <f>O43*'Revenue Build-up'!O$11</f>
        <v>8306.4261903489041</v>
      </c>
      <c r="P42" s="116">
        <f>P43*'Revenue Build-up'!P$11</f>
        <v>9939.5116269676364</v>
      </c>
      <c r="Q42" s="116">
        <f>Q43*'Revenue Build-up'!Q$11</f>
        <v>11600.546182161625</v>
      </c>
      <c r="R42" s="116">
        <f>R43*'Revenue Build-up'!R$11</f>
        <v>13248.370790878023</v>
      </c>
    </row>
    <row r="43" spans="2:19" x14ac:dyDescent="0.25">
      <c r="B43" s="172" t="str">
        <f>B42 &amp; "% of Revenue"</f>
        <v>Borrowings% of Revenue</v>
      </c>
      <c r="C43" s="173"/>
      <c r="D43" s="155">
        <f>D42/'Revenue Build-up'!D$11</f>
        <v>0</v>
      </c>
      <c r="E43" s="155">
        <f>E42/'Revenue Build-up'!E$11</f>
        <v>0.11057754300781232</v>
      </c>
      <c r="F43" s="155">
        <f>F42/'Revenue Build-up'!F$11</f>
        <v>6.0416014520712151E-2</v>
      </c>
      <c r="G43" s="155">
        <f>G42/'Revenue Build-up'!G$11</f>
        <v>4.0287318658177591E-2</v>
      </c>
      <c r="H43" s="155">
        <f>H42/'Revenue Build-up'!H$11</f>
        <v>2.9134015889477494E-2</v>
      </c>
      <c r="I43" s="171">
        <f>AVERAGE(D43:H43)</f>
        <v>4.8082978415235914E-2</v>
      </c>
      <c r="J43" s="171">
        <f>I43</f>
        <v>4.8082978415235914E-2</v>
      </c>
      <c r="K43" s="171">
        <f t="shared" ref="K43:R43" si="13">J43</f>
        <v>4.8082978415235914E-2</v>
      </c>
      <c r="L43" s="171">
        <f t="shared" si="13"/>
        <v>4.8082978415235914E-2</v>
      </c>
      <c r="M43" s="171">
        <f t="shared" si="13"/>
        <v>4.8082978415235914E-2</v>
      </c>
      <c r="N43" s="171">
        <f t="shared" si="13"/>
        <v>4.8082978415235914E-2</v>
      </c>
      <c r="O43" s="171">
        <f t="shared" si="13"/>
        <v>4.8082978415235914E-2</v>
      </c>
      <c r="P43" s="171">
        <f t="shared" si="13"/>
        <v>4.8082978415235914E-2</v>
      </c>
      <c r="Q43" s="171">
        <f t="shared" si="13"/>
        <v>4.8082978415235914E-2</v>
      </c>
      <c r="R43" s="171">
        <f t="shared" si="13"/>
        <v>4.8082978415235914E-2</v>
      </c>
      <c r="S43" s="31"/>
    </row>
    <row r="44" spans="2:19" x14ac:dyDescent="0.25">
      <c r="B44" t="s">
        <v>73</v>
      </c>
      <c r="D44" s="116">
        <v>2587.19</v>
      </c>
      <c r="E44" s="116">
        <v>4126.01</v>
      </c>
      <c r="F44" s="116">
        <v>3750.22</v>
      </c>
      <c r="G44" s="116">
        <v>845.2</v>
      </c>
      <c r="H44" s="116">
        <v>1101.8</v>
      </c>
      <c r="I44" s="116">
        <f>I45*'Revenue Build-up'!I$11</f>
        <v>1777.5172152723151</v>
      </c>
      <c r="J44" s="116">
        <f>J45*'Revenue Build-up'!J$11</f>
        <v>2704.122892692943</v>
      </c>
      <c r="K44" s="116">
        <f>K45*'Revenue Build-up'!K$11</f>
        <v>3902.3151030363074</v>
      </c>
      <c r="L44" s="116">
        <f>L45*'Revenue Build-up'!L$11</f>
        <v>5372.0578561073135</v>
      </c>
      <c r="M44" s="116">
        <f>M45*'Revenue Build-up'!M$11</f>
        <v>7091.8604503176739</v>
      </c>
      <c r="N44" s="116">
        <f>N45*'Revenue Build-up'!N$11</f>
        <v>9021.6814384540994</v>
      </c>
      <c r="O44" s="116">
        <f>O45*'Revenue Build-up'!O$11</f>
        <v>11108.397013817008</v>
      </c>
      <c r="P44" s="116">
        <f>P45*'Revenue Build-up'!P$11</f>
        <v>13292.36409806333</v>
      </c>
      <c r="Q44" s="116">
        <f>Q45*'Revenue Build-up'!Q$11</f>
        <v>15513.708256180593</v>
      </c>
      <c r="R44" s="116">
        <f>R45*'Revenue Build-up'!R$11</f>
        <v>17717.386413704866</v>
      </c>
    </row>
    <row r="45" spans="2:19" x14ac:dyDescent="0.25">
      <c r="B45" s="172" t="str">
        <f>B44 &amp; "% of Revenue"</f>
        <v>Lease Liabilities% of Revenue</v>
      </c>
      <c r="C45" s="173"/>
      <c r="D45" s="155">
        <f>D44/'Revenue Build-up'!D$11</f>
        <v>0.99777474392200416</v>
      </c>
      <c r="E45" s="155">
        <f>E44/'Revenue Build-up'!E$11</f>
        <v>0.91729472078825791</v>
      </c>
      <c r="F45" s="155">
        <f>F44/'Revenue Build-up'!F$11</f>
        <v>0.45501224214452279</v>
      </c>
      <c r="G45" s="155">
        <f>G44/'Revenue Build-up'!G$11</f>
        <v>6.8298382802253893E-2</v>
      </c>
      <c r="H45" s="155">
        <f>H44/'Revenue Build-up'!H$11</f>
        <v>6.4302601576575122E-2</v>
      </c>
      <c r="I45" s="171">
        <f>H45</f>
        <v>6.4302601576575122E-2</v>
      </c>
      <c r="J45" s="171">
        <f>I45</f>
        <v>6.4302601576575122E-2</v>
      </c>
      <c r="K45" s="171">
        <f t="shared" ref="K45:R45" si="14">J45</f>
        <v>6.4302601576575122E-2</v>
      </c>
      <c r="L45" s="171">
        <f t="shared" si="14"/>
        <v>6.4302601576575122E-2</v>
      </c>
      <c r="M45" s="171">
        <f t="shared" si="14"/>
        <v>6.4302601576575122E-2</v>
      </c>
      <c r="N45" s="171">
        <f t="shared" si="14"/>
        <v>6.4302601576575122E-2</v>
      </c>
      <c r="O45" s="171">
        <f t="shared" si="14"/>
        <v>6.4302601576575122E-2</v>
      </c>
      <c r="P45" s="171">
        <f t="shared" si="14"/>
        <v>6.4302601576575122E-2</v>
      </c>
      <c r="Q45" s="171">
        <f t="shared" si="14"/>
        <v>6.4302601576575122E-2</v>
      </c>
      <c r="R45" s="171">
        <f t="shared" si="14"/>
        <v>6.4302601576575122E-2</v>
      </c>
      <c r="S45" s="31"/>
    </row>
    <row r="46" spans="2:19" x14ac:dyDescent="0.25">
      <c r="B46" t="s">
        <v>61</v>
      </c>
      <c r="D46" s="116">
        <v>4.9400000000000004</v>
      </c>
      <c r="E46" s="116">
        <v>8.48</v>
      </c>
      <c r="F46" s="116">
        <v>8.06</v>
      </c>
      <c r="G46" s="116">
        <v>5.3</v>
      </c>
      <c r="H46" s="116">
        <v>46.47</v>
      </c>
      <c r="I46" s="116">
        <f>I47*'Revenue Build-up'!I$11</f>
        <v>43.723948599947803</v>
      </c>
      <c r="J46" s="116">
        <f>J47*'Revenue Build-up'!J$11</f>
        <v>66.516897474849415</v>
      </c>
      <c r="K46" s="116">
        <f>K47*'Revenue Build-up'!K$11</f>
        <v>95.990420525868089</v>
      </c>
      <c r="L46" s="116">
        <f>L47*'Revenue Build-up'!L$11</f>
        <v>132.14363245443857</v>
      </c>
      <c r="M46" s="116">
        <f>M47*'Revenue Build-up'!M$11</f>
        <v>174.44789796884629</v>
      </c>
      <c r="N46" s="116">
        <f>N47*'Revenue Build-up'!N$11</f>
        <v>221.91826448197773</v>
      </c>
      <c r="O46" s="116">
        <f>O47*'Revenue Build-up'!O$11</f>
        <v>273.2479752583094</v>
      </c>
      <c r="P46" s="116">
        <f>P47*'Revenue Build-up'!P$11</f>
        <v>326.96991039069837</v>
      </c>
      <c r="Q46" s="116">
        <f>Q47*'Revenue Build-up'!Q$11</f>
        <v>381.61125898513876</v>
      </c>
      <c r="R46" s="116">
        <f>R47*'Revenue Build-up'!R$11</f>
        <v>435.81805353123696</v>
      </c>
    </row>
    <row r="47" spans="2:19" x14ac:dyDescent="0.25">
      <c r="B47" s="172" t="str">
        <f>B46 &amp; "% of Revenue"</f>
        <v>Other Financial Liabilities% of Revenue</v>
      </c>
      <c r="C47" s="173"/>
      <c r="D47" s="155">
        <f>D46/'Revenue Build-up'!D$11</f>
        <v>1.9051585832407752E-3</v>
      </c>
      <c r="E47" s="155">
        <f>E46/'Revenue Build-up'!E$11</f>
        <v>1.8852739649890394E-3</v>
      </c>
      <c r="F47" s="155">
        <f>F46/'Revenue Build-up'!F$11</f>
        <v>9.7791560806695442E-4</v>
      </c>
      <c r="G47" s="155">
        <f>G46/'Revenue Build-up'!G$11</f>
        <v>4.2827902135819402E-4</v>
      </c>
      <c r="H47" s="155">
        <f>H46/'Revenue Build-up'!H$11</f>
        <v>2.7120547243269615E-3</v>
      </c>
      <c r="I47" s="171">
        <f>AVERAGE(D47:H47)</f>
        <v>1.5817363803963848E-3</v>
      </c>
      <c r="J47" s="171">
        <f>I47</f>
        <v>1.5817363803963848E-3</v>
      </c>
      <c r="K47" s="171">
        <f t="shared" ref="K47:R47" si="15">J47</f>
        <v>1.5817363803963848E-3</v>
      </c>
      <c r="L47" s="171">
        <f t="shared" si="15"/>
        <v>1.5817363803963848E-3</v>
      </c>
      <c r="M47" s="171">
        <f t="shared" si="15"/>
        <v>1.5817363803963848E-3</v>
      </c>
      <c r="N47" s="171">
        <f t="shared" si="15"/>
        <v>1.5817363803963848E-3</v>
      </c>
      <c r="O47" s="171">
        <f t="shared" si="15"/>
        <v>1.5817363803963848E-3</v>
      </c>
      <c r="P47" s="171">
        <f t="shared" si="15"/>
        <v>1.5817363803963848E-3</v>
      </c>
      <c r="Q47" s="171">
        <f t="shared" si="15"/>
        <v>1.5817363803963848E-3</v>
      </c>
      <c r="R47" s="171">
        <f t="shared" si="15"/>
        <v>1.5817363803963848E-3</v>
      </c>
      <c r="S47" s="31"/>
    </row>
    <row r="48" spans="2:19" x14ac:dyDescent="0.25">
      <c r="B48" t="s">
        <v>62</v>
      </c>
      <c r="D48" s="116">
        <v>13.98</v>
      </c>
      <c r="E48" s="116">
        <v>21.26</v>
      </c>
      <c r="F48" s="116">
        <v>58.9</v>
      </c>
      <c r="G48" s="116">
        <v>160.04</v>
      </c>
      <c r="H48" s="116">
        <v>165.78</v>
      </c>
      <c r="I48" s="116">
        <f>I49*'Revenue Build-up'!I$11</f>
        <v>220.43592988329229</v>
      </c>
      <c r="J48" s="116">
        <f>J49*'Revenue Build-up'!J$11</f>
        <v>335.34743812770722</v>
      </c>
      <c r="K48" s="116">
        <f>K49*'Revenue Build-up'!K$11</f>
        <v>483.93931211723316</v>
      </c>
      <c r="L48" s="116">
        <f>L49*'Revenue Build-up'!L$11</f>
        <v>666.20708858588637</v>
      </c>
      <c r="M48" s="116">
        <f>M49*'Revenue Build-up'!M$11</f>
        <v>879.4856328459374</v>
      </c>
      <c r="N48" s="116">
        <f>N49*'Revenue Build-up'!N$11</f>
        <v>1118.8092694178486</v>
      </c>
      <c r="O48" s="116">
        <f>O49*'Revenue Build-up'!O$11</f>
        <v>1377.5899351154251</v>
      </c>
      <c r="P48" s="116">
        <f>P49*'Revenue Build-up'!P$11</f>
        <v>1648.4310897967798</v>
      </c>
      <c r="Q48" s="116">
        <f>Q49*'Revenue Build-up'!Q$11</f>
        <v>1923.9075019959055</v>
      </c>
      <c r="R48" s="116">
        <f>R49*'Revenue Build-up'!R$11</f>
        <v>2197.1930936310578</v>
      </c>
    </row>
    <row r="49" spans="2:19" x14ac:dyDescent="0.25">
      <c r="B49" s="172" t="str">
        <f>B48 &amp; "% of Revenue"</f>
        <v>Provisions% of Revenue</v>
      </c>
      <c r="C49" s="173"/>
      <c r="D49" s="155">
        <f>D48/'Revenue Build-up'!D$11</f>
        <v>5.3915216586449466E-3</v>
      </c>
      <c r="E49" s="155">
        <f>E48/'Revenue Build-up'!E$11</f>
        <v>4.7265241150550689E-3</v>
      </c>
      <c r="F49" s="155">
        <f>F48/'Revenue Build-up'!F$11</f>
        <v>7.146306366643128E-3</v>
      </c>
      <c r="G49" s="155">
        <f>G48/'Revenue Build-up'!G$11</f>
        <v>1.2932410297767051E-2</v>
      </c>
      <c r="H49" s="155">
        <f>H48/'Revenue Build-up'!H$11</f>
        <v>9.6751545556041253E-3</v>
      </c>
      <c r="I49" s="171">
        <f>AVERAGE(D49:H49)</f>
        <v>7.9743833987428632E-3</v>
      </c>
      <c r="J49" s="171">
        <f>I49</f>
        <v>7.9743833987428632E-3</v>
      </c>
      <c r="K49" s="171">
        <f t="shared" ref="K49:R49" si="16">J49</f>
        <v>7.9743833987428632E-3</v>
      </c>
      <c r="L49" s="171">
        <f t="shared" si="16"/>
        <v>7.9743833987428632E-3</v>
      </c>
      <c r="M49" s="171">
        <f t="shared" si="16"/>
        <v>7.9743833987428632E-3</v>
      </c>
      <c r="N49" s="171">
        <f t="shared" si="16"/>
        <v>7.9743833987428632E-3</v>
      </c>
      <c r="O49" s="171">
        <f t="shared" si="16"/>
        <v>7.9743833987428632E-3</v>
      </c>
      <c r="P49" s="171">
        <f t="shared" si="16"/>
        <v>7.9743833987428632E-3</v>
      </c>
      <c r="Q49" s="171">
        <f t="shared" si="16"/>
        <v>7.9743833987428632E-3</v>
      </c>
      <c r="R49" s="171">
        <f t="shared" si="16"/>
        <v>7.9743833987428632E-3</v>
      </c>
      <c r="S49" s="31"/>
    </row>
    <row r="50" spans="2:19" x14ac:dyDescent="0.25">
      <c r="B50" t="s">
        <v>63</v>
      </c>
      <c r="D50" s="116">
        <v>8.66</v>
      </c>
      <c r="E50" s="116">
        <v>9.5</v>
      </c>
      <c r="F50" s="116">
        <v>9.4499999999999993</v>
      </c>
      <c r="G50" s="116">
        <v>8.59</v>
      </c>
      <c r="H50" s="116">
        <v>12.34</v>
      </c>
      <c r="I50" s="116">
        <f>I51*'Revenue Build-up'!I$11</f>
        <v>44.299197077501496</v>
      </c>
      <c r="J50" s="116">
        <f>J51*'Revenue Build-up'!J$11</f>
        <v>67.392018437827758</v>
      </c>
      <c r="K50" s="116">
        <f>K51*'Revenue Build-up'!K$11</f>
        <v>97.253306084820338</v>
      </c>
      <c r="L50" s="116">
        <f>L51*'Revenue Build-up'!L$11</f>
        <v>133.88216307259782</v>
      </c>
      <c r="M50" s="116">
        <f>M51*'Revenue Build-up'!M$11</f>
        <v>176.74299918756699</v>
      </c>
      <c r="N50" s="116">
        <f>N51*'Revenue Build-up'!N$11</f>
        <v>224.83790344122693</v>
      </c>
      <c r="O50" s="116">
        <f>O51*'Revenue Build-up'!O$11</f>
        <v>276.84292692198778</v>
      </c>
      <c r="P50" s="116">
        <f>P51*'Revenue Build-up'!P$11</f>
        <v>331.27164774930327</v>
      </c>
      <c r="Q50" s="116">
        <f>Q51*'Revenue Build-up'!Q$11</f>
        <v>386.63187818303095</v>
      </c>
      <c r="R50" s="116">
        <f>R51*'Revenue Build-up'!R$11</f>
        <v>441.55183741425424</v>
      </c>
    </row>
    <row r="51" spans="2:19" x14ac:dyDescent="0.25">
      <c r="B51" s="172" t="str">
        <f>B50 &amp; "% of Revenue"</f>
        <v>Other Non-Current Liabilities% of Revenue</v>
      </c>
      <c r="C51" s="173"/>
      <c r="D51" s="155">
        <f>D50/'Revenue Build-up'!D$11</f>
        <v>3.3398124151548811E-3</v>
      </c>
      <c r="E51" s="155">
        <f>E50/'Revenue Build-up'!E$11</f>
        <v>2.112040408891023E-3</v>
      </c>
      <c r="F51" s="155">
        <f>F50/'Revenue Build-up'!F$11</f>
        <v>1.1465635851405358E-3</v>
      </c>
      <c r="G51" s="155">
        <f>G50/'Revenue Build-up'!G$11</f>
        <v>6.9413524405035601E-4</v>
      </c>
      <c r="H51" s="155">
        <f>H50/'Revenue Build-up'!H$11</f>
        <v>7.2017979983203583E-4</v>
      </c>
      <c r="I51" s="171">
        <f>AVERAGE(D51:H51)</f>
        <v>1.6025462906137662E-3</v>
      </c>
      <c r="J51" s="171">
        <f>I51</f>
        <v>1.6025462906137662E-3</v>
      </c>
      <c r="K51" s="171">
        <f t="shared" ref="K51:R51" si="17">J51</f>
        <v>1.6025462906137662E-3</v>
      </c>
      <c r="L51" s="171">
        <f t="shared" si="17"/>
        <v>1.6025462906137662E-3</v>
      </c>
      <c r="M51" s="171">
        <f t="shared" si="17"/>
        <v>1.6025462906137662E-3</v>
      </c>
      <c r="N51" s="171">
        <f t="shared" si="17"/>
        <v>1.6025462906137662E-3</v>
      </c>
      <c r="O51" s="171">
        <f t="shared" si="17"/>
        <v>1.6025462906137662E-3</v>
      </c>
      <c r="P51" s="171">
        <f t="shared" si="17"/>
        <v>1.6025462906137662E-3</v>
      </c>
      <c r="Q51" s="171">
        <f t="shared" si="17"/>
        <v>1.6025462906137662E-3</v>
      </c>
      <c r="R51" s="171">
        <f t="shared" si="17"/>
        <v>1.6025462906137662E-3</v>
      </c>
      <c r="S51" s="31"/>
    </row>
    <row r="53" spans="2:19" x14ac:dyDescent="0.25">
      <c r="B53" s="25" t="s">
        <v>227</v>
      </c>
    </row>
    <row r="54" spans="2:19" x14ac:dyDescent="0.25">
      <c r="B54" t="s">
        <v>60</v>
      </c>
      <c r="D54" s="116">
        <v>299.93</v>
      </c>
      <c r="E54" s="116">
        <v>0</v>
      </c>
      <c r="F54" s="116">
        <v>0</v>
      </c>
      <c r="G54" s="116">
        <v>0</v>
      </c>
      <c r="H54" s="116">
        <v>0</v>
      </c>
      <c r="I54" s="116">
        <f>I55*'Revenue Build-up'!I$11</f>
        <v>0</v>
      </c>
      <c r="J54" s="116">
        <f>J55*'Revenue Build-up'!J$11</f>
        <v>0</v>
      </c>
      <c r="K54" s="116">
        <f>K55*'Revenue Build-up'!K$11</f>
        <v>0</v>
      </c>
      <c r="L54" s="116">
        <f>L55*'Revenue Build-up'!L$11</f>
        <v>0</v>
      </c>
      <c r="M54" s="116">
        <f>M55*'Revenue Build-up'!M$11</f>
        <v>0</v>
      </c>
      <c r="N54" s="116">
        <f>N55*'Revenue Build-up'!N$11</f>
        <v>0</v>
      </c>
      <c r="O54" s="116">
        <f>O55*'Revenue Build-up'!O$11</f>
        <v>0</v>
      </c>
      <c r="P54" s="116">
        <f>P55*'Revenue Build-up'!P$11</f>
        <v>0</v>
      </c>
      <c r="Q54" s="116">
        <f>Q55*'Revenue Build-up'!Q$11</f>
        <v>0</v>
      </c>
      <c r="R54" s="116">
        <f>R55*'Revenue Build-up'!R$11</f>
        <v>0</v>
      </c>
    </row>
    <row r="55" spans="2:19" x14ac:dyDescent="0.25">
      <c r="B55" s="172" t="str">
        <f>B54 &amp; "% of Revenue"</f>
        <v>Borrowings% of Revenue</v>
      </c>
      <c r="C55" s="173"/>
      <c r="D55" s="155">
        <f>D54/'Revenue Build-up'!D$11</f>
        <v>0.11567089349623597</v>
      </c>
      <c r="E55" s="155">
        <f>E54/'Revenue Build-up'!E$11</f>
        <v>0</v>
      </c>
      <c r="F55" s="155">
        <f>F54/'Revenue Build-up'!F$11</f>
        <v>0</v>
      </c>
      <c r="G55" s="155">
        <f>G54/'Revenue Build-up'!G$11</f>
        <v>0</v>
      </c>
      <c r="H55" s="155">
        <f>H54/'Revenue Build-up'!H$11</f>
        <v>0</v>
      </c>
      <c r="I55" s="171">
        <f>H55</f>
        <v>0</v>
      </c>
      <c r="J55" s="171">
        <f>I55</f>
        <v>0</v>
      </c>
      <c r="K55" s="171">
        <f t="shared" ref="K55:R55" si="18">J55</f>
        <v>0</v>
      </c>
      <c r="L55" s="171">
        <f t="shared" si="18"/>
        <v>0</v>
      </c>
      <c r="M55" s="171">
        <f t="shared" si="18"/>
        <v>0</v>
      </c>
      <c r="N55" s="171">
        <f t="shared" si="18"/>
        <v>0</v>
      </c>
      <c r="O55" s="171">
        <f t="shared" si="18"/>
        <v>0</v>
      </c>
      <c r="P55" s="171">
        <f t="shared" si="18"/>
        <v>0</v>
      </c>
      <c r="Q55" s="171">
        <f t="shared" si="18"/>
        <v>0</v>
      </c>
      <c r="R55" s="171">
        <f t="shared" si="18"/>
        <v>0</v>
      </c>
    </row>
    <row r="56" spans="2:19" x14ac:dyDescent="0.25">
      <c r="B56" t="s">
        <v>73</v>
      </c>
      <c r="D56" s="116">
        <v>76.510000000000005</v>
      </c>
      <c r="E56" s="116">
        <v>101.97</v>
      </c>
      <c r="F56" s="116">
        <v>215.97</v>
      </c>
      <c r="G56" s="116">
        <v>409.23</v>
      </c>
      <c r="H56" s="116">
        <v>636.19000000000005</v>
      </c>
      <c r="I56" s="116">
        <f>I57*'Revenue Build-up'!I$11</f>
        <v>821.42886634127819</v>
      </c>
      <c r="J56" s="116">
        <f>J57*'Revenue Build-up'!J$11</f>
        <v>1249.6332429905431</v>
      </c>
      <c r="K56" s="116">
        <f>K57*'Revenue Build-up'!K$11</f>
        <v>1803.3435871407212</v>
      </c>
      <c r="L56" s="116">
        <f>L57*'Revenue Build-up'!L$11</f>
        <v>2482.5432669499937</v>
      </c>
      <c r="M56" s="116">
        <f>M57*'Revenue Build-up'!M$11</f>
        <v>3277.3009678348094</v>
      </c>
      <c r="N56" s="116">
        <f>N57*'Revenue Build-up'!N$11</f>
        <v>4169.1126773960332</v>
      </c>
      <c r="O56" s="116">
        <f>O57*'Revenue Build-up'!O$11</f>
        <v>5133.4287440533371</v>
      </c>
      <c r="P56" s="116">
        <f>P57*'Revenue Build-up'!P$11</f>
        <v>6142.6868208389878</v>
      </c>
      <c r="Q56" s="116">
        <f>Q57*'Revenue Build-up'!Q$11</f>
        <v>7169.2176459013735</v>
      </c>
      <c r="R56" s="116">
        <f>R57*'Revenue Build-up'!R$11</f>
        <v>8187.5846328218813</v>
      </c>
    </row>
    <row r="57" spans="2:19" x14ac:dyDescent="0.25">
      <c r="B57" s="172" t="str">
        <f>B56 &amp; "% of Revenue"</f>
        <v>Lease Liabilities% of Revenue</v>
      </c>
      <c r="C57" s="173"/>
      <c r="D57" s="155">
        <f>D56/'Revenue Build-up'!D$11</f>
        <v>2.9506818462297916E-2</v>
      </c>
      <c r="E57" s="155">
        <f>E56/'Revenue Build-up'!E$11</f>
        <v>2.2669974788907116E-2</v>
      </c>
      <c r="F57" s="155">
        <f>F56/'Revenue Build-up'!F$11</f>
        <v>2.6203527775957833E-2</v>
      </c>
      <c r="G57" s="155">
        <f>G56/'Revenue Build-up'!G$11</f>
        <v>3.3068796964229007E-2</v>
      </c>
      <c r="H57" s="155">
        <f>H56/'Revenue Build-up'!H$11</f>
        <v>3.7128945450173659E-2</v>
      </c>
      <c r="I57" s="171">
        <f>AVERAGE(D57:H57)</f>
        <v>2.971561268831311E-2</v>
      </c>
      <c r="J57" s="171">
        <f>I57</f>
        <v>2.971561268831311E-2</v>
      </c>
      <c r="K57" s="171">
        <f t="shared" ref="K57:R57" si="19">J57</f>
        <v>2.971561268831311E-2</v>
      </c>
      <c r="L57" s="171">
        <f t="shared" si="19"/>
        <v>2.971561268831311E-2</v>
      </c>
      <c r="M57" s="171">
        <f t="shared" si="19"/>
        <v>2.971561268831311E-2</v>
      </c>
      <c r="N57" s="171">
        <f t="shared" si="19"/>
        <v>2.971561268831311E-2</v>
      </c>
      <c r="O57" s="171">
        <f t="shared" si="19"/>
        <v>2.971561268831311E-2</v>
      </c>
      <c r="P57" s="171">
        <f t="shared" si="19"/>
        <v>2.971561268831311E-2</v>
      </c>
      <c r="Q57" s="171">
        <f t="shared" si="19"/>
        <v>2.971561268831311E-2</v>
      </c>
      <c r="R57" s="171">
        <f t="shared" si="19"/>
        <v>2.971561268831311E-2</v>
      </c>
    </row>
    <row r="58" spans="2:19" x14ac:dyDescent="0.25">
      <c r="B58" t="s">
        <v>61</v>
      </c>
      <c r="D58" s="116">
        <v>45.04</v>
      </c>
      <c r="E58" s="116">
        <v>85.93</v>
      </c>
      <c r="F58" s="116">
        <v>79.489999999999995</v>
      </c>
      <c r="G58" s="116">
        <v>159.62</v>
      </c>
      <c r="H58" s="116">
        <v>242.91</v>
      </c>
      <c r="I58" s="116">
        <f>I59*'Revenue Build-up'!I$11</f>
        <v>404.65818824309184</v>
      </c>
      <c r="J58" s="116">
        <f>J59*'Revenue Build-up'!J$11</f>
        <v>615.60330394671143</v>
      </c>
      <c r="K58" s="116">
        <f>K59*'Revenue Build-up'!K$11</f>
        <v>888.37607083676448</v>
      </c>
      <c r="L58" s="116">
        <f>L59*'Revenue Build-up'!L$11</f>
        <v>1222.9682956158717</v>
      </c>
      <c r="M58" s="116">
        <f>M59*'Revenue Build-up'!M$11</f>
        <v>1614.4875427598815</v>
      </c>
      <c r="N58" s="116">
        <f>N59*'Revenue Build-up'!N$11</f>
        <v>2053.8182327713102</v>
      </c>
      <c r="O58" s="116">
        <f>O59*'Revenue Build-up'!O$11</f>
        <v>2528.8665399550091</v>
      </c>
      <c r="P58" s="116">
        <f>P59*'Revenue Build-up'!P$11</f>
        <v>3026.0545029746936</v>
      </c>
      <c r="Q58" s="116">
        <f>Q59*'Revenue Build-up'!Q$11</f>
        <v>3531.7514913160408</v>
      </c>
      <c r="R58" s="116">
        <f>R59*'Revenue Build-up'!R$11</f>
        <v>4033.4267510732479</v>
      </c>
    </row>
    <row r="59" spans="2:19" x14ac:dyDescent="0.25">
      <c r="B59" s="172" t="str">
        <f>B58 &amp; "% of Revenue"</f>
        <v>Other Financial Liabilities% of Revenue</v>
      </c>
      <c r="C59" s="173"/>
      <c r="D59" s="155">
        <f>D58/'Revenue Build-up'!D$11</f>
        <v>1.7370109835863259E-2</v>
      </c>
      <c r="E59" s="155">
        <f>E58/'Revenue Build-up'!E$11</f>
        <v>1.9103961298526907E-2</v>
      </c>
      <c r="F59" s="155">
        <f>F58/'Revenue Build-up'!F$11</f>
        <v>9.6444803579704957E-3</v>
      </c>
      <c r="G59" s="155">
        <f>G58/'Revenue Build-up'!G$11</f>
        <v>1.2898471205508478E-2</v>
      </c>
      <c r="H59" s="155">
        <f>H58/'Revenue Build-up'!H$11</f>
        <v>1.4176570111604524E-2</v>
      </c>
      <c r="I59" s="171">
        <f>AVERAGE(D59:H59)</f>
        <v>1.4638718561894731E-2</v>
      </c>
      <c r="J59" s="171">
        <f>I59</f>
        <v>1.4638718561894731E-2</v>
      </c>
      <c r="K59" s="171">
        <f t="shared" ref="K59:R59" si="20">J59</f>
        <v>1.4638718561894731E-2</v>
      </c>
      <c r="L59" s="171">
        <f t="shared" si="20"/>
        <v>1.4638718561894731E-2</v>
      </c>
      <c r="M59" s="171">
        <f t="shared" si="20"/>
        <v>1.4638718561894731E-2</v>
      </c>
      <c r="N59" s="171">
        <f t="shared" si="20"/>
        <v>1.4638718561894731E-2</v>
      </c>
      <c r="O59" s="171">
        <f t="shared" si="20"/>
        <v>1.4638718561894731E-2</v>
      </c>
      <c r="P59" s="171">
        <f t="shared" si="20"/>
        <v>1.4638718561894731E-2</v>
      </c>
      <c r="Q59" s="171">
        <f t="shared" si="20"/>
        <v>1.4638718561894731E-2</v>
      </c>
      <c r="R59" s="171">
        <f t="shared" si="20"/>
        <v>1.4638718561894731E-2</v>
      </c>
    </row>
    <row r="60" spans="2:19" x14ac:dyDescent="0.25">
      <c r="B60" t="s">
        <v>67</v>
      </c>
      <c r="D60" s="116">
        <v>46.17</v>
      </c>
      <c r="E60" s="116">
        <v>71.900000000000006</v>
      </c>
      <c r="F60" s="116">
        <v>118.44</v>
      </c>
      <c r="G60" s="116">
        <v>150.05000000000001</v>
      </c>
      <c r="H60" s="116">
        <v>172.6</v>
      </c>
      <c r="I60" s="116">
        <f>I61*'Revenue Build-up'!I$11</f>
        <v>388.9885357916088</v>
      </c>
      <c r="J60" s="116">
        <f>J61*'Revenue Build-up'!J$11</f>
        <v>591.76518550232493</v>
      </c>
      <c r="K60" s="116">
        <f>K61*'Revenue Build-up'!K$11</f>
        <v>853.97532304350921</v>
      </c>
      <c r="L60" s="116">
        <f>L61*'Revenue Build-up'!L$11</f>
        <v>1175.6110723883237</v>
      </c>
      <c r="M60" s="116">
        <f>M61*'Revenue Build-up'!M$11</f>
        <v>1551.9694486811857</v>
      </c>
      <c r="N60" s="116">
        <f>N61*'Revenue Build-up'!N$11</f>
        <v>1974.2878566635804</v>
      </c>
      <c r="O60" s="116">
        <f>O61*'Revenue Build-up'!O$11</f>
        <v>2430.9407820472647</v>
      </c>
      <c r="P60" s="116">
        <f>P61*'Revenue Build-up'!P$11</f>
        <v>2908.8760453565969</v>
      </c>
      <c r="Q60" s="116">
        <f>Q61*'Revenue Build-up'!Q$11</f>
        <v>3394.9908374560378</v>
      </c>
      <c r="R60" s="116">
        <f>R61*'Revenue Build-up'!R$11</f>
        <v>3877.2396350970739</v>
      </c>
    </row>
    <row r="61" spans="2:19" x14ac:dyDescent="0.25">
      <c r="B61" s="172" t="str">
        <f>B60 &amp; "% of Revenue"</f>
        <v>Other current liabilities% of Revenue</v>
      </c>
      <c r="C61" s="173"/>
      <c r="D61" s="155">
        <f>D60/'Revenue Build-up'!D$11</f>
        <v>1.7805905220288781E-2</v>
      </c>
      <c r="E61" s="155">
        <f>E60/'Revenue Build-up'!E$11</f>
        <v>1.5984811094659428E-2</v>
      </c>
      <c r="F61" s="155">
        <f>F60/'Revenue Build-up'!F$11</f>
        <v>1.4370263600428049E-2</v>
      </c>
      <c r="G61" s="155">
        <f>G60/'Revenue Build-up'!G$11</f>
        <v>1.2125144746188117E-2</v>
      </c>
      <c r="H61" s="155">
        <f>H60/'Revenue Build-up'!H$11</f>
        <v>1.00731793720429E-2</v>
      </c>
      <c r="I61" s="171">
        <f>AVERAGE(D61:H61)</f>
        <v>1.4071860806721454E-2</v>
      </c>
      <c r="J61" s="171">
        <f>I61</f>
        <v>1.4071860806721454E-2</v>
      </c>
      <c r="K61" s="171">
        <f t="shared" ref="K61:R61" si="21">J61</f>
        <v>1.4071860806721454E-2</v>
      </c>
      <c r="L61" s="171">
        <f t="shared" si="21"/>
        <v>1.4071860806721454E-2</v>
      </c>
      <c r="M61" s="171">
        <f t="shared" si="21"/>
        <v>1.4071860806721454E-2</v>
      </c>
      <c r="N61" s="171">
        <f t="shared" si="21"/>
        <v>1.4071860806721454E-2</v>
      </c>
      <c r="O61" s="171">
        <f t="shared" si="21"/>
        <v>1.4071860806721454E-2</v>
      </c>
      <c r="P61" s="171">
        <f t="shared" si="21"/>
        <v>1.4071860806721454E-2</v>
      </c>
      <c r="Q61" s="171">
        <f t="shared" si="21"/>
        <v>1.4071860806721454E-2</v>
      </c>
      <c r="R61" s="171">
        <f t="shared" si="21"/>
        <v>1.4071860806721454E-2</v>
      </c>
    </row>
    <row r="62" spans="2:19" x14ac:dyDescent="0.25">
      <c r="B62" t="s">
        <v>62</v>
      </c>
      <c r="D62" s="116">
        <v>6.45</v>
      </c>
      <c r="E62" s="116">
        <v>9.59</v>
      </c>
      <c r="F62" s="116">
        <v>12.42</v>
      </c>
      <c r="G62" s="116">
        <v>18.71</v>
      </c>
      <c r="H62" s="116">
        <v>27.08</v>
      </c>
      <c r="I62" s="116">
        <f>I63*'Revenue Build-up'!I$11</f>
        <v>50.967062056577717</v>
      </c>
      <c r="J62" s="116">
        <f>J63*'Revenue Build-up'!J$11</f>
        <v>77.535788737426955</v>
      </c>
      <c r="K62" s="116">
        <f>K63*'Revenue Build-up'!K$11</f>
        <v>111.89176358570577</v>
      </c>
      <c r="L62" s="116">
        <f>L63*'Revenue Build-up'!L$11</f>
        <v>154.03395464825445</v>
      </c>
      <c r="M62" s="116">
        <f>M63*'Revenue Build-up'!M$11</f>
        <v>203.34615527903949</v>
      </c>
      <c r="N62" s="116">
        <f>N63*'Revenue Build-up'!N$11</f>
        <v>258.68025005761922</v>
      </c>
      <c r="O62" s="116">
        <f>O63*'Revenue Build-up'!O$11</f>
        <v>318.51301078148947</v>
      </c>
      <c r="P62" s="116">
        <f>P63*'Revenue Build-up'!P$11</f>
        <v>381.13428103188909</v>
      </c>
      <c r="Q62" s="116">
        <f>Q63*'Revenue Build-up'!Q$11</f>
        <v>444.8272706598035</v>
      </c>
      <c r="R62" s="116">
        <f>R63*'Revenue Build-up'!R$11</f>
        <v>508.01371996238191</v>
      </c>
    </row>
    <row r="63" spans="2:19" x14ac:dyDescent="0.25">
      <c r="B63" s="172" t="str">
        <f>B62 &amp; "% of Revenue"</f>
        <v>Provisions% of Revenue</v>
      </c>
      <c r="C63" s="173"/>
      <c r="D63" s="155">
        <f>D62/'Revenue Build-up'!D$11</f>
        <v>2.4875046279155869E-3</v>
      </c>
      <c r="E63" s="155">
        <f>E62/'Revenue Build-up'!E$11</f>
        <v>2.1320492127647273E-3</v>
      </c>
      <c r="F63" s="155">
        <f>F62/'Revenue Build-up'!F$11</f>
        <v>1.5069121404704185E-3</v>
      </c>
      <c r="G63" s="155">
        <f>G62/'Revenue Build-up'!G$11</f>
        <v>1.5119057527569453E-3</v>
      </c>
      <c r="H63" s="155">
        <f>H62/'Revenue Build-up'!H$11</f>
        <v>1.580426983748098E-3</v>
      </c>
      <c r="I63" s="171">
        <f>AVERAGE(D63:H63)</f>
        <v>1.843759743531155E-3</v>
      </c>
      <c r="J63" s="171">
        <f>I63</f>
        <v>1.843759743531155E-3</v>
      </c>
      <c r="K63" s="171">
        <f t="shared" ref="K63:R63" si="22">J63</f>
        <v>1.843759743531155E-3</v>
      </c>
      <c r="L63" s="171">
        <f t="shared" si="22"/>
        <v>1.843759743531155E-3</v>
      </c>
      <c r="M63" s="171">
        <f t="shared" si="22"/>
        <v>1.843759743531155E-3</v>
      </c>
      <c r="N63" s="171">
        <f t="shared" si="22"/>
        <v>1.843759743531155E-3</v>
      </c>
      <c r="O63" s="171">
        <f t="shared" si="22"/>
        <v>1.843759743531155E-3</v>
      </c>
      <c r="P63" s="171">
        <f t="shared" si="22"/>
        <v>1.843759743531155E-3</v>
      </c>
      <c r="Q63" s="171">
        <f t="shared" si="22"/>
        <v>1.843759743531155E-3</v>
      </c>
      <c r="R63" s="171">
        <f t="shared" si="22"/>
        <v>1.843759743531155E-3</v>
      </c>
    </row>
    <row r="64" spans="2:19" x14ac:dyDescent="0.25">
      <c r="B64" t="s">
        <v>68</v>
      </c>
      <c r="D64" s="116">
        <v>2.77</v>
      </c>
      <c r="E64" s="116">
        <v>6.03</v>
      </c>
      <c r="F64" s="116">
        <v>2.44</v>
      </c>
      <c r="G64" s="116">
        <v>29.95</v>
      </c>
      <c r="H64" s="116">
        <v>3.72</v>
      </c>
      <c r="I64" s="116">
        <f>I65*'Revenue Build-up'!I$11</f>
        <v>29.534871033384949</v>
      </c>
      <c r="J64" s="116">
        <f>J65*'Revenue Build-up'!J$11</f>
        <v>44.931165902589861</v>
      </c>
      <c r="K64" s="116">
        <f>K65*'Revenue Build-up'!K$11</f>
        <v>64.840088360072897</v>
      </c>
      <c r="L64" s="116">
        <f>L65*'Revenue Build-up'!L$11</f>
        <v>89.261040399940555</v>
      </c>
      <c r="M64" s="116">
        <f>M65*'Revenue Build-up'!M$11</f>
        <v>117.83693681684372</v>
      </c>
      <c r="N64" s="116">
        <f>N65*'Revenue Build-up'!N$11</f>
        <v>149.90245692118594</v>
      </c>
      <c r="O64" s="116">
        <f>O65*'Revenue Build-up'!O$11</f>
        <v>184.57490615102779</v>
      </c>
      <c r="P64" s="116">
        <f>P65*'Revenue Build-up'!P$11</f>
        <v>220.86326702886657</v>
      </c>
      <c r="Q64" s="116">
        <f>Q65*'Revenue Build-up'!Q$11</f>
        <v>257.77267790098881</v>
      </c>
      <c r="R64" s="116">
        <f>R65*'Revenue Build-up'!R$11</f>
        <v>294.38855403560939</v>
      </c>
    </row>
    <row r="65" spans="2:18" x14ac:dyDescent="0.25">
      <c r="B65" s="172" t="str">
        <f>B64 &amp; "% of Revenue"</f>
        <v>Current Tax Liabilities (Net)% of Revenue</v>
      </c>
      <c r="C65" s="173"/>
      <c r="D65" s="155">
        <f>D64/'Revenue Build-up'!D$11</f>
        <v>1.0682771812908799E-3</v>
      </c>
      <c r="E65" s="155">
        <f>E64/'Revenue Build-up'!E$11</f>
        <v>1.3405898595381968E-3</v>
      </c>
      <c r="F65" s="155">
        <f>F64/'Revenue Build-up'!F$11</f>
        <v>2.9604393097808543E-4</v>
      </c>
      <c r="G65" s="155">
        <f>G64/'Revenue Build-up'!G$11</f>
        <v>2.4201805074863985E-3</v>
      </c>
      <c r="H65" s="155">
        <f>H64/'Revenue Build-up'!H$11</f>
        <v>2.1710444533024097E-4</v>
      </c>
      <c r="I65" s="171">
        <f>AVERAGE(D65:H65)</f>
        <v>1.0684391849247602E-3</v>
      </c>
      <c r="J65" s="171">
        <f>I65</f>
        <v>1.0684391849247602E-3</v>
      </c>
      <c r="K65" s="171">
        <f t="shared" ref="K65:R65" si="23">J65</f>
        <v>1.0684391849247602E-3</v>
      </c>
      <c r="L65" s="171">
        <f t="shared" si="23"/>
        <v>1.0684391849247602E-3</v>
      </c>
      <c r="M65" s="171">
        <f t="shared" si="23"/>
        <v>1.0684391849247602E-3</v>
      </c>
      <c r="N65" s="171">
        <f t="shared" si="23"/>
        <v>1.0684391849247602E-3</v>
      </c>
      <c r="O65" s="171">
        <f t="shared" si="23"/>
        <v>1.0684391849247602E-3</v>
      </c>
      <c r="P65" s="171">
        <f t="shared" si="23"/>
        <v>1.0684391849247602E-3</v>
      </c>
      <c r="Q65" s="171">
        <f t="shared" si="23"/>
        <v>1.0684391849247602E-3</v>
      </c>
      <c r="R65" s="171">
        <f t="shared" si="23"/>
        <v>1.0684391849247602E-3</v>
      </c>
    </row>
    <row r="67" spans="2:18" x14ac:dyDescent="0.25">
      <c r="B67" s="25" t="s">
        <v>52</v>
      </c>
    </row>
    <row r="68" spans="2:18" x14ac:dyDescent="0.25">
      <c r="B68" s="175" t="s">
        <v>53</v>
      </c>
      <c r="C68" s="175"/>
      <c r="D68" s="176">
        <v>35.549999999999997</v>
      </c>
      <c r="E68" s="176">
        <v>35.549999999999997</v>
      </c>
      <c r="F68" s="176">
        <v>35.549999999999997</v>
      </c>
      <c r="G68" s="176">
        <v>35.549999999999997</v>
      </c>
      <c r="H68" s="176">
        <v>35.549999999999997</v>
      </c>
      <c r="I68" s="176">
        <v>35.549999999999997</v>
      </c>
      <c r="J68" s="176">
        <v>35.549999999999997</v>
      </c>
      <c r="K68" s="176">
        <v>35.549999999999997</v>
      </c>
      <c r="L68" s="176">
        <v>35.549999999999997</v>
      </c>
      <c r="M68" s="176">
        <v>35.549999999999997</v>
      </c>
      <c r="N68" s="176">
        <v>35.549999999999997</v>
      </c>
      <c r="O68" s="176">
        <v>35.549999999999997</v>
      </c>
      <c r="P68" s="176">
        <v>35.549999999999997</v>
      </c>
      <c r="Q68" s="176">
        <v>35.549999999999997</v>
      </c>
      <c r="R68" s="176">
        <v>35.549999999999997</v>
      </c>
    </row>
    <row r="69" spans="2:18" x14ac:dyDescent="0.25"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2:18" x14ac:dyDescent="0.25">
      <c r="B70" s="175" t="s">
        <v>54</v>
      </c>
      <c r="C70" s="175"/>
      <c r="D70" s="176">
        <v>2277.48</v>
      </c>
      <c r="E70" s="176">
        <v>2328.4499999999998</v>
      </c>
      <c r="F70" s="176">
        <v>2559.94</v>
      </c>
      <c r="G70" s="176">
        <v>4032.19</v>
      </c>
      <c r="H70" s="176">
        <v>5426.19</v>
      </c>
      <c r="I70" s="176">
        <f>H70+'income statement'!I27+'income statement'!I30</f>
        <v>8144.1081987930038</v>
      </c>
      <c r="J70" s="176">
        <f>I70+'income statement'!J27+'income statement'!J30</f>
        <v>12450.6636663352</v>
      </c>
      <c r="K70" s="176">
        <f>J70+'income statement'!K27+'income statement'!K30</f>
        <v>18811.48325815424</v>
      </c>
      <c r="L70" s="176">
        <f>K70+'income statement'!L27+'income statement'!L30</f>
        <v>27692.115170131769</v>
      </c>
      <c r="M70" s="176">
        <f>L70+'income statement'!M27+'income statement'!M30</f>
        <v>39521.296354610538</v>
      </c>
      <c r="N70" s="176">
        <f>M70+'income statement'!N27+'income statement'!N30</f>
        <v>54659.096964239034</v>
      </c>
      <c r="O70" s="176">
        <f>N70+'income statement'!O27+'income statement'!O30</f>
        <v>73374.490366062761</v>
      </c>
      <c r="P70" s="176">
        <f>O70+'income statement'!P27+'income statement'!P30</f>
        <v>95834.228949769313</v>
      </c>
      <c r="Q70" s="176">
        <f>P70+'income statement'!Q27+'income statement'!Q30</f>
        <v>122102.39457239359</v>
      </c>
      <c r="R70" s="176">
        <f>Q70+'income statement'!R27+'income statement'!R30</f>
        <v>152148.68107377281</v>
      </c>
    </row>
    <row r="71" spans="2:18" x14ac:dyDescent="0.25"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</row>
    <row r="72" spans="2:18" x14ac:dyDescent="0.25">
      <c r="B72" s="175" t="s">
        <v>55</v>
      </c>
      <c r="C72" s="175"/>
      <c r="D72" s="176">
        <v>44.49</v>
      </c>
      <c r="E72" s="176">
        <v>45.94</v>
      </c>
      <c r="F72" s="176">
        <v>67.48</v>
      </c>
      <c r="G72" s="176">
        <v>34.85</v>
      </c>
      <c r="H72" s="176">
        <v>121.62</v>
      </c>
      <c r="I72" s="176">
        <f>H72/SUM(H68:H70)*SUM(I68:I70)</f>
        <v>182.14159409587515</v>
      </c>
      <c r="J72" s="176">
        <f t="shared" ref="J72:R72" si="24">I72/SUM(I68:I70)*SUM(J68:J70)</f>
        <v>278.03837350362465</v>
      </c>
      <c r="K72" s="176">
        <f t="shared" si="24"/>
        <v>419.67874429334216</v>
      </c>
      <c r="L72" s="176">
        <f t="shared" si="24"/>
        <v>617.42936097130689</v>
      </c>
      <c r="M72" s="176">
        <f t="shared" si="24"/>
        <v>880.837178929743</v>
      </c>
      <c r="N72" s="176">
        <f t="shared" si="24"/>
        <v>1217.9201067408467</v>
      </c>
      <c r="O72" s="176">
        <f t="shared" si="24"/>
        <v>1634.6675435521563</v>
      </c>
      <c r="P72" s="176">
        <f t="shared" si="24"/>
        <v>2134.7926697116568</v>
      </c>
      <c r="Q72" s="176">
        <f t="shared" si="24"/>
        <v>2719.7224362372631</v>
      </c>
      <c r="R72" s="176">
        <f t="shared" si="24"/>
        <v>3388.7819967981354</v>
      </c>
    </row>
    <row r="74" spans="2:18" x14ac:dyDescent="0.25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80"/>
  <sheetViews>
    <sheetView showGridLines="0" topLeftCell="C1" workbookViewId="0">
      <pane ySplit="8" topLeftCell="A76" activePane="bottomLeft" state="frozen"/>
      <selection pane="bottomLeft" activeCell="B80" sqref="B80:R80"/>
    </sheetView>
  </sheetViews>
  <sheetFormatPr defaultRowHeight="15" x14ac:dyDescent="0.25"/>
  <cols>
    <col min="1" max="1" width="1.7109375" customWidth="1"/>
    <col min="2" max="2" width="43.42578125" bestFit="1" customWidth="1"/>
    <col min="4" max="8" width="8.42578125" customWidth="1"/>
    <col min="9" max="18" width="11.140625" bestFit="1" customWidth="1"/>
  </cols>
  <sheetData>
    <row r="7" spans="1:18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1:18" ht="15.75" thickBot="1" x14ac:dyDescent="0.3">
      <c r="B8" s="165" t="s">
        <v>326</v>
      </c>
      <c r="C8" s="160"/>
      <c r="D8" s="159" t="s">
        <v>162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167</v>
      </c>
      <c r="J8" s="159" t="s">
        <v>167</v>
      </c>
      <c r="K8" s="159" t="s">
        <v>167</v>
      </c>
      <c r="L8" s="159" t="s">
        <v>167</v>
      </c>
      <c r="M8" s="159" t="s">
        <v>167</v>
      </c>
      <c r="N8" s="159" t="s">
        <v>167</v>
      </c>
      <c r="O8" s="159" t="s">
        <v>167</v>
      </c>
      <c r="P8" s="159" t="s">
        <v>167</v>
      </c>
      <c r="Q8" s="159" t="s">
        <v>167</v>
      </c>
      <c r="R8" s="159" t="s">
        <v>167</v>
      </c>
    </row>
    <row r="10" spans="1:18" x14ac:dyDescent="0.25">
      <c r="B10" s="25" t="s">
        <v>22</v>
      </c>
    </row>
    <row r="11" spans="1:18" s="116" customFormat="1" x14ac:dyDescent="0.25">
      <c r="A11"/>
      <c r="B11" s="1" t="s">
        <v>23</v>
      </c>
      <c r="C11"/>
    </row>
    <row r="12" spans="1:18" s="116" customFormat="1" x14ac:dyDescent="0.25">
      <c r="A12"/>
      <c r="B12" t="s">
        <v>24</v>
      </c>
      <c r="C12"/>
      <c r="D12" s="116">
        <f>FAS!D164</f>
        <v>640.45000000000005</v>
      </c>
      <c r="E12" s="116">
        <f>FAS!E164</f>
        <v>724.93999999999994</v>
      </c>
      <c r="F12" s="116">
        <f>FAS!F164</f>
        <v>871.18000000000006</v>
      </c>
      <c r="G12" s="116">
        <f>FAS!G164</f>
        <v>1146.3200000000002</v>
      </c>
      <c r="H12" s="116">
        <f>FAS!H164</f>
        <v>2068.2400000000002</v>
      </c>
      <c r="I12" s="116">
        <f>FAS!I164</f>
        <v>2457.8448333333336</v>
      </c>
      <c r="J12" s="116">
        <f>FAS!J164</f>
        <v>2845.733666666667</v>
      </c>
      <c r="K12" s="116">
        <f>FAS!K164</f>
        <v>3233.6224999999999</v>
      </c>
      <c r="L12" s="116">
        <f>FAS!L164</f>
        <v>3621.5113333333329</v>
      </c>
      <c r="M12" s="116">
        <f>FAS!M164</f>
        <v>4009.4001666666663</v>
      </c>
      <c r="N12" s="116">
        <f>FAS!N164</f>
        <v>4397.2890000000016</v>
      </c>
      <c r="O12" s="116">
        <f>FAS!O164</f>
        <v>4785.1778333333332</v>
      </c>
      <c r="P12" s="116">
        <f>FAS!P164</f>
        <v>5173.0666666666675</v>
      </c>
      <c r="Q12" s="116">
        <f>FAS!Q164</f>
        <v>5560.9555000000018</v>
      </c>
      <c r="R12" s="116">
        <f>FAS!R164</f>
        <v>5948.8443333333362</v>
      </c>
    </row>
    <row r="13" spans="1:18" s="116" customFormat="1" x14ac:dyDescent="0.25">
      <c r="A13"/>
      <c r="B13" t="s">
        <v>25</v>
      </c>
      <c r="C13"/>
      <c r="D13" s="116">
        <f>FAS!D383</f>
        <v>107.98</v>
      </c>
      <c r="E13" s="116">
        <f>FAS!E383</f>
        <v>104.72</v>
      </c>
      <c r="F13" s="116">
        <f>FAS!F383</f>
        <v>101.72</v>
      </c>
      <c r="G13" s="116">
        <f>FAS!G383</f>
        <v>223.78</v>
      </c>
      <c r="H13" s="116">
        <f>FAS!H383</f>
        <v>179.5</v>
      </c>
      <c r="I13" s="116">
        <f>FAS!I383</f>
        <v>197.38</v>
      </c>
      <c r="J13" s="116">
        <f>FAS!J383</f>
        <v>215.26</v>
      </c>
      <c r="K13" s="116">
        <f>FAS!K383</f>
        <v>233.14</v>
      </c>
      <c r="L13" s="116">
        <f>FAS!L383</f>
        <v>251.01999999999998</v>
      </c>
      <c r="M13" s="116">
        <f>FAS!M383</f>
        <v>268.89999999999998</v>
      </c>
      <c r="N13" s="116">
        <f>FAS!N383</f>
        <v>286.77999999999997</v>
      </c>
      <c r="O13" s="116">
        <f>FAS!O383</f>
        <v>304.65999999999997</v>
      </c>
      <c r="P13" s="116">
        <f>FAS!P383</f>
        <v>322.53999999999996</v>
      </c>
      <c r="Q13" s="116">
        <f>FAS!Q383</f>
        <v>340.41999999999996</v>
      </c>
      <c r="R13" s="116">
        <f>FAS!R383</f>
        <v>358.29999999999995</v>
      </c>
    </row>
    <row r="14" spans="1:18" s="116" customFormat="1" x14ac:dyDescent="0.25">
      <c r="A14"/>
      <c r="B14" t="s">
        <v>26</v>
      </c>
      <c r="C14"/>
      <c r="D14" s="116">
        <f>FAS!D361</f>
        <v>28.11</v>
      </c>
      <c r="E14" s="116">
        <f>FAS!E361</f>
        <v>27.84</v>
      </c>
      <c r="F14" s="116">
        <f>FAS!F361</f>
        <v>27.13</v>
      </c>
      <c r="G14" s="116">
        <f>FAS!G361</f>
        <v>26.91</v>
      </c>
      <c r="H14" s="116">
        <f>FAS!H361</f>
        <v>26.860000000000003</v>
      </c>
      <c r="I14" s="116">
        <f>FAS!I361</f>
        <v>26.808</v>
      </c>
      <c r="J14" s="116">
        <f>FAS!J361</f>
        <v>26.755999999999993</v>
      </c>
      <c r="K14" s="116">
        <f>FAS!K361</f>
        <v>26.70399999999999</v>
      </c>
      <c r="L14" s="116">
        <f>FAS!L361</f>
        <v>26.649919999999987</v>
      </c>
      <c r="M14" s="116">
        <f>FAS!M361</f>
        <v>26.595839999999988</v>
      </c>
      <c r="N14" s="116">
        <f>FAS!N361</f>
        <v>26.541759999999986</v>
      </c>
      <c r="O14" s="116">
        <f>FAS!O361</f>
        <v>26.485516799999992</v>
      </c>
      <c r="P14" s="116">
        <f>FAS!P361</f>
        <v>26.429273599999995</v>
      </c>
      <c r="Q14" s="116">
        <f>FAS!Q361</f>
        <v>26.373030399999998</v>
      </c>
      <c r="R14" s="116">
        <f>FAS!R361</f>
        <v>26.314537471999998</v>
      </c>
    </row>
    <row r="15" spans="1:18" s="116" customFormat="1" x14ac:dyDescent="0.25">
      <c r="A15"/>
      <c r="B15" t="s">
        <v>27</v>
      </c>
      <c r="C15"/>
      <c r="D15" s="116">
        <f>'Historical Balance Sheet'!D14</f>
        <v>27.19</v>
      </c>
      <c r="E15" s="116">
        <f>'Historical Balance Sheet'!E14</f>
        <v>27.19</v>
      </c>
      <c r="F15" s="116">
        <f>'Historical Balance Sheet'!F14</f>
        <v>27.19</v>
      </c>
      <c r="G15" s="116">
        <f>'Historical Balance Sheet'!G14</f>
        <v>27.19</v>
      </c>
      <c r="H15" s="116">
        <f>'Historical Balance Sheet'!H14</f>
        <v>27.19</v>
      </c>
      <c r="I15" s="116">
        <f>H15</f>
        <v>27.19</v>
      </c>
      <c r="J15" s="116">
        <f t="shared" ref="J15:R15" si="1">I15</f>
        <v>27.19</v>
      </c>
      <c r="K15" s="116">
        <f t="shared" si="1"/>
        <v>27.19</v>
      </c>
      <c r="L15" s="116">
        <f t="shared" si="1"/>
        <v>27.19</v>
      </c>
      <c r="M15" s="116">
        <f t="shared" si="1"/>
        <v>27.19</v>
      </c>
      <c r="N15" s="116">
        <f t="shared" si="1"/>
        <v>27.19</v>
      </c>
      <c r="O15" s="116">
        <f t="shared" si="1"/>
        <v>27.19</v>
      </c>
      <c r="P15" s="116">
        <f t="shared" si="1"/>
        <v>27.19</v>
      </c>
      <c r="Q15" s="116">
        <f t="shared" si="1"/>
        <v>27.19</v>
      </c>
      <c r="R15" s="116">
        <f t="shared" si="1"/>
        <v>27.19</v>
      </c>
    </row>
    <row r="16" spans="1:18" s="116" customFormat="1" x14ac:dyDescent="0.25">
      <c r="A16"/>
      <c r="B16" t="s">
        <v>28</v>
      </c>
      <c r="C16"/>
      <c r="D16" s="116">
        <f>FAS!D286</f>
        <v>39.58</v>
      </c>
      <c r="E16" s="116">
        <f>FAS!E286</f>
        <v>42.53</v>
      </c>
      <c r="F16" s="116">
        <f>FAS!F286</f>
        <v>51.209999999999994</v>
      </c>
      <c r="G16" s="116">
        <f>FAS!G286</f>
        <v>47.370000000000005</v>
      </c>
      <c r="H16" s="116">
        <f>FAS!H286</f>
        <v>46.09</v>
      </c>
      <c r="I16" s="116">
        <f>FAS!I286</f>
        <v>46.903999999999982</v>
      </c>
      <c r="J16" s="116">
        <f>FAS!J286</f>
        <v>48.336199999999963</v>
      </c>
      <c r="K16" s="116">
        <f>FAS!K286</f>
        <v>50.44841999999997</v>
      </c>
      <c r="L16" s="116">
        <f>FAS!L286</f>
        <v>53.30866199999997</v>
      </c>
      <c r="M16" s="116">
        <f>FAS!M286</f>
        <v>56.991728199999983</v>
      </c>
      <c r="N16" s="116">
        <f>FAS!N286</f>
        <v>61.579901019999994</v>
      </c>
      <c r="O16" s="116">
        <f>FAS!O286</f>
        <v>67.163691121999989</v>
      </c>
      <c r="P16" s="116">
        <f>FAS!P286</f>
        <v>73.842660234200025</v>
      </c>
      <c r="Q16" s="116">
        <f>FAS!Q286</f>
        <v>81.726326257620059</v>
      </c>
      <c r="R16" s="116">
        <f>FAS!R286</f>
        <v>90.935158883382115</v>
      </c>
    </row>
    <row r="17" spans="1:18" s="116" customFormat="1" x14ac:dyDescent="0.25">
      <c r="A17"/>
      <c r="B17" t="s">
        <v>29</v>
      </c>
      <c r="C17"/>
      <c r="D17" s="116">
        <f>FAS!D341</f>
        <v>2318.4900000000002</v>
      </c>
      <c r="E17" s="116">
        <f>FAS!E341</f>
        <v>3864.21</v>
      </c>
      <c r="F17" s="116">
        <f>FAS!F341</f>
        <v>3550.24</v>
      </c>
      <c r="G17" s="116">
        <f>FAS!G341</f>
        <v>1202.1300000000008</v>
      </c>
      <c r="H17" s="116">
        <f>FAS!H341</f>
        <v>1726.7500000000016</v>
      </c>
      <c r="I17" s="116">
        <f>FAS!I341</f>
        <v>1499.504800000002</v>
      </c>
      <c r="J17" s="116">
        <f>FAS!J341</f>
        <v>1272.2596000000026</v>
      </c>
      <c r="K17" s="116">
        <f>FAS!K341</f>
        <v>1045.0144000000032</v>
      </c>
      <c r="L17" s="116">
        <f>FAS!L341</f>
        <v>865.68075200000339</v>
      </c>
      <c r="M17" s="116">
        <f>FAS!M341</f>
        <v>686.34710400000358</v>
      </c>
      <c r="N17" s="116">
        <f>FAS!N341</f>
        <v>507.01345600000371</v>
      </c>
      <c r="O17" s="116">
        <f>FAS!O341</f>
        <v>377.5078220800039</v>
      </c>
      <c r="P17" s="116">
        <f>FAS!P341</f>
        <v>248.00218816000407</v>
      </c>
      <c r="Q17" s="116">
        <f>FAS!Q341</f>
        <v>118.49655424000423</v>
      </c>
      <c r="R17" s="116">
        <f>FAS!R341</f>
        <v>40.812054963205206</v>
      </c>
    </row>
    <row r="18" spans="1:18" s="116" customFormat="1" x14ac:dyDescent="0.25">
      <c r="A18"/>
      <c r="B18" s="1" t="s">
        <v>30</v>
      </c>
      <c r="C18"/>
    </row>
    <row r="19" spans="1:18" s="116" customFormat="1" x14ac:dyDescent="0.25">
      <c r="A19"/>
      <c r="B19" s="6" t="s">
        <v>31</v>
      </c>
      <c r="C19"/>
      <c r="D19" s="116">
        <f>'B_S Items'!D12</f>
        <v>816.63</v>
      </c>
      <c r="E19" s="116">
        <f>'B_S Items'!E12</f>
        <v>757.39</v>
      </c>
      <c r="F19" s="116">
        <f>'B_S Items'!F12</f>
        <v>564.13</v>
      </c>
      <c r="G19" s="116">
        <f>'B_S Items'!G12</f>
        <v>696.26</v>
      </c>
      <c r="H19" s="116">
        <f>'B_S Items'!H12</f>
        <v>845.56</v>
      </c>
      <c r="I19" s="116">
        <f>'B_S Items'!I12</f>
        <v>1364.1291128568332</v>
      </c>
      <c r="J19" s="116">
        <f>'B_S Items'!J12</f>
        <v>2075.2388393042702</v>
      </c>
      <c r="K19" s="116">
        <f>'B_S Items'!K12</f>
        <v>2994.7736054850066</v>
      </c>
      <c r="L19" s="116">
        <f>'B_S Items'!L12</f>
        <v>4122.7057912598475</v>
      </c>
      <c r="M19" s="116">
        <f>'B_S Items'!M12</f>
        <v>5442.542677773291</v>
      </c>
      <c r="N19" s="116">
        <f>'B_S Items'!N12</f>
        <v>6923.5550527312107</v>
      </c>
      <c r="O19" s="116">
        <f>'B_S Items'!O12</f>
        <v>8524.9738418979032</v>
      </c>
      <c r="P19" s="116">
        <f>'B_S Items'!P12</f>
        <v>10201.026853111662</v>
      </c>
      <c r="Q19" s="116">
        <f>'B_S Items'!Q12</f>
        <v>11905.764342980634</v>
      </c>
      <c r="R19" s="116">
        <f>'B_S Items'!R12</f>
        <v>13596.944323808571</v>
      </c>
    </row>
    <row r="20" spans="1:18" s="116" customFormat="1" x14ac:dyDescent="0.25">
      <c r="A20"/>
      <c r="B20" s="6" t="s">
        <v>32</v>
      </c>
      <c r="C20"/>
      <c r="D20" s="116">
        <f>'B_S Items'!D14</f>
        <v>2.35</v>
      </c>
      <c r="E20" s="116">
        <f>'B_S Items'!E14</f>
        <v>2.13</v>
      </c>
      <c r="F20" s="116">
        <f>'B_S Items'!F14</f>
        <v>1.86</v>
      </c>
      <c r="G20" s="116">
        <f>'B_S Items'!G14</f>
        <v>1.66</v>
      </c>
      <c r="H20" s="116">
        <f>'B_S Items'!H14</f>
        <v>1.35</v>
      </c>
      <c r="I20" s="116">
        <f>'B_S Items'!I14</f>
        <v>10.053445045057884</v>
      </c>
      <c r="J20" s="116">
        <f>'B_S Items'!J14</f>
        <v>15.294226499295318</v>
      </c>
      <c r="K20" s="116">
        <f>'B_S Items'!K14</f>
        <v>22.071071998514867</v>
      </c>
      <c r="L20" s="116">
        <f>'B_S Items'!L14</f>
        <v>30.383777986067155</v>
      </c>
      <c r="M20" s="116">
        <f>'B_S Items'!M14</f>
        <v>40.110795379028396</v>
      </c>
      <c r="N20" s="116">
        <f>'B_S Items'!N14</f>
        <v>51.025654084380832</v>
      </c>
      <c r="O20" s="116">
        <f>'B_S Items'!O14</f>
        <v>62.827891599342635</v>
      </c>
      <c r="P20" s="116">
        <f>'B_S Items'!P14</f>
        <v>75.180173126091162</v>
      </c>
      <c r="Q20" s="116">
        <f>'B_S Items'!Q14</f>
        <v>87.743855338514066</v>
      </c>
      <c r="R20" s="116">
        <f>'B_S Items'!R14</f>
        <v>100.20762056301604</v>
      </c>
    </row>
    <row r="21" spans="1:18" s="116" customFormat="1" x14ac:dyDescent="0.25">
      <c r="A21"/>
      <c r="B21" s="6" t="s">
        <v>33</v>
      </c>
      <c r="C21"/>
      <c r="D21" s="116">
        <f>'B_S Items'!D16</f>
        <v>72.28</v>
      </c>
      <c r="E21" s="116">
        <f>'B_S Items'!E16</f>
        <v>94.75</v>
      </c>
      <c r="F21" s="116">
        <f>'B_S Items'!F16</f>
        <v>136.71</v>
      </c>
      <c r="G21" s="116">
        <f>'B_S Items'!G16</f>
        <v>447.7</v>
      </c>
      <c r="H21" s="116">
        <f>'B_S Items'!H16</f>
        <v>616.75</v>
      </c>
      <c r="I21" s="116">
        <f>'B_S Items'!I16</f>
        <v>761.28347818806492</v>
      </c>
      <c r="J21" s="116">
        <f>'B_S Items'!J16</f>
        <v>1158.1345392943931</v>
      </c>
      <c r="K21" s="116">
        <f>'B_S Items'!K16</f>
        <v>1671.3019649546272</v>
      </c>
      <c r="L21" s="116">
        <f>'B_S Items'!L16</f>
        <v>2300.7703411178277</v>
      </c>
      <c r="M21" s="116">
        <f>'B_S Items'!M16</f>
        <v>3037.3355284860645</v>
      </c>
      <c r="N21" s="116">
        <f>'B_S Items'!N16</f>
        <v>3863.8483867054179</v>
      </c>
      <c r="O21" s="116">
        <f>'B_S Items'!O16</f>
        <v>4757.5568006394651</v>
      </c>
      <c r="P21" s="116">
        <f>'B_S Items'!P16</f>
        <v>5692.9165506650497</v>
      </c>
      <c r="Q21" s="116">
        <f>'B_S Items'!Q16</f>
        <v>6644.284330630644</v>
      </c>
      <c r="R21" s="116">
        <f>'B_S Items'!R16</f>
        <v>7588.0860323261932</v>
      </c>
    </row>
    <row r="22" spans="1:18" s="116" customFormat="1" x14ac:dyDescent="0.25">
      <c r="A22"/>
      <c r="B22" t="s">
        <v>34</v>
      </c>
      <c r="C22"/>
      <c r="D22" s="116">
        <f>'B_S Items'!D18</f>
        <v>114.52</v>
      </c>
      <c r="E22" s="116">
        <f>'B_S Items'!E18</f>
        <v>126.35</v>
      </c>
      <c r="F22" s="116">
        <f>'B_S Items'!F18</f>
        <v>156.05000000000001</v>
      </c>
      <c r="G22" s="116">
        <f>'B_S Items'!G18</f>
        <v>54.43</v>
      </c>
      <c r="H22" s="116">
        <f>'B_S Items'!H18</f>
        <v>43.47</v>
      </c>
      <c r="I22" s="116">
        <f>'B_S Items'!I18</f>
        <v>542.4921123335489</v>
      </c>
      <c r="J22" s="116">
        <f>'B_S Items'!J18</f>
        <v>825.28896342743019</v>
      </c>
      <c r="K22" s="116">
        <f>'B_S Items'!K18</f>
        <v>1190.9730859697788</v>
      </c>
      <c r="L22" s="116">
        <f>'B_S Items'!L18</f>
        <v>1639.5334958774074</v>
      </c>
      <c r="M22" s="116">
        <f>'B_S Items'!M18</f>
        <v>2164.4113052813309</v>
      </c>
      <c r="N22" s="116">
        <f>'B_S Items'!N18</f>
        <v>2753.3860028452923</v>
      </c>
      <c r="O22" s="116">
        <f>'B_S Items'!O18</f>
        <v>3390.2443863206472</v>
      </c>
      <c r="P22" s="116">
        <f>'B_S Items'!P18</f>
        <v>4056.7835942788779</v>
      </c>
      <c r="Q22" s="116">
        <f>'B_S Items'!Q18</f>
        <v>4734.7301560353599</v>
      </c>
      <c r="R22" s="116">
        <f>'B_S Items'!R18</f>
        <v>5407.2851154513219</v>
      </c>
    </row>
    <row r="23" spans="1:18" s="116" customFormat="1" x14ac:dyDescent="0.25">
      <c r="A23"/>
      <c r="B23" t="s">
        <v>35</v>
      </c>
      <c r="C23"/>
      <c r="D23" s="116">
        <f>'B_S Items'!D20</f>
        <v>152.80000000000001</v>
      </c>
      <c r="E23" s="116">
        <f>'B_S Items'!E20</f>
        <v>170.51</v>
      </c>
      <c r="F23" s="116">
        <f>'B_S Items'!F20</f>
        <v>216.33</v>
      </c>
      <c r="G23" s="116">
        <f>'B_S Items'!G20</f>
        <v>178.15</v>
      </c>
      <c r="H23" s="116">
        <f>'B_S Items'!H20</f>
        <v>164.43</v>
      </c>
      <c r="I23" s="116">
        <f>'B_S Items'!I20</f>
        <v>813.12448475906353</v>
      </c>
      <c r="J23" s="116">
        <f>'B_S Items'!J20</f>
        <v>1236.9998529152272</v>
      </c>
      <c r="K23" s="116">
        <f>'B_S Items'!K20</f>
        <v>1785.1123636165719</v>
      </c>
      <c r="L23" s="116">
        <f>'B_S Items'!L20</f>
        <v>2457.4455531638491</v>
      </c>
      <c r="M23" s="116">
        <f>'B_S Items'!M20</f>
        <v>3244.1685093690089</v>
      </c>
      <c r="N23" s="116">
        <f>'B_S Items'!N20</f>
        <v>4126.9642894454682</v>
      </c>
      <c r="O23" s="116">
        <f>'B_S Items'!O20</f>
        <v>5081.5314308926663</v>
      </c>
      <c r="P23" s="116">
        <f>'B_S Items'!P20</f>
        <v>6080.5862332038141</v>
      </c>
      <c r="Q23" s="116">
        <f>'B_S Items'!Q20</f>
        <v>7096.739161863321</v>
      </c>
      <c r="R23" s="116">
        <f>'B_S Items'!R20</f>
        <v>8104.8107861582303</v>
      </c>
    </row>
    <row r="24" spans="1:18" s="116" customFormat="1" x14ac:dyDescent="0.25">
      <c r="A24"/>
      <c r="B24" s="3" t="s">
        <v>36</v>
      </c>
      <c r="C24" s="3"/>
      <c r="D24" s="117">
        <f>SUM(D12:D23)</f>
        <v>4320.380000000001</v>
      </c>
      <c r="E24" s="117">
        <f t="shared" ref="E24:R24" si="2">SUM(E12:E23)</f>
        <v>5942.5600000000013</v>
      </c>
      <c r="F24" s="117">
        <f t="shared" si="2"/>
        <v>5703.75</v>
      </c>
      <c r="G24" s="117">
        <f t="shared" si="2"/>
        <v>4051.9000000000005</v>
      </c>
      <c r="H24" s="117">
        <f t="shared" si="2"/>
        <v>5746.1900000000032</v>
      </c>
      <c r="I24" s="117">
        <f t="shared" si="2"/>
        <v>7746.7142665159045</v>
      </c>
      <c r="J24" s="117">
        <f t="shared" si="2"/>
        <v>9746.4918881072863</v>
      </c>
      <c r="K24" s="117">
        <f t="shared" si="2"/>
        <v>12280.351412024504</v>
      </c>
      <c r="L24" s="117">
        <f t="shared" si="2"/>
        <v>15396.199626738337</v>
      </c>
      <c r="M24" s="117">
        <f t="shared" si="2"/>
        <v>19003.993655155395</v>
      </c>
      <c r="N24" s="117">
        <f t="shared" si="2"/>
        <v>23025.173502831771</v>
      </c>
      <c r="O24" s="117">
        <f t="shared" si="2"/>
        <v>27405.319214685362</v>
      </c>
      <c r="P24" s="117">
        <f t="shared" si="2"/>
        <v>31977.564193046361</v>
      </c>
      <c r="Q24" s="117">
        <f t="shared" si="2"/>
        <v>36624.423257746093</v>
      </c>
      <c r="R24" s="117">
        <f t="shared" si="2"/>
        <v>41289.729962959253</v>
      </c>
    </row>
    <row r="25" spans="1:18" s="116" customFormat="1" x14ac:dyDescent="0.25">
      <c r="A25"/>
      <c r="B25"/>
      <c r="C25"/>
    </row>
    <row r="26" spans="1:18" s="116" customFormat="1" x14ac:dyDescent="0.25">
      <c r="A26"/>
      <c r="B26" s="1" t="s">
        <v>37</v>
      </c>
      <c r="C26"/>
    </row>
    <row r="27" spans="1:18" s="116" customFormat="1" x14ac:dyDescent="0.25">
      <c r="A27"/>
      <c r="B27" t="s">
        <v>38</v>
      </c>
      <c r="C27"/>
      <c r="D27" s="116">
        <f>'Working Capital Build-up'!D12</f>
        <v>428.39</v>
      </c>
      <c r="E27" s="116">
        <f>'Working Capital Build-up'!E12</f>
        <v>867.78</v>
      </c>
      <c r="F27" s="116">
        <f>'Working Capital Build-up'!F12</f>
        <v>1361.16</v>
      </c>
      <c r="G27" s="116">
        <f>'Working Capital Build-up'!G12</f>
        <v>1582.73</v>
      </c>
      <c r="H27" s="116">
        <f>'Working Capital Build-up'!H12</f>
        <v>2045.05</v>
      </c>
      <c r="I27" s="116">
        <f>'Working Capital Build-up'!I12</f>
        <v>4263.3477648853723</v>
      </c>
      <c r="J27" s="116">
        <f>'Working Capital Build-up'!J12</f>
        <v>6485.7972634440248</v>
      </c>
      <c r="K27" s="116">
        <f>'Working Capital Build-up'!K12</f>
        <v>9359.6428937311284</v>
      </c>
      <c r="L27" s="116">
        <f>'Working Capital Build-up'!L12</f>
        <v>12884.798333816021</v>
      </c>
      <c r="M27" s="116">
        <f>'Working Capital Build-up'!M12</f>
        <v>17009.718465713322</v>
      </c>
      <c r="N27" s="116">
        <f>'Working Capital Build-up'!N12</f>
        <v>21638.364492716701</v>
      </c>
      <c r="O27" s="116">
        <f>'Working Capital Build-up'!O12</f>
        <v>26643.319779640336</v>
      </c>
      <c r="P27" s="116">
        <f>'Working Capital Build-up'!P12</f>
        <v>31881.53131829952</v>
      </c>
      <c r="Q27" s="116">
        <f>'Working Capital Build-up'!Q12</f>
        <v>37209.391195088137</v>
      </c>
      <c r="R27" s="116">
        <f>'Working Capital Build-up'!R12</f>
        <v>42494.879440538687</v>
      </c>
    </row>
    <row r="28" spans="1:18" s="116" customFormat="1" x14ac:dyDescent="0.25">
      <c r="A28"/>
      <c r="B28" s="1" t="s">
        <v>30</v>
      </c>
      <c r="C28"/>
    </row>
    <row r="29" spans="1:18" s="116" customFormat="1" x14ac:dyDescent="0.25">
      <c r="A29"/>
      <c r="B29" t="s">
        <v>31</v>
      </c>
      <c r="C29"/>
      <c r="D29" s="116">
        <f>'B_S Items'!D24</f>
        <v>670.66</v>
      </c>
      <c r="E29" s="116">
        <f>'B_S Items'!E24</f>
        <v>526.33000000000004</v>
      </c>
      <c r="F29" s="116">
        <f>'B_S Items'!F24</f>
        <v>545.74</v>
      </c>
      <c r="G29" s="116">
        <f>'B_S Items'!G24</f>
        <v>719.77</v>
      </c>
      <c r="H29" s="116">
        <f>'B_S Items'!H24</f>
        <v>634.69000000000005</v>
      </c>
      <c r="I29" s="116">
        <f>'B_S Items'!I24</f>
        <v>1382.1503109446892</v>
      </c>
      <c r="J29" s="116">
        <f>'B_S Items'!J24</f>
        <v>2102.6543455420874</v>
      </c>
      <c r="K29" s="116">
        <f>'B_S Items'!K24</f>
        <v>3034.3368754600178</v>
      </c>
      <c r="L29" s="116">
        <f>'B_S Items'!L24</f>
        <v>4177.1699156759378</v>
      </c>
      <c r="M29" s="116">
        <f>'B_S Items'!M24</f>
        <v>5514.4428657931448</v>
      </c>
      <c r="N29" s="116">
        <f>'B_S Items'!N24</f>
        <v>7015.0205569136879</v>
      </c>
      <c r="O29" s="116">
        <f>'B_S Items'!O24</f>
        <v>8637.5953238754355</v>
      </c>
      <c r="P29" s="116">
        <f>'B_S Items'!P24</f>
        <v>10335.790288542246</v>
      </c>
      <c r="Q29" s="116">
        <f>'B_S Items'!Q24</f>
        <v>12063.048675959093</v>
      </c>
      <c r="R29" s="116">
        <f>'B_S Items'!R24</f>
        <v>13776.57044918005</v>
      </c>
    </row>
    <row r="30" spans="1:18" s="116" customFormat="1" x14ac:dyDescent="0.25">
      <c r="A30"/>
      <c r="B30" s="1" t="s">
        <v>39</v>
      </c>
      <c r="C30"/>
    </row>
    <row r="31" spans="1:18" s="116" customFormat="1" x14ac:dyDescent="0.25">
      <c r="A31"/>
      <c r="B31" t="s">
        <v>228</v>
      </c>
      <c r="C31"/>
      <c r="D31" s="116">
        <f>'Working Capital Build-up'!D13</f>
        <v>20.77</v>
      </c>
      <c r="E31" s="116">
        <f>'Working Capital Build-up'!E13</f>
        <v>17.86</v>
      </c>
      <c r="F31" s="116">
        <f>'Working Capital Build-up'!F13</f>
        <v>34.39</v>
      </c>
      <c r="G31" s="116">
        <f>'Working Capital Build-up'!G13</f>
        <v>81.739999999999995</v>
      </c>
      <c r="H31" s="116">
        <f>'Working Capital Build-up'!H13</f>
        <v>62.95</v>
      </c>
      <c r="I31" s="116">
        <f>'Working Capital Build-up'!I13</f>
        <v>146.13393369223215</v>
      </c>
      <c r="J31" s="116">
        <f>'Working Capital Build-up'!J13</f>
        <v>222.31239849674171</v>
      </c>
      <c r="K31" s="116">
        <f>'Working Capital Build-up'!K13</f>
        <v>320.81864052491892</v>
      </c>
      <c r="L31" s="116">
        <f>'Working Capital Build-up'!L13</f>
        <v>441.64970093690658</v>
      </c>
      <c r="M31" s="116">
        <f>'Working Capital Build-up'!M13</f>
        <v>583.03877785088912</v>
      </c>
      <c r="N31" s="116">
        <f>'Working Capital Build-up'!N13</f>
        <v>741.69396830146502</v>
      </c>
      <c r="O31" s="116">
        <f>'Working Capital Build-up'!O13</f>
        <v>913.24783731865739</v>
      </c>
      <c r="P31" s="116">
        <f>'Working Capital Build-up'!P13</f>
        <v>1092.796985047376</v>
      </c>
      <c r="Q31" s="116">
        <f>'Working Capital Build-up'!Q13</f>
        <v>1275.4189912484269</v>
      </c>
      <c r="R31" s="116">
        <f>'Working Capital Build-up'!R13</f>
        <v>1456.5886333671037</v>
      </c>
    </row>
    <row r="32" spans="1:18" s="116" customFormat="1" x14ac:dyDescent="0.25">
      <c r="A32"/>
      <c r="B32" t="s">
        <v>42</v>
      </c>
      <c r="C32"/>
      <c r="D32" s="116">
        <f>'Historical Balance Sheet'!D32</f>
        <v>75.63</v>
      </c>
      <c r="E32" s="116">
        <f>'Historical Balance Sheet'!E32</f>
        <v>82.16</v>
      </c>
      <c r="F32" s="116">
        <f>'Historical Balance Sheet'!F32</f>
        <v>83.23</v>
      </c>
      <c r="G32" s="116">
        <f>'Historical Balance Sheet'!G32</f>
        <v>294.55</v>
      </c>
      <c r="H32" s="116">
        <f>'Historical Balance Sheet'!H32</f>
        <v>338.47</v>
      </c>
      <c r="I32" s="116">
        <f>I75-I24-SUM(I27:I31,I33:I40)</f>
        <v>672.01236351174975</v>
      </c>
      <c r="J32" s="116">
        <f t="shared" ref="J32:R32" si="3">J75-J24-SUM(J27:J31,J33:J40)</f>
        <v>3104.3624992041496</v>
      </c>
      <c r="K32" s="116">
        <f t="shared" si="3"/>
        <v>7111.3362893508074</v>
      </c>
      <c r="L32" s="116">
        <f t="shared" si="3"/>
        <v>13120.940643245445</v>
      </c>
      <c r="M32" s="116">
        <f t="shared" si="3"/>
        <v>21660.814083651341</v>
      </c>
      <c r="N32" s="116">
        <f t="shared" si="3"/>
        <v>33176.322297249695</v>
      </c>
      <c r="O32" s="116">
        <f t="shared" si="3"/>
        <v>47995.146660166247</v>
      </c>
      <c r="P32" s="116">
        <f t="shared" si="3"/>
        <v>66452.709208503613</v>
      </c>
      <c r="Q32" s="116">
        <f t="shared" si="3"/>
        <v>88730.086389442717</v>
      </c>
      <c r="R32" s="116">
        <f t="shared" si="3"/>
        <v>114850.70083061993</v>
      </c>
    </row>
    <row r="33" spans="1:18" s="116" customFormat="1" x14ac:dyDescent="0.25">
      <c r="A33"/>
      <c r="B33" t="s">
        <v>43</v>
      </c>
      <c r="C33"/>
      <c r="D33" s="116">
        <f>'Historical Balance Sheet'!D33</f>
        <v>5.84</v>
      </c>
      <c r="E33" s="116">
        <f>'Historical Balance Sheet'!E33</f>
        <v>4.21</v>
      </c>
      <c r="F33" s="116">
        <f>'Historical Balance Sheet'!F33</f>
        <v>3.07</v>
      </c>
      <c r="G33" s="116">
        <f>'Historical Balance Sheet'!G33</f>
        <v>3.01</v>
      </c>
      <c r="H33" s="116">
        <f>'Historical Balance Sheet'!H33</f>
        <v>1.37</v>
      </c>
      <c r="I33" s="116">
        <v>0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16">
        <v>0</v>
      </c>
      <c r="P33" s="116">
        <v>0</v>
      </c>
      <c r="Q33" s="116">
        <v>0</v>
      </c>
      <c r="R33" s="116">
        <v>0</v>
      </c>
    </row>
    <row r="34" spans="1:18" s="116" customFormat="1" x14ac:dyDescent="0.25">
      <c r="A34"/>
      <c r="B34" s="1" t="s">
        <v>32</v>
      </c>
      <c r="C34"/>
    </row>
    <row r="35" spans="1:18" s="116" customFormat="1" x14ac:dyDescent="0.25">
      <c r="A35"/>
      <c r="B35" t="s">
        <v>44</v>
      </c>
      <c r="C35"/>
      <c r="D35" s="116">
        <f>'B_S Items'!D26</f>
        <v>25</v>
      </c>
      <c r="E35" s="116">
        <f>'B_S Items'!E26</f>
        <v>25</v>
      </c>
      <c r="F35" s="116">
        <f>'B_S Items'!F26</f>
        <v>15</v>
      </c>
      <c r="G35" s="116">
        <f>'B_S Items'!G26</f>
        <v>15</v>
      </c>
      <c r="H35" s="116">
        <f>'B_S Items'!H26</f>
        <v>15</v>
      </c>
      <c r="I35" s="116">
        <f>'B_S Items'!I26</f>
        <v>105.63479416175558</v>
      </c>
      <c r="J35" s="116">
        <f>'B_S Items'!J26</f>
        <v>160.70137757509633</v>
      </c>
      <c r="K35" s="116">
        <f>'B_S Items'!K26</f>
        <v>231.90788202880967</v>
      </c>
      <c r="L35" s="116">
        <f>'B_S Items'!L26</f>
        <v>319.25216868743564</v>
      </c>
      <c r="M35" s="116">
        <f>'B_S Items'!M26</f>
        <v>421.45708207863038</v>
      </c>
      <c r="N35" s="116">
        <f>'B_S Items'!N26</f>
        <v>536.1430277894832</v>
      </c>
      <c r="O35" s="116">
        <f>'B_S Items'!O26</f>
        <v>660.15294925953799</v>
      </c>
      <c r="P35" s="116">
        <f>'B_S Items'!P26</f>
        <v>789.94236081528823</v>
      </c>
      <c r="Q35" s="116">
        <f>'B_S Items'!Q26</f>
        <v>921.9530276538577</v>
      </c>
      <c r="R35" s="116">
        <f>'B_S Items'!R26</f>
        <v>1052.9138344290375</v>
      </c>
    </row>
    <row r="36" spans="1:18" s="116" customFormat="1" x14ac:dyDescent="0.25">
      <c r="A36"/>
      <c r="B36" t="s">
        <v>45</v>
      </c>
      <c r="C36"/>
      <c r="D36" s="116">
        <f>'B_S Items'!D28</f>
        <v>1.04</v>
      </c>
      <c r="E36" s="116">
        <f>'B_S Items'!E28</f>
        <v>1.44</v>
      </c>
      <c r="F36" s="116">
        <f>'B_S Items'!F28</f>
        <v>2.04</v>
      </c>
      <c r="G36" s="116">
        <f>'B_S Items'!G28</f>
        <v>2.08</v>
      </c>
      <c r="H36" s="116">
        <f>'B_S Items'!H28</f>
        <v>2.97</v>
      </c>
      <c r="I36" s="116">
        <f>'B_S Items'!I28</f>
        <v>7.2433064307463457</v>
      </c>
      <c r="J36" s="116">
        <f>'B_S Items'!J28</f>
        <v>11.019184832575878</v>
      </c>
      <c r="K36" s="116">
        <f>'B_S Items'!K28</f>
        <v>15.901766710198181</v>
      </c>
      <c r="L36" s="116">
        <f>'B_S Items'!L28</f>
        <v>21.890905405111539</v>
      </c>
      <c r="M36" s="116">
        <f>'B_S Items'!M28</f>
        <v>28.8990272298837</v>
      </c>
      <c r="N36" s="116">
        <f>'B_S Items'!N28</f>
        <v>36.762965004132695</v>
      </c>
      <c r="O36" s="116">
        <f>'B_S Items'!O28</f>
        <v>45.266241493552883</v>
      </c>
      <c r="P36" s="116">
        <f>'B_S Items'!P28</f>
        <v>54.165813711443462</v>
      </c>
      <c r="Q36" s="116">
        <f>'B_S Items'!Q28</f>
        <v>63.217695902596603</v>
      </c>
      <c r="R36" s="116">
        <f>'B_S Items'!R28</f>
        <v>72.197589898866823</v>
      </c>
    </row>
    <row r="37" spans="1:18" s="116" customFormat="1" x14ac:dyDescent="0.25">
      <c r="A37"/>
      <c r="B37" t="s">
        <v>33</v>
      </c>
      <c r="C37"/>
      <c r="D37" s="116">
        <f>'B_S Items'!D30</f>
        <v>55.5</v>
      </c>
      <c r="E37" s="116">
        <f>'B_S Items'!E30</f>
        <v>98.19</v>
      </c>
      <c r="F37" s="116">
        <f>'B_S Items'!F30</f>
        <v>119.24</v>
      </c>
      <c r="G37" s="116">
        <f>'B_S Items'!G30</f>
        <v>140.22</v>
      </c>
      <c r="H37" s="116">
        <f>'B_S Items'!H30</f>
        <v>158.84</v>
      </c>
      <c r="I37" s="116">
        <f>'B_S Items'!I30</f>
        <v>432.90040490143974</v>
      </c>
      <c r="J37" s="116">
        <f>'B_S Items'!J30</f>
        <v>658.56796496381025</v>
      </c>
      <c r="K37" s="116">
        <f>'B_S Items'!K30</f>
        <v>950.37829937338677</v>
      </c>
      <c r="L37" s="116">
        <f>'B_S Items'!L30</f>
        <v>1308.3226429998545</v>
      </c>
      <c r="M37" s="116">
        <f>'B_S Items'!M30</f>
        <v>1727.1671036821401</v>
      </c>
      <c r="N37" s="116">
        <f>'B_S Items'!N30</f>
        <v>2197.159900361507</v>
      </c>
      <c r="O37" s="116">
        <f>'B_S Items'!O30</f>
        <v>2705.3631457238043</v>
      </c>
      <c r="P37" s="116">
        <f>'B_S Items'!P30</f>
        <v>3237.2512348733703</v>
      </c>
      <c r="Q37" s="116">
        <f>'B_S Items'!Q30</f>
        <v>3778.2422178085712</v>
      </c>
      <c r="R37" s="116">
        <f>'B_S Items'!R30</f>
        <v>4314.9307845736294</v>
      </c>
    </row>
    <row r="38" spans="1:18" s="116" customFormat="1" x14ac:dyDescent="0.25">
      <c r="A38"/>
      <c r="B38" t="s">
        <v>46</v>
      </c>
      <c r="C38"/>
      <c r="D38" s="116">
        <f>'B_S Items'!D32</f>
        <v>4.5199999999999996</v>
      </c>
      <c r="E38" s="116">
        <f>'B_S Items'!E32</f>
        <v>1.89</v>
      </c>
      <c r="F38" s="116">
        <f>'B_S Items'!F32</f>
        <v>17.21</v>
      </c>
      <c r="G38" s="116">
        <f>'B_S Items'!G32</f>
        <v>4</v>
      </c>
      <c r="H38" s="116">
        <f>'B_S Items'!H32</f>
        <v>2.36</v>
      </c>
      <c r="I38" s="116">
        <f>'B_S Items'!I32</f>
        <v>26.053031066040528</v>
      </c>
      <c r="J38" s="116">
        <f>'B_S Items'!J32</f>
        <v>39.634270275648277</v>
      </c>
      <c r="K38" s="116">
        <f>'B_S Items'!K32</f>
        <v>57.196147376445346</v>
      </c>
      <c r="L38" s="116">
        <f>'B_S Items'!L32</f>
        <v>78.738134860926976</v>
      </c>
      <c r="M38" s="116">
        <f>'B_S Items'!M32</f>
        <v>103.94524398451165</v>
      </c>
      <c r="N38" s="116">
        <f>'B_S Items'!N32</f>
        <v>132.23058812848541</v>
      </c>
      <c r="O38" s="116">
        <f>'B_S Items'!O32</f>
        <v>162.81553281640043</v>
      </c>
      <c r="P38" s="116">
        <f>'B_S Items'!P32</f>
        <v>194.82589074948098</v>
      </c>
      <c r="Q38" s="116">
        <f>'B_S Items'!Q32</f>
        <v>227.3840836392925</v>
      </c>
      <c r="R38" s="116">
        <f>'B_S Items'!R32</f>
        <v>259.68334634361418</v>
      </c>
    </row>
    <row r="39" spans="1:18" s="116" customFormat="1" x14ac:dyDescent="0.25">
      <c r="A39"/>
      <c r="B39" t="s">
        <v>47</v>
      </c>
      <c r="C39"/>
      <c r="D39" s="116">
        <f>'B_S Items'!D34</f>
        <v>106.03</v>
      </c>
      <c r="E39" s="116">
        <f>'B_S Items'!E34</f>
        <v>152.19999999999999</v>
      </c>
      <c r="F39" s="116">
        <f>'B_S Items'!F34</f>
        <v>188.01</v>
      </c>
      <c r="G39" s="116">
        <f>'B_S Items'!G34</f>
        <v>253.63</v>
      </c>
      <c r="H39" s="116">
        <f>'B_S Items'!H34</f>
        <v>402.61</v>
      </c>
      <c r="I39" s="116">
        <f>'B_S Items'!I34</f>
        <v>782.47297134405619</v>
      </c>
      <c r="J39" s="116">
        <f>'B_S Items'!J34</f>
        <v>1190.3699477817861</v>
      </c>
      <c r="K39" s="116">
        <f>'B_S Items'!K34</f>
        <v>1717.8208275894631</v>
      </c>
      <c r="L39" s="116">
        <f>'B_S Items'!L34</f>
        <v>2364.8097676828947</v>
      </c>
      <c r="M39" s="116">
        <f>'B_S Items'!M34</f>
        <v>3121.8764416114709</v>
      </c>
      <c r="N39" s="116">
        <f>'B_S Items'!N34</f>
        <v>3971.3943814520112</v>
      </c>
      <c r="O39" s="116">
        <f>'B_S Items'!O34</f>
        <v>4889.9781918225863</v>
      </c>
      <c r="P39" s="116">
        <f>'B_S Items'!P34</f>
        <v>5851.372657679296</v>
      </c>
      <c r="Q39" s="116">
        <f>'B_S Items'!Q34</f>
        <v>6829.2207194847024</v>
      </c>
      <c r="R39" s="116">
        <f>'B_S Items'!R34</f>
        <v>7799.2921095048805</v>
      </c>
    </row>
    <row r="40" spans="1:18" s="116" customFormat="1" x14ac:dyDescent="0.25">
      <c r="A40"/>
      <c r="B40" t="s">
        <v>48</v>
      </c>
      <c r="C40"/>
      <c r="D40" s="116">
        <f>'B_S Items'!D36</f>
        <v>9.9700000000000006</v>
      </c>
      <c r="E40" s="116">
        <f>'B_S Items'!E36</f>
        <v>6.4</v>
      </c>
      <c r="F40" s="116">
        <f>'B_S Items'!F36</f>
        <v>8.69</v>
      </c>
      <c r="G40" s="116">
        <f>'B_S Items'!G36</f>
        <v>13.12</v>
      </c>
      <c r="H40" s="116">
        <f>'B_S Items'!H36</f>
        <v>9.14</v>
      </c>
      <c r="I40" s="116">
        <f>'B_S Items'!I36</f>
        <v>43.763544283173083</v>
      </c>
      <c r="J40" s="116">
        <f>'B_S Items'!J36</f>
        <v>66.577134074833566</v>
      </c>
      <c r="K40" s="116">
        <f>'B_S Items'!K36</f>
        <v>96.077347859869406</v>
      </c>
      <c r="L40" s="116">
        <f>'B_S Items'!L36</f>
        <v>132.26329953800362</v>
      </c>
      <c r="M40" s="116">
        <f>'B_S Items'!M36</f>
        <v>174.60587509416246</v>
      </c>
      <c r="N40" s="116">
        <f>'B_S Items'!N36</f>
        <v>222.11922998449285</v>
      </c>
      <c r="O40" s="116">
        <f>'B_S Items'!O36</f>
        <v>273.49542409622813</v>
      </c>
      <c r="P40" s="116">
        <f>'B_S Items'!P36</f>
        <v>327.26600892275189</v>
      </c>
      <c r="Q40" s="116">
        <f>'B_S Items'!Q36</f>
        <v>381.95683981692105</v>
      </c>
      <c r="R40" s="116">
        <f>'B_S Items'!R36</f>
        <v>436.21272313780355</v>
      </c>
    </row>
    <row r="41" spans="1:18" s="116" customFormat="1" x14ac:dyDescent="0.25">
      <c r="A41"/>
      <c r="B41" s="3" t="s">
        <v>49</v>
      </c>
      <c r="C41" s="2"/>
      <c r="D41" s="117">
        <f>SUM(D27:D40)</f>
        <v>1403.3499999999997</v>
      </c>
      <c r="E41" s="117">
        <f t="shared" ref="E41:R41" si="4">SUM(E27:E40)</f>
        <v>1783.4600000000005</v>
      </c>
      <c r="F41" s="117">
        <f t="shared" si="4"/>
        <v>2377.7800000000002</v>
      </c>
      <c r="G41" s="117">
        <f t="shared" si="4"/>
        <v>3109.85</v>
      </c>
      <c r="H41" s="117">
        <f t="shared" si="4"/>
        <v>3673.45</v>
      </c>
      <c r="I41" s="117">
        <f t="shared" si="4"/>
        <v>7861.7124252212552</v>
      </c>
      <c r="J41" s="117">
        <f t="shared" si="4"/>
        <v>14041.996386190754</v>
      </c>
      <c r="K41" s="117">
        <f t="shared" si="4"/>
        <v>22895.416970005048</v>
      </c>
      <c r="L41" s="117">
        <f t="shared" si="4"/>
        <v>34849.835512848535</v>
      </c>
      <c r="M41" s="117">
        <f t="shared" si="4"/>
        <v>50345.964966689498</v>
      </c>
      <c r="N41" s="117">
        <f t="shared" si="4"/>
        <v>69667.211407901661</v>
      </c>
      <c r="O41" s="117">
        <f t="shared" si="4"/>
        <v>92926.381086212801</v>
      </c>
      <c r="P41" s="117">
        <f t="shared" si="4"/>
        <v>120217.65176714439</v>
      </c>
      <c r="Q41" s="117">
        <f t="shared" si="4"/>
        <v>151479.91983604431</v>
      </c>
      <c r="R41" s="117">
        <f t="shared" si="4"/>
        <v>186513.96974159358</v>
      </c>
    </row>
    <row r="42" spans="1:18" s="116" customFormat="1" x14ac:dyDescent="0.25">
      <c r="A42"/>
      <c r="B42"/>
      <c r="C42"/>
    </row>
    <row r="43" spans="1:18" s="116" customFormat="1" x14ac:dyDescent="0.25">
      <c r="A43"/>
      <c r="B43" s="5" t="s">
        <v>50</v>
      </c>
      <c r="C43" s="9"/>
      <c r="D43" s="145">
        <f>D41+D24</f>
        <v>5723.7300000000005</v>
      </c>
      <c r="E43" s="145">
        <f t="shared" ref="E43:R43" si="5">E41+E24</f>
        <v>7726.0200000000023</v>
      </c>
      <c r="F43" s="145">
        <f t="shared" si="5"/>
        <v>8081.5300000000007</v>
      </c>
      <c r="G43" s="145">
        <f t="shared" si="5"/>
        <v>7161.75</v>
      </c>
      <c r="H43" s="145">
        <f t="shared" si="5"/>
        <v>9419.6400000000031</v>
      </c>
      <c r="I43" s="145">
        <f t="shared" si="5"/>
        <v>15608.426691737161</v>
      </c>
      <c r="J43" s="145">
        <f t="shared" si="5"/>
        <v>23788.488274298041</v>
      </c>
      <c r="K43" s="145">
        <f t="shared" si="5"/>
        <v>35175.76838202955</v>
      </c>
      <c r="L43" s="145">
        <f t="shared" si="5"/>
        <v>50246.035139586871</v>
      </c>
      <c r="M43" s="145">
        <f t="shared" si="5"/>
        <v>69349.958621844897</v>
      </c>
      <c r="N43" s="145">
        <f t="shared" si="5"/>
        <v>92692.384910733439</v>
      </c>
      <c r="O43" s="145">
        <f t="shared" si="5"/>
        <v>120331.70030089817</v>
      </c>
      <c r="P43" s="145">
        <f t="shared" si="5"/>
        <v>152195.21596019075</v>
      </c>
      <c r="Q43" s="145">
        <f t="shared" si="5"/>
        <v>188104.3430937904</v>
      </c>
      <c r="R43" s="145">
        <f t="shared" si="5"/>
        <v>227803.69970455283</v>
      </c>
    </row>
    <row r="44" spans="1:18" s="116" customFormat="1" x14ac:dyDescent="0.25">
      <c r="A44"/>
      <c r="B44"/>
      <c r="C44"/>
    </row>
    <row r="45" spans="1:18" s="116" customFormat="1" x14ac:dyDescent="0.25">
      <c r="A45"/>
      <c r="B45" s="25" t="s">
        <v>51</v>
      </c>
      <c r="C45"/>
    </row>
    <row r="46" spans="1:18" s="116" customFormat="1" x14ac:dyDescent="0.25">
      <c r="A46"/>
      <c r="B46" s="1" t="s">
        <v>52</v>
      </c>
      <c r="C46"/>
    </row>
    <row r="47" spans="1:18" s="116" customFormat="1" x14ac:dyDescent="0.25">
      <c r="A47"/>
      <c r="B47" t="s">
        <v>53</v>
      </c>
      <c r="C47"/>
      <c r="D47" s="116">
        <f>'B_S Items'!D68</f>
        <v>35.549999999999997</v>
      </c>
      <c r="E47" s="116">
        <f>'B_S Items'!E68</f>
        <v>35.549999999999997</v>
      </c>
      <c r="F47" s="116">
        <f>'B_S Items'!F68</f>
        <v>35.549999999999997</v>
      </c>
      <c r="G47" s="116">
        <f>'B_S Items'!G68</f>
        <v>35.549999999999997</v>
      </c>
      <c r="H47" s="116">
        <f>'B_S Items'!H68</f>
        <v>35.549999999999997</v>
      </c>
      <c r="I47" s="116">
        <f>'B_S Items'!I68</f>
        <v>35.549999999999997</v>
      </c>
      <c r="J47" s="116">
        <f>'B_S Items'!J68</f>
        <v>35.549999999999997</v>
      </c>
      <c r="K47" s="116">
        <f>'B_S Items'!K68</f>
        <v>35.549999999999997</v>
      </c>
      <c r="L47" s="116">
        <f>'B_S Items'!L68</f>
        <v>35.549999999999997</v>
      </c>
      <c r="M47" s="116">
        <f>'B_S Items'!M68</f>
        <v>35.549999999999997</v>
      </c>
      <c r="N47" s="116">
        <f>'B_S Items'!N68</f>
        <v>35.549999999999997</v>
      </c>
      <c r="O47" s="116">
        <f>'B_S Items'!O68</f>
        <v>35.549999999999997</v>
      </c>
      <c r="P47" s="116">
        <f>'B_S Items'!P68</f>
        <v>35.549999999999997</v>
      </c>
      <c r="Q47" s="116">
        <f>'B_S Items'!Q68</f>
        <v>35.549999999999997</v>
      </c>
      <c r="R47" s="116">
        <f>'B_S Items'!R68</f>
        <v>35.549999999999997</v>
      </c>
    </row>
    <row r="48" spans="1:18" s="116" customFormat="1" x14ac:dyDescent="0.25">
      <c r="A48"/>
      <c r="B48" t="s">
        <v>54</v>
      </c>
      <c r="C48"/>
      <c r="D48" s="116">
        <f>'B_S Items'!D70</f>
        <v>2277.48</v>
      </c>
      <c r="E48" s="116">
        <f>'B_S Items'!E70</f>
        <v>2328.4499999999998</v>
      </c>
      <c r="F48" s="116">
        <f>'B_S Items'!F70</f>
        <v>2559.94</v>
      </c>
      <c r="G48" s="116">
        <f>'B_S Items'!G70</f>
        <v>4032.19</v>
      </c>
      <c r="H48" s="116">
        <f>'B_S Items'!H70</f>
        <v>5426.19</v>
      </c>
      <c r="I48" s="116">
        <f>'B_S Items'!I70</f>
        <v>8144.1081987930038</v>
      </c>
      <c r="J48" s="116">
        <f>'B_S Items'!J70</f>
        <v>12450.6636663352</v>
      </c>
      <c r="K48" s="116">
        <f>'B_S Items'!K70</f>
        <v>18811.48325815424</v>
      </c>
      <c r="L48" s="116">
        <f>'B_S Items'!L70</f>
        <v>27692.115170131769</v>
      </c>
      <c r="M48" s="116">
        <f>'B_S Items'!M70</f>
        <v>39521.296354610538</v>
      </c>
      <c r="N48" s="116">
        <f>'B_S Items'!N70</f>
        <v>54659.096964239034</v>
      </c>
      <c r="O48" s="116">
        <f>'B_S Items'!O70</f>
        <v>73374.490366062761</v>
      </c>
      <c r="P48" s="116">
        <f>'B_S Items'!P70</f>
        <v>95834.228949769313</v>
      </c>
      <c r="Q48" s="116">
        <f>'B_S Items'!Q70</f>
        <v>122102.39457239359</v>
      </c>
      <c r="R48" s="116">
        <f>'B_S Items'!R70</f>
        <v>152148.68107377281</v>
      </c>
    </row>
    <row r="49" spans="1:18" s="116" customFormat="1" x14ac:dyDescent="0.25">
      <c r="A49"/>
      <c r="B49" t="s">
        <v>55</v>
      </c>
      <c r="C49"/>
      <c r="D49" s="116">
        <f>'B_S Items'!D72</f>
        <v>44.49</v>
      </c>
      <c r="E49" s="116">
        <f>'B_S Items'!E72</f>
        <v>45.94</v>
      </c>
      <c r="F49" s="116">
        <f>'B_S Items'!F72</f>
        <v>67.48</v>
      </c>
      <c r="G49" s="116">
        <f>'B_S Items'!G72</f>
        <v>34.85</v>
      </c>
      <c r="H49" s="116">
        <f>'B_S Items'!H72</f>
        <v>121.62</v>
      </c>
      <c r="I49" s="116">
        <f>'B_S Items'!I72</f>
        <v>182.14159409587515</v>
      </c>
      <c r="J49" s="116">
        <f>'B_S Items'!J72</f>
        <v>278.03837350362465</v>
      </c>
      <c r="K49" s="116">
        <f>'B_S Items'!K72</f>
        <v>419.67874429334216</v>
      </c>
      <c r="L49" s="116">
        <f>'B_S Items'!L72</f>
        <v>617.42936097130689</v>
      </c>
      <c r="M49" s="116">
        <f>'B_S Items'!M72</f>
        <v>880.837178929743</v>
      </c>
      <c r="N49" s="116">
        <f>'B_S Items'!N72</f>
        <v>1217.9201067408467</v>
      </c>
      <c r="O49" s="116">
        <f>'B_S Items'!O72</f>
        <v>1634.6675435521563</v>
      </c>
      <c r="P49" s="116">
        <f>'B_S Items'!P72</f>
        <v>2134.7926697116568</v>
      </c>
      <c r="Q49" s="116">
        <f>'B_S Items'!Q72</f>
        <v>2719.7224362372631</v>
      </c>
      <c r="R49" s="116">
        <f>'B_S Items'!R72</f>
        <v>3388.7819967981354</v>
      </c>
    </row>
    <row r="50" spans="1:18" s="116" customFormat="1" x14ac:dyDescent="0.25">
      <c r="A50"/>
      <c r="B50" s="3" t="s">
        <v>56</v>
      </c>
      <c r="C50" s="2"/>
      <c r="D50" s="117">
        <f>SUM(D47:D49)</f>
        <v>2357.52</v>
      </c>
      <c r="E50" s="117">
        <f t="shared" ref="E50:R50" si="6">SUM(E47:E49)</f>
        <v>2409.94</v>
      </c>
      <c r="F50" s="117">
        <f t="shared" si="6"/>
        <v>2662.9700000000003</v>
      </c>
      <c r="G50" s="117">
        <f t="shared" si="6"/>
        <v>4102.59</v>
      </c>
      <c r="H50" s="117">
        <f t="shared" si="6"/>
        <v>5583.36</v>
      </c>
      <c r="I50" s="117">
        <f t="shared" si="6"/>
        <v>8361.7997928888799</v>
      </c>
      <c r="J50" s="117">
        <f t="shared" si="6"/>
        <v>12764.252039838824</v>
      </c>
      <c r="K50" s="117">
        <f t="shared" si="6"/>
        <v>19266.712002447581</v>
      </c>
      <c r="L50" s="117">
        <f t="shared" si="6"/>
        <v>28345.094531103074</v>
      </c>
      <c r="M50" s="117">
        <f t="shared" si="6"/>
        <v>40437.683533540287</v>
      </c>
      <c r="N50" s="117">
        <f t="shared" si="6"/>
        <v>55912.567070979887</v>
      </c>
      <c r="O50" s="117">
        <f t="shared" si="6"/>
        <v>75044.707909614925</v>
      </c>
      <c r="P50" s="117">
        <f t="shared" si="6"/>
        <v>98004.571619480979</v>
      </c>
      <c r="Q50" s="117">
        <f t="shared" si="6"/>
        <v>124857.66700863086</v>
      </c>
      <c r="R50" s="117">
        <f t="shared" si="6"/>
        <v>155573.01307057095</v>
      </c>
    </row>
    <row r="51" spans="1:18" s="116" customFormat="1" x14ac:dyDescent="0.25">
      <c r="A51"/>
      <c r="B51"/>
      <c r="C51"/>
    </row>
    <row r="52" spans="1:18" s="116" customFormat="1" x14ac:dyDescent="0.25">
      <c r="A52"/>
      <c r="B52" s="25" t="s">
        <v>57</v>
      </c>
      <c r="C52"/>
    </row>
    <row r="53" spans="1:18" s="116" customFormat="1" x14ac:dyDescent="0.25">
      <c r="A53"/>
      <c r="B53" s="1" t="s">
        <v>58</v>
      </c>
      <c r="C53"/>
    </row>
    <row r="54" spans="1:18" s="116" customFormat="1" x14ac:dyDescent="0.25">
      <c r="A54"/>
      <c r="B54" s="1" t="s">
        <v>59</v>
      </c>
      <c r="C54"/>
    </row>
    <row r="55" spans="1:18" s="116" customFormat="1" x14ac:dyDescent="0.25">
      <c r="A55"/>
      <c r="B55" t="s">
        <v>60</v>
      </c>
      <c r="C55"/>
      <c r="D55" s="116">
        <f>'B_S Items'!D42</f>
        <v>0</v>
      </c>
      <c r="E55" s="116">
        <f>'B_S Items'!E42</f>
        <v>497.38</v>
      </c>
      <c r="F55" s="116">
        <f>'B_S Items'!F42</f>
        <v>497.95</v>
      </c>
      <c r="G55" s="116">
        <f>'B_S Items'!G42</f>
        <v>498.56</v>
      </c>
      <c r="H55" s="116">
        <f>'B_S Items'!H42</f>
        <v>499.2</v>
      </c>
      <c r="I55" s="116">
        <f>'B_S Items'!I42</f>
        <v>1329.1580713553019</v>
      </c>
      <c r="J55" s="116">
        <f>'B_S Items'!J42</f>
        <v>2022.0376702280437</v>
      </c>
      <c r="K55" s="116">
        <f>'B_S Items'!K42</f>
        <v>2917.9990897459684</v>
      </c>
      <c r="L55" s="116">
        <f>'B_S Items'!L42</f>
        <v>4017.0154178443781</v>
      </c>
      <c r="M55" s="116">
        <f>'B_S Items'!M42</f>
        <v>5303.016745759669</v>
      </c>
      <c r="N55" s="116">
        <f>'B_S Items'!N42</f>
        <v>6746.0616404103412</v>
      </c>
      <c r="O55" s="116">
        <f>'B_S Items'!O42</f>
        <v>8306.4261903489041</v>
      </c>
      <c r="P55" s="116">
        <f>'B_S Items'!P42</f>
        <v>9939.5116269676364</v>
      </c>
      <c r="Q55" s="116">
        <f>'B_S Items'!Q42</f>
        <v>11600.546182161625</v>
      </c>
      <c r="R55" s="116">
        <f>'B_S Items'!R42</f>
        <v>13248.370790878023</v>
      </c>
    </row>
    <row r="56" spans="1:18" s="116" customFormat="1" x14ac:dyDescent="0.25">
      <c r="A56"/>
      <c r="B56" t="s">
        <v>73</v>
      </c>
      <c r="C56"/>
      <c r="D56" s="116">
        <f>'B_S Items'!D44</f>
        <v>2587.19</v>
      </c>
      <c r="E56" s="116">
        <f>'B_S Items'!E44</f>
        <v>4126.01</v>
      </c>
      <c r="F56" s="116">
        <f>'B_S Items'!F44</f>
        <v>3750.22</v>
      </c>
      <c r="G56" s="116">
        <f>'B_S Items'!G44</f>
        <v>845.2</v>
      </c>
      <c r="H56" s="116">
        <f>'B_S Items'!H44</f>
        <v>1101.8</v>
      </c>
      <c r="I56" s="116">
        <f>'B_S Items'!I44</f>
        <v>1777.5172152723151</v>
      </c>
      <c r="J56" s="116">
        <f>'B_S Items'!J44</f>
        <v>2704.122892692943</v>
      </c>
      <c r="K56" s="116">
        <f>'B_S Items'!K44</f>
        <v>3902.3151030363074</v>
      </c>
      <c r="L56" s="116">
        <f>'B_S Items'!L44</f>
        <v>5372.0578561073135</v>
      </c>
      <c r="M56" s="116">
        <f>'B_S Items'!M44</f>
        <v>7091.8604503176739</v>
      </c>
      <c r="N56" s="116">
        <f>'B_S Items'!N44</f>
        <v>9021.6814384540994</v>
      </c>
      <c r="O56" s="116">
        <f>'B_S Items'!O44</f>
        <v>11108.397013817008</v>
      </c>
      <c r="P56" s="116">
        <f>'B_S Items'!P44</f>
        <v>13292.36409806333</v>
      </c>
      <c r="Q56" s="116">
        <f>'B_S Items'!Q44</f>
        <v>15513.708256180593</v>
      </c>
      <c r="R56" s="116">
        <f>'B_S Items'!R44</f>
        <v>17717.386413704866</v>
      </c>
    </row>
    <row r="57" spans="1:18" s="116" customFormat="1" x14ac:dyDescent="0.25">
      <c r="A57"/>
      <c r="B57" t="s">
        <v>61</v>
      </c>
      <c r="C57"/>
      <c r="D57" s="116">
        <f>'B_S Items'!D46</f>
        <v>4.9400000000000004</v>
      </c>
      <c r="E57" s="116">
        <f>'B_S Items'!E46</f>
        <v>8.48</v>
      </c>
      <c r="F57" s="116">
        <f>'B_S Items'!F46</f>
        <v>8.06</v>
      </c>
      <c r="G57" s="116">
        <f>'B_S Items'!G46</f>
        <v>5.3</v>
      </c>
      <c r="H57" s="116">
        <f>'B_S Items'!H46</f>
        <v>46.47</v>
      </c>
      <c r="I57" s="116">
        <f>'B_S Items'!I46</f>
        <v>43.723948599947803</v>
      </c>
      <c r="J57" s="116">
        <f>'B_S Items'!J46</f>
        <v>66.516897474849415</v>
      </c>
      <c r="K57" s="116">
        <f>'B_S Items'!K46</f>
        <v>95.990420525868089</v>
      </c>
      <c r="L57" s="116">
        <f>'B_S Items'!L46</f>
        <v>132.14363245443857</v>
      </c>
      <c r="M57" s="116">
        <f>'B_S Items'!M46</f>
        <v>174.44789796884629</v>
      </c>
      <c r="N57" s="116">
        <f>'B_S Items'!N46</f>
        <v>221.91826448197773</v>
      </c>
      <c r="O57" s="116">
        <f>'B_S Items'!O46</f>
        <v>273.2479752583094</v>
      </c>
      <c r="P57" s="116">
        <f>'B_S Items'!P46</f>
        <v>326.96991039069837</v>
      </c>
      <c r="Q57" s="116">
        <f>'B_S Items'!Q46</f>
        <v>381.61125898513876</v>
      </c>
      <c r="R57" s="116">
        <f>'B_S Items'!R46</f>
        <v>435.81805353123696</v>
      </c>
    </row>
    <row r="58" spans="1:18" s="116" customFormat="1" x14ac:dyDescent="0.25">
      <c r="A58"/>
      <c r="B58" t="s">
        <v>62</v>
      </c>
      <c r="C58"/>
      <c r="D58" s="116">
        <f>'B_S Items'!D48</f>
        <v>13.98</v>
      </c>
      <c r="E58" s="116">
        <f>'B_S Items'!E48</f>
        <v>21.26</v>
      </c>
      <c r="F58" s="116">
        <f>'B_S Items'!F48</f>
        <v>58.9</v>
      </c>
      <c r="G58" s="116">
        <f>'B_S Items'!G48</f>
        <v>160.04</v>
      </c>
      <c r="H58" s="116">
        <f>'B_S Items'!H48</f>
        <v>165.78</v>
      </c>
      <c r="I58" s="116">
        <f>'B_S Items'!I48</f>
        <v>220.43592988329229</v>
      </c>
      <c r="J58" s="116">
        <f>'B_S Items'!J48</f>
        <v>335.34743812770722</v>
      </c>
      <c r="K58" s="116">
        <f>'B_S Items'!K48</f>
        <v>483.93931211723316</v>
      </c>
      <c r="L58" s="116">
        <f>'B_S Items'!L48</f>
        <v>666.20708858588637</v>
      </c>
      <c r="M58" s="116">
        <f>'B_S Items'!M48</f>
        <v>879.4856328459374</v>
      </c>
      <c r="N58" s="116">
        <f>'B_S Items'!N48</f>
        <v>1118.8092694178486</v>
      </c>
      <c r="O58" s="116">
        <f>'B_S Items'!O48</f>
        <v>1377.5899351154251</v>
      </c>
      <c r="P58" s="116">
        <f>'B_S Items'!P48</f>
        <v>1648.4310897967798</v>
      </c>
      <c r="Q58" s="116">
        <f>'B_S Items'!Q48</f>
        <v>1923.9075019959055</v>
      </c>
      <c r="R58" s="116">
        <f>'B_S Items'!R48</f>
        <v>2197.1930936310578</v>
      </c>
    </row>
    <row r="59" spans="1:18" s="116" customFormat="1" x14ac:dyDescent="0.25">
      <c r="A59"/>
      <c r="B59" t="s">
        <v>63</v>
      </c>
      <c r="C59"/>
      <c r="D59" s="116">
        <f>'B_S Items'!D50</f>
        <v>8.66</v>
      </c>
      <c r="E59" s="116">
        <f>'B_S Items'!E50</f>
        <v>9.5</v>
      </c>
      <c r="F59" s="116">
        <f>'B_S Items'!F50</f>
        <v>9.4499999999999993</v>
      </c>
      <c r="G59" s="116">
        <f>'B_S Items'!G50</f>
        <v>8.59</v>
      </c>
      <c r="H59" s="116">
        <f>'B_S Items'!H50</f>
        <v>12.34</v>
      </c>
      <c r="I59" s="116">
        <f>'B_S Items'!I50</f>
        <v>44.299197077501496</v>
      </c>
      <c r="J59" s="116">
        <f>'B_S Items'!J50</f>
        <v>67.392018437827758</v>
      </c>
      <c r="K59" s="116">
        <f>'B_S Items'!K50</f>
        <v>97.253306084820338</v>
      </c>
      <c r="L59" s="116">
        <f>'B_S Items'!L50</f>
        <v>133.88216307259782</v>
      </c>
      <c r="M59" s="116">
        <f>'B_S Items'!M50</f>
        <v>176.74299918756699</v>
      </c>
      <c r="N59" s="116">
        <f>'B_S Items'!N50</f>
        <v>224.83790344122693</v>
      </c>
      <c r="O59" s="116">
        <f>'B_S Items'!O50</f>
        <v>276.84292692198778</v>
      </c>
      <c r="P59" s="116">
        <f>'B_S Items'!P50</f>
        <v>331.27164774930327</v>
      </c>
      <c r="Q59" s="116">
        <f>'B_S Items'!Q50</f>
        <v>386.63187818303095</v>
      </c>
      <c r="R59" s="116">
        <f>'B_S Items'!R50</f>
        <v>441.55183741425424</v>
      </c>
    </row>
    <row r="60" spans="1:18" s="116" customFormat="1" x14ac:dyDescent="0.25">
      <c r="A60"/>
      <c r="B60" s="3" t="s">
        <v>64</v>
      </c>
      <c r="C60" s="2"/>
      <c r="D60" s="117">
        <f>SUM(D55:D59)</f>
        <v>2614.77</v>
      </c>
      <c r="E60" s="117">
        <f t="shared" ref="E60:R60" si="7">SUM(E55:E59)</f>
        <v>4662.63</v>
      </c>
      <c r="F60" s="117">
        <f t="shared" si="7"/>
        <v>4324.58</v>
      </c>
      <c r="G60" s="117">
        <f t="shared" si="7"/>
        <v>1517.6899999999998</v>
      </c>
      <c r="H60" s="117">
        <f t="shared" si="7"/>
        <v>1825.59</v>
      </c>
      <c r="I60" s="117">
        <f t="shared" si="7"/>
        <v>3415.1343621883589</v>
      </c>
      <c r="J60" s="117">
        <f t="shared" si="7"/>
        <v>5195.4169169613706</v>
      </c>
      <c r="K60" s="117">
        <f t="shared" si="7"/>
        <v>7497.4972315101977</v>
      </c>
      <c r="L60" s="117">
        <f t="shared" si="7"/>
        <v>10321.306158064615</v>
      </c>
      <c r="M60" s="117">
        <f t="shared" si="7"/>
        <v>13625.553726079694</v>
      </c>
      <c r="N60" s="117">
        <f t="shared" si="7"/>
        <v>17333.308516205496</v>
      </c>
      <c r="O60" s="117">
        <f t="shared" si="7"/>
        <v>21342.504041461638</v>
      </c>
      <c r="P60" s="117">
        <f t="shared" si="7"/>
        <v>25538.548372967747</v>
      </c>
      <c r="Q60" s="117">
        <f t="shared" si="7"/>
        <v>29806.405077506293</v>
      </c>
      <c r="R60" s="117">
        <f t="shared" si="7"/>
        <v>34040.320189159444</v>
      </c>
    </row>
    <row r="61" spans="1:18" s="116" customFormat="1" x14ac:dyDescent="0.25">
      <c r="A61"/>
      <c r="B61"/>
      <c r="C61"/>
    </row>
    <row r="62" spans="1:18" s="116" customFormat="1" x14ac:dyDescent="0.25">
      <c r="A62"/>
      <c r="B62" s="1" t="s">
        <v>65</v>
      </c>
      <c r="C62"/>
    </row>
    <row r="63" spans="1:18" s="116" customFormat="1" x14ac:dyDescent="0.25">
      <c r="A63"/>
      <c r="B63" t="s">
        <v>59</v>
      </c>
      <c r="C63"/>
    </row>
    <row r="64" spans="1:18" s="116" customFormat="1" x14ac:dyDescent="0.25">
      <c r="A64"/>
      <c r="B64" t="s">
        <v>60</v>
      </c>
      <c r="C64"/>
      <c r="D64" s="116">
        <f>'B_S Items'!D54</f>
        <v>299.93</v>
      </c>
      <c r="E64" s="116">
        <f>'B_S Items'!E54</f>
        <v>0</v>
      </c>
      <c r="F64" s="116">
        <f>'B_S Items'!F54</f>
        <v>0</v>
      </c>
      <c r="G64" s="116">
        <f>'B_S Items'!G54</f>
        <v>0</v>
      </c>
      <c r="H64" s="116">
        <f>'B_S Items'!H54</f>
        <v>0</v>
      </c>
      <c r="I64" s="116">
        <f>'B_S Items'!I54</f>
        <v>0</v>
      </c>
      <c r="J64" s="116">
        <f>'B_S Items'!J54</f>
        <v>0</v>
      </c>
      <c r="K64" s="116">
        <f>'B_S Items'!K54</f>
        <v>0</v>
      </c>
      <c r="L64" s="116">
        <f>'B_S Items'!L54</f>
        <v>0</v>
      </c>
      <c r="M64" s="116">
        <f>'B_S Items'!M54</f>
        <v>0</v>
      </c>
      <c r="N64" s="116">
        <f>'B_S Items'!N54</f>
        <v>0</v>
      </c>
      <c r="O64" s="116">
        <f>'B_S Items'!O54</f>
        <v>0</v>
      </c>
      <c r="P64" s="116">
        <f>'B_S Items'!P54</f>
        <v>0</v>
      </c>
      <c r="Q64" s="116">
        <f>'B_S Items'!Q54</f>
        <v>0</v>
      </c>
      <c r="R64" s="116">
        <f>'B_S Items'!R54</f>
        <v>0</v>
      </c>
    </row>
    <row r="65" spans="1:18" s="116" customFormat="1" x14ac:dyDescent="0.25">
      <c r="A65"/>
      <c r="B65" t="s">
        <v>73</v>
      </c>
      <c r="C65"/>
      <c r="D65" s="116">
        <f>'B_S Items'!D56</f>
        <v>76.510000000000005</v>
      </c>
      <c r="E65" s="116">
        <f>'B_S Items'!E56</f>
        <v>101.97</v>
      </c>
      <c r="F65" s="116">
        <f>'B_S Items'!F56</f>
        <v>215.97</v>
      </c>
      <c r="G65" s="116">
        <f>'B_S Items'!G56</f>
        <v>409.23</v>
      </c>
      <c r="H65" s="116">
        <f>'B_S Items'!H56</f>
        <v>636.19000000000005</v>
      </c>
      <c r="I65" s="116">
        <f>'B_S Items'!I56</f>
        <v>821.42886634127819</v>
      </c>
      <c r="J65" s="116">
        <f>'B_S Items'!J56</f>
        <v>1249.6332429905431</v>
      </c>
      <c r="K65" s="116">
        <f>'B_S Items'!K56</f>
        <v>1803.3435871407212</v>
      </c>
      <c r="L65" s="116">
        <f>'B_S Items'!L56</f>
        <v>2482.5432669499937</v>
      </c>
      <c r="M65" s="116">
        <f>'B_S Items'!M56</f>
        <v>3277.3009678348094</v>
      </c>
      <c r="N65" s="116">
        <f>'B_S Items'!N56</f>
        <v>4169.1126773960332</v>
      </c>
      <c r="O65" s="116">
        <f>'B_S Items'!O56</f>
        <v>5133.4287440533371</v>
      </c>
      <c r="P65" s="116">
        <f>'B_S Items'!P56</f>
        <v>6142.6868208389878</v>
      </c>
      <c r="Q65" s="116">
        <f>'B_S Items'!Q56</f>
        <v>7169.2176459013735</v>
      </c>
      <c r="R65" s="116">
        <f>'B_S Items'!R56</f>
        <v>8187.5846328218813</v>
      </c>
    </row>
    <row r="66" spans="1:18" s="116" customFormat="1" x14ac:dyDescent="0.25">
      <c r="A66"/>
      <c r="B66" t="s">
        <v>66</v>
      </c>
      <c r="C66"/>
      <c r="D66" s="116">
        <f>'Working Capital Build-up'!D14</f>
        <v>274.57</v>
      </c>
      <c r="E66" s="116">
        <f>'Working Capital Build-up'!E14</f>
        <v>378.03</v>
      </c>
      <c r="F66" s="116">
        <f>'Working Capital Build-up'!F14</f>
        <v>665.22</v>
      </c>
      <c r="G66" s="116">
        <f>'Working Capital Build-up'!G14</f>
        <v>773.91000000000008</v>
      </c>
      <c r="H66" s="116">
        <f>'Working Capital Build-up'!H14</f>
        <v>928.19</v>
      </c>
      <c r="I66" s="116">
        <f>'Working Capital Build-up'!I14</f>
        <v>2135.9150131939805</v>
      </c>
      <c r="J66" s="116">
        <f>'Working Capital Build-up'!J14</f>
        <v>3249.350630418252</v>
      </c>
      <c r="K66" s="116">
        <f>'Working Capital Build-up'!K14</f>
        <v>4689.1323151050001</v>
      </c>
      <c r="L66" s="116">
        <f>'Working Capital Build-up'!L14</f>
        <v>6455.2168204168011</v>
      </c>
      <c r="M66" s="116">
        <f>'Working Capital Build-up'!M14</f>
        <v>8521.7803108531534</v>
      </c>
      <c r="N66" s="116">
        <f>'Working Capital Build-up'!N14</f>
        <v>10840.707849738317</v>
      </c>
      <c r="O66" s="116">
        <f>'Working Capital Build-up'!O14</f>
        <v>13348.164366833447</v>
      </c>
      <c r="P66" s="116">
        <f>'Working Capital Build-up'!P14</f>
        <v>15972.481050511</v>
      </c>
      <c r="Q66" s="116">
        <f>'Working Capital Build-up'!Q14</f>
        <v>18641.711084419014</v>
      </c>
      <c r="R66" s="116">
        <f>'Working Capital Build-up'!R14</f>
        <v>21289.713151832271</v>
      </c>
    </row>
    <row r="67" spans="1:18" s="116" customFormat="1" x14ac:dyDescent="0.25">
      <c r="A67"/>
      <c r="B67" t="s">
        <v>61</v>
      </c>
      <c r="C67"/>
      <c r="D67" s="116">
        <f>'B_S Items'!D58</f>
        <v>45.04</v>
      </c>
      <c r="E67" s="116">
        <f>'B_S Items'!E58</f>
        <v>85.93</v>
      </c>
      <c r="F67" s="116">
        <f>'B_S Items'!F58</f>
        <v>79.489999999999995</v>
      </c>
      <c r="G67" s="116">
        <f>'B_S Items'!G58</f>
        <v>159.62</v>
      </c>
      <c r="H67" s="116">
        <f>'B_S Items'!H58</f>
        <v>242.91</v>
      </c>
      <c r="I67" s="116">
        <f>'B_S Items'!I58</f>
        <v>404.65818824309184</v>
      </c>
      <c r="J67" s="116">
        <f>'B_S Items'!J58</f>
        <v>615.60330394671143</v>
      </c>
      <c r="K67" s="116">
        <f>'B_S Items'!K58</f>
        <v>888.37607083676448</v>
      </c>
      <c r="L67" s="116">
        <f>'B_S Items'!L58</f>
        <v>1222.9682956158717</v>
      </c>
      <c r="M67" s="116">
        <f>'B_S Items'!M58</f>
        <v>1614.4875427598815</v>
      </c>
      <c r="N67" s="116">
        <f>'B_S Items'!N58</f>
        <v>2053.8182327713102</v>
      </c>
      <c r="O67" s="116">
        <f>'B_S Items'!O58</f>
        <v>2528.8665399550091</v>
      </c>
      <c r="P67" s="116">
        <f>'B_S Items'!P58</f>
        <v>3026.0545029746936</v>
      </c>
      <c r="Q67" s="116">
        <f>'B_S Items'!Q58</f>
        <v>3531.7514913160408</v>
      </c>
      <c r="R67" s="116">
        <f>'B_S Items'!R58</f>
        <v>4033.4267510732479</v>
      </c>
    </row>
    <row r="68" spans="1:18" s="116" customFormat="1" x14ac:dyDescent="0.25">
      <c r="A68"/>
      <c r="B68" t="s">
        <v>67</v>
      </c>
      <c r="C68"/>
      <c r="D68" s="116">
        <f>'B_S Items'!D60</f>
        <v>46.17</v>
      </c>
      <c r="E68" s="116">
        <f>'B_S Items'!E60</f>
        <v>71.900000000000006</v>
      </c>
      <c r="F68" s="116">
        <f>'B_S Items'!F60</f>
        <v>118.44</v>
      </c>
      <c r="G68" s="116">
        <f>'B_S Items'!G60</f>
        <v>150.05000000000001</v>
      </c>
      <c r="H68" s="116">
        <f>'B_S Items'!H60</f>
        <v>172.6</v>
      </c>
      <c r="I68" s="116">
        <f>'B_S Items'!I60</f>
        <v>388.9885357916088</v>
      </c>
      <c r="J68" s="116">
        <f>'B_S Items'!J60</f>
        <v>591.76518550232493</v>
      </c>
      <c r="K68" s="116">
        <f>'B_S Items'!K60</f>
        <v>853.97532304350921</v>
      </c>
      <c r="L68" s="116">
        <f>'B_S Items'!L60</f>
        <v>1175.6110723883237</v>
      </c>
      <c r="M68" s="116">
        <f>'B_S Items'!M60</f>
        <v>1551.9694486811857</v>
      </c>
      <c r="N68" s="116">
        <f>'B_S Items'!N60</f>
        <v>1974.2878566635804</v>
      </c>
      <c r="O68" s="116">
        <f>'B_S Items'!O60</f>
        <v>2430.9407820472647</v>
      </c>
      <c r="P68" s="116">
        <f>'B_S Items'!P60</f>
        <v>2908.8760453565969</v>
      </c>
      <c r="Q68" s="116">
        <f>'B_S Items'!Q60</f>
        <v>3394.9908374560378</v>
      </c>
      <c r="R68" s="116">
        <f>'B_S Items'!R60</f>
        <v>3877.2396350970739</v>
      </c>
    </row>
    <row r="69" spans="1:18" s="116" customFormat="1" x14ac:dyDescent="0.25">
      <c r="A69"/>
      <c r="B69" t="s">
        <v>62</v>
      </c>
      <c r="C69"/>
      <c r="D69" s="116">
        <f>'B_S Items'!D62</f>
        <v>6.45</v>
      </c>
      <c r="E69" s="116">
        <f>'B_S Items'!E62</f>
        <v>9.59</v>
      </c>
      <c r="F69" s="116">
        <f>'B_S Items'!F62</f>
        <v>12.42</v>
      </c>
      <c r="G69" s="116">
        <f>'B_S Items'!G62</f>
        <v>18.71</v>
      </c>
      <c r="H69" s="116">
        <f>'B_S Items'!H62</f>
        <v>27.08</v>
      </c>
      <c r="I69" s="116">
        <f>'B_S Items'!I62</f>
        <v>50.967062056577717</v>
      </c>
      <c r="J69" s="116">
        <f>'B_S Items'!J62</f>
        <v>77.535788737426955</v>
      </c>
      <c r="K69" s="116">
        <f>'B_S Items'!K62</f>
        <v>111.89176358570577</v>
      </c>
      <c r="L69" s="116">
        <f>'B_S Items'!L62</f>
        <v>154.03395464825445</v>
      </c>
      <c r="M69" s="116">
        <f>'B_S Items'!M62</f>
        <v>203.34615527903949</v>
      </c>
      <c r="N69" s="116">
        <f>'B_S Items'!N62</f>
        <v>258.68025005761922</v>
      </c>
      <c r="O69" s="116">
        <f>'B_S Items'!O62</f>
        <v>318.51301078148947</v>
      </c>
      <c r="P69" s="116">
        <f>'B_S Items'!P62</f>
        <v>381.13428103188909</v>
      </c>
      <c r="Q69" s="116">
        <f>'B_S Items'!Q62</f>
        <v>444.8272706598035</v>
      </c>
      <c r="R69" s="116">
        <f>'B_S Items'!R62</f>
        <v>508.01371996238191</v>
      </c>
    </row>
    <row r="70" spans="1:18" s="116" customFormat="1" x14ac:dyDescent="0.25">
      <c r="A70"/>
      <c r="B70" t="s">
        <v>68</v>
      </c>
      <c r="C70"/>
      <c r="D70" s="116">
        <f>'B_S Items'!D64</f>
        <v>2.77</v>
      </c>
      <c r="E70" s="116">
        <f>'B_S Items'!E64</f>
        <v>6.03</v>
      </c>
      <c r="F70" s="116">
        <f>'B_S Items'!F64</f>
        <v>2.44</v>
      </c>
      <c r="G70" s="116">
        <f>'B_S Items'!G64</f>
        <v>29.95</v>
      </c>
      <c r="H70" s="116">
        <f>'B_S Items'!H64</f>
        <v>3.72</v>
      </c>
      <c r="I70" s="116">
        <f>'B_S Items'!I64</f>
        <v>29.534871033384949</v>
      </c>
      <c r="J70" s="116">
        <f>'B_S Items'!J64</f>
        <v>44.931165902589861</v>
      </c>
      <c r="K70" s="116">
        <f>'B_S Items'!K64</f>
        <v>64.840088360072897</v>
      </c>
      <c r="L70" s="116">
        <f>'B_S Items'!L64</f>
        <v>89.261040399940555</v>
      </c>
      <c r="M70" s="116">
        <f>'B_S Items'!M64</f>
        <v>117.83693681684372</v>
      </c>
      <c r="N70" s="116">
        <f>'B_S Items'!N64</f>
        <v>149.90245692118594</v>
      </c>
      <c r="O70" s="116">
        <f>'B_S Items'!O64</f>
        <v>184.57490615102779</v>
      </c>
      <c r="P70" s="116">
        <f>'B_S Items'!P64</f>
        <v>220.86326702886657</v>
      </c>
      <c r="Q70" s="116">
        <f>'B_S Items'!Q64</f>
        <v>257.77267790098881</v>
      </c>
      <c r="R70" s="116">
        <f>'B_S Items'!R64</f>
        <v>294.38855403560939</v>
      </c>
    </row>
    <row r="71" spans="1:18" s="116" customFormat="1" x14ac:dyDescent="0.25">
      <c r="A71"/>
      <c r="B71" s="3" t="s">
        <v>69</v>
      </c>
      <c r="C71" s="2"/>
      <c r="D71" s="117">
        <f>SUM(D64:D70)</f>
        <v>751.43999999999994</v>
      </c>
      <c r="E71" s="117">
        <f t="shared" ref="E71:R71" si="8">SUM(E64:E70)</f>
        <v>653.45000000000005</v>
      </c>
      <c r="F71" s="117">
        <f t="shared" si="8"/>
        <v>1093.9800000000002</v>
      </c>
      <c r="G71" s="117">
        <f t="shared" si="8"/>
        <v>1541.4700000000003</v>
      </c>
      <c r="H71" s="117">
        <f t="shared" si="8"/>
        <v>2010.69</v>
      </c>
      <c r="I71" s="117">
        <f t="shared" si="8"/>
        <v>3831.4925366599218</v>
      </c>
      <c r="J71" s="117">
        <f t="shared" si="8"/>
        <v>5828.8193174978478</v>
      </c>
      <c r="K71" s="117">
        <f t="shared" si="8"/>
        <v>8411.559148071774</v>
      </c>
      <c r="L71" s="117">
        <f t="shared" si="8"/>
        <v>11579.634450419184</v>
      </c>
      <c r="M71" s="117">
        <f t="shared" si="8"/>
        <v>15286.721362224915</v>
      </c>
      <c r="N71" s="117">
        <f t="shared" si="8"/>
        <v>19446.509323548049</v>
      </c>
      <c r="O71" s="117">
        <f t="shared" si="8"/>
        <v>23944.488349821579</v>
      </c>
      <c r="P71" s="117">
        <f t="shared" si="8"/>
        <v>28652.095967742032</v>
      </c>
      <c r="Q71" s="117">
        <f t="shared" si="8"/>
        <v>33440.27100765326</v>
      </c>
      <c r="R71" s="117">
        <f t="shared" si="8"/>
        <v>38190.366444822459</v>
      </c>
    </row>
    <row r="72" spans="1:18" s="116" customFormat="1" x14ac:dyDescent="0.25">
      <c r="A72"/>
      <c r="B72"/>
      <c r="C72"/>
    </row>
    <row r="73" spans="1:18" s="116" customFormat="1" x14ac:dyDescent="0.25">
      <c r="A73"/>
      <c r="B73" s="5" t="s">
        <v>70</v>
      </c>
      <c r="C73" s="9"/>
      <c r="D73" s="145">
        <f>D71+D60</f>
        <v>3366.21</v>
      </c>
      <c r="E73" s="145">
        <f t="shared" ref="E73:R73" si="9">E71+E60</f>
        <v>5316.08</v>
      </c>
      <c r="F73" s="145">
        <f t="shared" si="9"/>
        <v>5418.56</v>
      </c>
      <c r="G73" s="145">
        <f t="shared" si="9"/>
        <v>3059.16</v>
      </c>
      <c r="H73" s="145">
        <f t="shared" si="9"/>
        <v>3836.2799999999997</v>
      </c>
      <c r="I73" s="145">
        <f t="shared" si="9"/>
        <v>7246.6268988482807</v>
      </c>
      <c r="J73" s="145">
        <f t="shared" si="9"/>
        <v>11024.236234459218</v>
      </c>
      <c r="K73" s="145">
        <f t="shared" si="9"/>
        <v>15909.056379581973</v>
      </c>
      <c r="L73" s="145">
        <f t="shared" si="9"/>
        <v>21900.940608483797</v>
      </c>
      <c r="M73" s="145">
        <f t="shared" si="9"/>
        <v>28912.27508830461</v>
      </c>
      <c r="N73" s="145">
        <f t="shared" si="9"/>
        <v>36779.817839753545</v>
      </c>
      <c r="O73" s="145">
        <f t="shared" si="9"/>
        <v>45286.992391283216</v>
      </c>
      <c r="P73" s="145">
        <f t="shared" si="9"/>
        <v>54190.644340709783</v>
      </c>
      <c r="Q73" s="145">
        <f t="shared" si="9"/>
        <v>63246.676085159554</v>
      </c>
      <c r="R73" s="145">
        <f t="shared" si="9"/>
        <v>72230.68663398191</v>
      </c>
    </row>
    <row r="74" spans="1:18" s="116" customFormat="1" x14ac:dyDescent="0.25">
      <c r="A74"/>
      <c r="B74"/>
      <c r="C74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 s="116" customFormat="1" ht="15.75" thickBot="1" x14ac:dyDescent="0.3">
      <c r="A75"/>
      <c r="B75" s="10" t="s">
        <v>71</v>
      </c>
      <c r="C75" s="162"/>
      <c r="D75" s="118">
        <f>D73+D50</f>
        <v>5723.73</v>
      </c>
      <c r="E75" s="118">
        <f t="shared" ref="E75:R75" si="10">E73+E50</f>
        <v>7726.02</v>
      </c>
      <c r="F75" s="118">
        <f t="shared" si="10"/>
        <v>8081.5300000000007</v>
      </c>
      <c r="G75" s="118">
        <f t="shared" si="10"/>
        <v>7161.75</v>
      </c>
      <c r="H75" s="118">
        <f t="shared" si="10"/>
        <v>9419.64</v>
      </c>
      <c r="I75" s="118">
        <f t="shared" si="10"/>
        <v>15608.426691737161</v>
      </c>
      <c r="J75" s="118">
        <f t="shared" si="10"/>
        <v>23788.488274298041</v>
      </c>
      <c r="K75" s="118">
        <f t="shared" si="10"/>
        <v>35175.76838202955</v>
      </c>
      <c r="L75" s="118">
        <f t="shared" si="10"/>
        <v>50246.035139586871</v>
      </c>
      <c r="M75" s="118">
        <f t="shared" si="10"/>
        <v>69349.958621844897</v>
      </c>
      <c r="N75" s="118">
        <f t="shared" si="10"/>
        <v>92692.384910733439</v>
      </c>
      <c r="O75" s="118">
        <f t="shared" si="10"/>
        <v>120331.70030089814</v>
      </c>
      <c r="P75" s="118">
        <f t="shared" si="10"/>
        <v>152195.21596019075</v>
      </c>
      <c r="Q75" s="118">
        <f t="shared" si="10"/>
        <v>188104.3430937904</v>
      </c>
      <c r="R75" s="118">
        <f t="shared" si="10"/>
        <v>227803.69970455286</v>
      </c>
    </row>
    <row r="76" spans="1:18" s="116" customFormat="1" x14ac:dyDescent="0.25">
      <c r="A76"/>
      <c r="B76"/>
      <c r="C76"/>
    </row>
    <row r="77" spans="1:18" s="116" customFormat="1" x14ac:dyDescent="0.25">
      <c r="A77"/>
      <c r="B77" s="3" t="s">
        <v>72</v>
      </c>
      <c r="C77" s="3"/>
      <c r="D77" s="117">
        <f>D75-D43</f>
        <v>0</v>
      </c>
      <c r="E77" s="117">
        <f t="shared" ref="E77:R77" si="11">E75-E43</f>
        <v>0</v>
      </c>
      <c r="F77" s="117">
        <f t="shared" si="11"/>
        <v>0</v>
      </c>
      <c r="G77" s="117">
        <f t="shared" si="11"/>
        <v>0</v>
      </c>
      <c r="H77" s="117">
        <f t="shared" si="11"/>
        <v>0</v>
      </c>
      <c r="I77" s="117">
        <f t="shared" si="11"/>
        <v>0</v>
      </c>
      <c r="J77" s="117">
        <f t="shared" si="11"/>
        <v>0</v>
      </c>
      <c r="K77" s="117">
        <f t="shared" si="11"/>
        <v>0</v>
      </c>
      <c r="L77" s="117">
        <f t="shared" si="11"/>
        <v>0</v>
      </c>
      <c r="M77" s="117">
        <f t="shared" si="11"/>
        <v>0</v>
      </c>
      <c r="N77" s="117">
        <f t="shared" si="11"/>
        <v>0</v>
      </c>
      <c r="O77" s="117">
        <f t="shared" si="11"/>
        <v>0</v>
      </c>
      <c r="P77" s="117">
        <f t="shared" si="11"/>
        <v>0</v>
      </c>
      <c r="Q77" s="117">
        <f t="shared" si="11"/>
        <v>0</v>
      </c>
      <c r="R77" s="117">
        <f t="shared" si="11"/>
        <v>0</v>
      </c>
    </row>
    <row r="78" spans="1:18" ht="15.75" thickBot="1" x14ac:dyDescent="0.3">
      <c r="B78" s="163" t="s">
        <v>72</v>
      </c>
      <c r="C78" s="163"/>
      <c r="D78" s="164" t="b">
        <f>D75=D43</f>
        <v>1</v>
      </c>
      <c r="E78" s="164" t="b">
        <f t="shared" ref="E78:R78" si="12">E75=E43</f>
        <v>1</v>
      </c>
      <c r="F78" s="164" t="b">
        <f t="shared" si="12"/>
        <v>1</v>
      </c>
      <c r="G78" s="164" t="b">
        <f t="shared" si="12"/>
        <v>1</v>
      </c>
      <c r="H78" s="164" t="b">
        <f t="shared" si="12"/>
        <v>1</v>
      </c>
      <c r="I78" s="164" t="b">
        <f t="shared" si="12"/>
        <v>1</v>
      </c>
      <c r="J78" s="164" t="b">
        <f t="shared" si="12"/>
        <v>1</v>
      </c>
      <c r="K78" s="164" t="b">
        <f t="shared" si="12"/>
        <v>1</v>
      </c>
      <c r="L78" s="164" t="b">
        <f t="shared" si="12"/>
        <v>1</v>
      </c>
      <c r="M78" s="164" t="b">
        <f t="shared" si="12"/>
        <v>1</v>
      </c>
      <c r="N78" s="164" t="b">
        <f t="shared" si="12"/>
        <v>1</v>
      </c>
      <c r="O78" s="164" t="b">
        <f t="shared" si="12"/>
        <v>1</v>
      </c>
      <c r="P78" s="164" t="b">
        <f t="shared" si="12"/>
        <v>1</v>
      </c>
      <c r="Q78" s="164" t="b">
        <f t="shared" si="12"/>
        <v>1</v>
      </c>
      <c r="R78" s="164" t="b">
        <f t="shared" si="12"/>
        <v>1</v>
      </c>
    </row>
    <row r="80" spans="1:18" x14ac:dyDescent="0.25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98"/>
  <sheetViews>
    <sheetView showGridLines="0" workbookViewId="0">
      <pane ySplit="8" topLeftCell="A91" activePane="bottomLeft" state="frozen"/>
      <selection pane="bottomLeft" activeCell="B98" sqref="B98:H98"/>
    </sheetView>
  </sheetViews>
  <sheetFormatPr defaultRowHeight="15" x14ac:dyDescent="0.25"/>
  <cols>
    <col min="1" max="1" width="1.85546875" style="23" customWidth="1"/>
    <col min="2" max="2" width="49" bestFit="1" customWidth="1"/>
  </cols>
  <sheetData>
    <row r="7" spans="2:8" x14ac:dyDescent="0.25">
      <c r="B7" s="147" t="s">
        <v>160</v>
      </c>
      <c r="C7" s="179"/>
      <c r="D7" s="179"/>
      <c r="E7" s="179"/>
      <c r="F7" s="179"/>
      <c r="G7" s="179"/>
      <c r="H7" s="179"/>
    </row>
    <row r="8" spans="2:8" ht="15.75" thickBot="1" x14ac:dyDescent="0.3">
      <c r="B8" s="122" t="s">
        <v>0</v>
      </c>
      <c r="C8" s="122"/>
      <c r="D8" s="122">
        <v>2021</v>
      </c>
      <c r="E8" s="122">
        <f>D8+1</f>
        <v>2022</v>
      </c>
      <c r="F8" s="122">
        <f>E8+1</f>
        <v>2023</v>
      </c>
      <c r="G8" s="122">
        <f>F8+1</f>
        <v>2024</v>
      </c>
      <c r="H8" s="122">
        <f>G8+1</f>
        <v>2025</v>
      </c>
    </row>
    <row r="9" spans="2:8" x14ac:dyDescent="0.25">
      <c r="B9" s="1" t="s">
        <v>1</v>
      </c>
    </row>
    <row r="10" spans="2:8" x14ac:dyDescent="0.25">
      <c r="B10" t="s">
        <v>161</v>
      </c>
      <c r="D10" s="26">
        <f>'p&amp;l'!D10/'p&amp;l'!D10</f>
        <v>1</v>
      </c>
      <c r="E10" s="26">
        <f>'p&amp;l'!E10/'p&amp;l'!E10</f>
        <v>1</v>
      </c>
      <c r="F10" s="26">
        <f>'p&amp;l'!F10/'p&amp;l'!F10</f>
        <v>1</v>
      </c>
      <c r="G10" s="26">
        <f>'p&amp;l'!G10/'p&amp;l'!G10</f>
        <v>1</v>
      </c>
      <c r="H10" s="26">
        <f>'p&amp;l'!H10/'p&amp;l'!H10</f>
        <v>1</v>
      </c>
    </row>
    <row r="11" spans="2:8" x14ac:dyDescent="0.25">
      <c r="B11" t="s">
        <v>146</v>
      </c>
      <c r="D11" s="26">
        <f>'p&amp;l'!D11/'p&amp;l'!D$10</f>
        <v>0.59160187584845114</v>
      </c>
      <c r="E11" s="26">
        <f>'p&amp;l'!E11/'p&amp;l'!E$10</f>
        <v>0.55169607960836098</v>
      </c>
      <c r="F11" s="26">
        <f>'p&amp;l'!F11/'p&amp;l'!F$10</f>
        <v>0.57264359950594634</v>
      </c>
      <c r="G11" s="26">
        <f>'p&amp;l'!G11/'p&amp;l'!G$10</f>
        <v>0.56232954696968351</v>
      </c>
      <c r="H11" s="26">
        <f>'p&amp;l'!H11/'p&amp;l'!H$10</f>
        <v>0.56547187242662655</v>
      </c>
    </row>
    <row r="12" spans="2:8" x14ac:dyDescent="0.25">
      <c r="B12" s="3" t="s">
        <v>147</v>
      </c>
      <c r="C12" s="3"/>
      <c r="D12" s="28">
        <f>'p&amp;l'!D12/'p&amp;l'!D$10</f>
        <v>0.4083981241515488</v>
      </c>
      <c r="E12" s="28">
        <f>'p&amp;l'!E12/'p&amp;l'!E$10</f>
        <v>0.44830392039163908</v>
      </c>
      <c r="F12" s="28">
        <f>'p&amp;l'!F12/'p&amp;l'!F$10</f>
        <v>0.42735640049405371</v>
      </c>
      <c r="G12" s="28">
        <f>'p&amp;l'!G12/'p&amp;l'!G$10</f>
        <v>0.43767045303031649</v>
      </c>
      <c r="H12" s="28">
        <f>'p&amp;l'!H12/'p&amp;l'!H$10</f>
        <v>0.4345281275733735</v>
      </c>
    </row>
    <row r="13" spans="2:8" x14ac:dyDescent="0.25">
      <c r="B13" s="1"/>
      <c r="D13" s="29"/>
      <c r="E13" s="29"/>
      <c r="F13" s="29"/>
      <c r="G13" s="29"/>
      <c r="H13" s="29"/>
    </row>
    <row r="14" spans="2:8" x14ac:dyDescent="0.25">
      <c r="B14" t="s">
        <v>6</v>
      </c>
      <c r="D14" s="26">
        <f>'p&amp;l'!D14/'p&amp;l'!D$10</f>
        <v>0.3421032333703567</v>
      </c>
      <c r="E14" s="26">
        <f>'p&amp;l'!E14/'p&amp;l'!E$10</f>
        <v>0.32072111729160829</v>
      </c>
      <c r="F14" s="26">
        <f>'p&amp;l'!F14/'p&amp;l'!F$10</f>
        <v>0.2970910043897006</v>
      </c>
      <c r="G14" s="26">
        <f>'p&amp;l'!G14/'p&amp;l'!G$10</f>
        <v>0.28234819730895322</v>
      </c>
      <c r="H14" s="26">
        <f>'p&amp;l'!H14/'p&amp;l'!H$10</f>
        <v>0.27354109606229732</v>
      </c>
    </row>
    <row r="15" spans="2:8" x14ac:dyDescent="0.25">
      <c r="B15" s="3" t="s">
        <v>148</v>
      </c>
      <c r="C15" s="3"/>
      <c r="D15" s="28">
        <f>'p&amp;l'!D15/'p&amp;l'!D$10</f>
        <v>6.6294890781192148E-2</v>
      </c>
      <c r="E15" s="28">
        <f>'p&amp;l'!E15/'p&amp;l'!E$10</f>
        <v>0.12758280310003076</v>
      </c>
      <c r="F15" s="28">
        <f>'p&amp;l'!F15/'p&amp;l'!F$10</f>
        <v>0.13026539610435312</v>
      </c>
      <c r="G15" s="28">
        <f>'p&amp;l'!G15/'p&amp;l'!G$10</f>
        <v>0.15532225572136329</v>
      </c>
      <c r="H15" s="28">
        <f>'p&amp;l'!H15/'p&amp;l'!H$10</f>
        <v>0.16098703151107616</v>
      </c>
    </row>
    <row r="16" spans="2:8" x14ac:dyDescent="0.25">
      <c r="B16" s="7"/>
      <c r="D16" s="29"/>
      <c r="E16" s="29"/>
      <c r="F16" s="29"/>
      <c r="G16" s="29"/>
      <c r="H16" s="29"/>
    </row>
    <row r="17" spans="2:8" x14ac:dyDescent="0.25">
      <c r="B17" t="s">
        <v>11</v>
      </c>
      <c r="D17" s="26">
        <f>'p&amp;l'!D17/'p&amp;l'!D$10</f>
        <v>9.9230223374058998E-2</v>
      </c>
      <c r="E17" s="26">
        <f>'p&amp;l'!E17/'p&amp;l'!E$10</f>
        <v>6.9101515778053443E-2</v>
      </c>
      <c r="F17" s="26">
        <f>'p&amp;l'!F17/'p&amp;l'!F$10</f>
        <v>5.9899150936299592E-2</v>
      </c>
      <c r="G17" s="26">
        <f>'p&amp;l'!G17/'p&amp;l'!G$10</f>
        <v>5.4230629061075009E-2</v>
      </c>
      <c r="H17" s="26">
        <f>'p&amp;l'!H17/'p&amp;l'!H$10</f>
        <v>5.2243967035141149E-2</v>
      </c>
    </row>
    <row r="18" spans="2:8" x14ac:dyDescent="0.25">
      <c r="B18" s="3" t="s">
        <v>151</v>
      </c>
      <c r="C18" s="3"/>
      <c r="D18" s="28">
        <f>'p&amp;l'!D18/'p&amp;l'!D$10</f>
        <v>-3.2935332592866851E-2</v>
      </c>
      <c r="E18" s="28">
        <f>'p&amp;l'!E18/'p&amp;l'!E$10</f>
        <v>5.8481287321977299E-2</v>
      </c>
      <c r="F18" s="28">
        <f>'p&amp;l'!F18/'p&amp;l'!F$10</f>
        <v>7.0366245168053523E-2</v>
      </c>
      <c r="G18" s="28">
        <f>'p&amp;l'!G18/'p&amp;l'!G$10</f>
        <v>0.10109162666028827</v>
      </c>
      <c r="H18" s="28">
        <f>'p&amp;l'!H18/'p&amp;l'!H$10</f>
        <v>0.10874306447593501</v>
      </c>
    </row>
    <row r="19" spans="2:8" x14ac:dyDescent="0.25">
      <c r="D19" s="29"/>
      <c r="E19" s="29"/>
      <c r="F19" s="29"/>
      <c r="G19" s="29"/>
      <c r="H19" s="29"/>
    </row>
    <row r="20" spans="2:8" x14ac:dyDescent="0.25">
      <c r="B20" t="s">
        <v>153</v>
      </c>
      <c r="D20" s="26">
        <f>'p&amp;l'!D20/'p&amp;l'!D$10</f>
        <v>9.5894267555226453E-2</v>
      </c>
      <c r="E20" s="26">
        <f>'p&amp;l'!E20/'p&amp;l'!E$10</f>
        <v>6.7749809916363202E-2</v>
      </c>
      <c r="F20" s="26">
        <f>'p&amp;l'!F20/'p&amp;l'!F$10</f>
        <v>4.4797270572019966E-2</v>
      </c>
      <c r="G20" s="26">
        <f>'p&amp;l'!G20/'p&amp;l'!G$10</f>
        <v>2.5785629380264095E-2</v>
      </c>
      <c r="H20" s="26">
        <f>'p&amp;l'!H20/'p&amp;l'!H$10</f>
        <v>8.0883078167521757E-3</v>
      </c>
    </row>
    <row r="21" spans="2:8" x14ac:dyDescent="0.25">
      <c r="B21" t="s">
        <v>4</v>
      </c>
      <c r="D21" s="26">
        <f>'p&amp;l'!D21/'p&amp;l'!D$10</f>
        <v>7.774898185857089E-2</v>
      </c>
      <c r="E21" s="26">
        <f>'p&amp;l'!E21/'p&amp;l'!E$10</f>
        <v>3.8952694741241703E-2</v>
      </c>
      <c r="F21" s="26">
        <f>'p&amp;l'!F21/'p&amp;l'!F$10</f>
        <v>3.1657287897869694E-2</v>
      </c>
      <c r="G21" s="26">
        <f>'p&amp;l'!G21/'p&amp;l'!G$10</f>
        <v>2.3375145756280143E-2</v>
      </c>
      <c r="H21" s="26">
        <f>'p&amp;l'!H21/'p&amp;l'!H$10</f>
        <v>1.2755469777252006E-2</v>
      </c>
    </row>
    <row r="22" spans="2:8" x14ac:dyDescent="0.25">
      <c r="B22" t="s">
        <v>15</v>
      </c>
      <c r="D22" s="26">
        <f>'p&amp;l'!D22/'p&amp;l'!D$10</f>
        <v>-3.8951622855732445E-4</v>
      </c>
      <c r="E22" s="26">
        <f>'p&amp;l'!E22/'p&amp;l'!E$10</f>
        <v>-6.1004619810494393E-3</v>
      </c>
      <c r="F22" s="26">
        <f>'p&amp;l'!F22/'p&amp;l'!F$10</f>
        <v>-3.6398843972715425E-4</v>
      </c>
      <c r="G22" s="26">
        <f>'p&amp;l'!G22/'p&amp;l'!G$10</f>
        <v>4.655069732713487E-2</v>
      </c>
      <c r="H22" s="26">
        <f>'p&amp;l'!H22/'p&amp;l'!H$10</f>
        <v>0</v>
      </c>
    </row>
    <row r="23" spans="2:8" x14ac:dyDescent="0.25">
      <c r="B23" s="3" t="s">
        <v>154</v>
      </c>
      <c r="C23" s="3"/>
      <c r="D23" s="28">
        <f>'p&amp;l'!D23/'p&amp;l'!D$10</f>
        <v>-5.1470134518079746E-2</v>
      </c>
      <c r="E23" s="28">
        <f>'p&amp;l'!E23/'p&amp;l'!E$10</f>
        <v>2.3583710165806366E-2</v>
      </c>
      <c r="F23" s="28">
        <f>'p&amp;l'!F23/'p&amp;l'!F$10</f>
        <v>5.6862274054176092E-2</v>
      </c>
      <c r="G23" s="28">
        <f>'p&amp;l'!G23/'p&amp;l'!G$10</f>
        <v>0.1452318403634392</v>
      </c>
      <c r="H23" s="28">
        <f>'p&amp;l'!H23/'p&amp;l'!H$10</f>
        <v>0.11341022643643485</v>
      </c>
    </row>
    <row r="24" spans="2:8" x14ac:dyDescent="0.25">
      <c r="D24" s="29"/>
      <c r="E24" s="29"/>
      <c r="F24" s="29"/>
      <c r="G24" s="29"/>
      <c r="H24" s="29"/>
    </row>
    <row r="25" spans="2:8" x14ac:dyDescent="0.25">
      <c r="B25" t="s">
        <v>155</v>
      </c>
      <c r="D25" s="26">
        <f>'p&amp;l'!D25/'p&amp;l'!D$10</f>
        <v>-9.1362766876465513E-3</v>
      </c>
      <c r="E25" s="26">
        <f>'p&amp;l'!E25/'p&amp;l'!E$10</f>
        <v>1.7034161697813705E-2</v>
      </c>
      <c r="F25" s="26">
        <f>'p&amp;l'!F25/'p&amp;l'!F$10</f>
        <v>1.9223442796790106E-2</v>
      </c>
      <c r="G25" s="26">
        <f>'p&amp;l'!G25/'p&amp;l'!G$10</f>
        <v>3.5827560320675939E-2</v>
      </c>
      <c r="H25" s="26">
        <f>'p&amp;l'!H25/'p&amp;l'!H$10</f>
        <v>2.8908157232642003E-2</v>
      </c>
    </row>
    <row r="26" spans="2:8" x14ac:dyDescent="0.25">
      <c r="B26" s="22" t="s">
        <v>156</v>
      </c>
      <c r="D26" s="26">
        <f>'p&amp;l'!D26/'p&amp;l'!D$10</f>
        <v>-2.7520671356287794E-2</v>
      </c>
      <c r="E26" s="26">
        <f>'p&amp;l'!E26/'p&amp;l'!E$10</f>
        <v>1.1427250212315639E-3</v>
      </c>
      <c r="F26" s="26">
        <f>'p&amp;l'!F26/'p&amp;l'!F$10</f>
        <v>1.0127371688008521E-2</v>
      </c>
      <c r="G26" s="26">
        <f>'p&amp;l'!G26/'p&amp;l'!G$10</f>
        <v>9.9853657866475522E-3</v>
      </c>
      <c r="H26" s="26">
        <f>'p&amp;l'!H26/'p&amp;l'!H$10</f>
        <v>5.0482619680284526E-3</v>
      </c>
    </row>
    <row r="27" spans="2:8" ht="15.75" thickBot="1" x14ac:dyDescent="0.3">
      <c r="B27" s="10" t="s">
        <v>157</v>
      </c>
      <c r="C27" s="10"/>
      <c r="D27" s="27">
        <f>'p&amp;l'!D27/'p&amp;l'!D$10</f>
        <v>-6.9854529186720984E-2</v>
      </c>
      <c r="E27" s="27">
        <f>'p&amp;l'!E27/'p&amp;l'!E$10</f>
        <v>7.6922734892242248E-3</v>
      </c>
      <c r="F27" s="27">
        <f>'p&amp;l'!F27/'p&amp;l'!F$10</f>
        <v>4.7766202945394513E-2</v>
      </c>
      <c r="G27" s="27">
        <f>'p&amp;l'!G27/'p&amp;l'!G$10</f>
        <v>0.11938964582941082</v>
      </c>
      <c r="H27" s="27">
        <f>'p&amp;l'!H27/'p&amp;l'!H$10</f>
        <v>8.9550331171821304E-2</v>
      </c>
    </row>
    <row r="29" spans="2:8" x14ac:dyDescent="0.25">
      <c r="B29" s="25" t="s">
        <v>21</v>
      </c>
    </row>
    <row r="30" spans="2:8" x14ac:dyDescent="0.25">
      <c r="B30" s="1" t="s">
        <v>22</v>
      </c>
    </row>
    <row r="31" spans="2:8" x14ac:dyDescent="0.25">
      <c r="B31" s="1" t="s">
        <v>23</v>
      </c>
    </row>
    <row r="32" spans="2:8" x14ac:dyDescent="0.25">
      <c r="B32" t="s">
        <v>24</v>
      </c>
      <c r="D32" s="26">
        <f>'Historical Balance Sheet'!D11/'Historical Balance Sheet'!D$43</f>
        <v>0.11189381749313822</v>
      </c>
      <c r="E32" s="26">
        <f>'Historical Balance Sheet'!E11/'Historical Balance Sheet'!E$43</f>
        <v>9.3830976362991536E-2</v>
      </c>
      <c r="F32" s="26">
        <f>'Historical Balance Sheet'!F11/'Historical Balance Sheet'!F$43</f>
        <v>0.10779889451626114</v>
      </c>
      <c r="G32" s="26">
        <f>'Historical Balance Sheet'!G11/'Historical Balance Sheet'!G$43</f>
        <v>0.16006143749781826</v>
      </c>
      <c r="H32" s="26">
        <f>'Historical Balance Sheet'!H11/'Historical Balance Sheet'!H$43</f>
        <v>0.21956677749892772</v>
      </c>
    </row>
    <row r="33" spans="2:8" x14ac:dyDescent="0.25">
      <c r="B33" t="s">
        <v>25</v>
      </c>
      <c r="D33" s="26">
        <f>'Historical Balance Sheet'!D12/'Historical Balance Sheet'!D$43</f>
        <v>1.8865320341805082E-2</v>
      </c>
      <c r="E33" s="26">
        <f>'Historical Balance Sheet'!E12/'Historical Balance Sheet'!E$43</f>
        <v>1.3554197374586135E-2</v>
      </c>
      <c r="F33" s="26">
        <f>'Historical Balance Sheet'!F12/'Historical Balance Sheet'!F$43</f>
        <v>1.2586725533407658E-2</v>
      </c>
      <c r="G33" s="26">
        <f>'Historical Balance Sheet'!G12/'Historical Balance Sheet'!G$43</f>
        <v>3.1246552867665027E-2</v>
      </c>
      <c r="H33" s="26">
        <f>'Historical Balance Sheet'!H12/'Historical Balance Sheet'!H$43</f>
        <v>1.9055929950613823E-2</v>
      </c>
    </row>
    <row r="34" spans="2:8" x14ac:dyDescent="0.25">
      <c r="B34" t="s">
        <v>26</v>
      </c>
      <c r="D34" s="26">
        <f>'Historical Balance Sheet'!D13/'Historical Balance Sheet'!D$43</f>
        <v>4.9111331247281053E-3</v>
      </c>
      <c r="E34" s="26">
        <f>'Historical Balance Sheet'!E13/'Historical Balance Sheet'!E$43</f>
        <v>3.6034077053903549E-3</v>
      </c>
      <c r="F34" s="26">
        <f>'Historical Balance Sheet'!F13/'Historical Balance Sheet'!F$43</f>
        <v>3.3570375906542445E-3</v>
      </c>
      <c r="G34" s="26">
        <f>'Historical Balance Sheet'!G13/'Historical Balance Sheet'!G$43</f>
        <v>3.7574615142946907E-3</v>
      </c>
      <c r="H34" s="26">
        <f>'Historical Balance Sheet'!H13/'Historical Balance Sheet'!H$43</f>
        <v>2.8514890165653884E-3</v>
      </c>
    </row>
    <row r="35" spans="2:8" x14ac:dyDescent="0.25">
      <c r="B35" t="s">
        <v>27</v>
      </c>
      <c r="D35" s="26">
        <f>'Historical Balance Sheet'!D14/'Historical Balance Sheet'!D$43</f>
        <v>4.7503987784189676E-3</v>
      </c>
      <c r="E35" s="26">
        <f>'Historical Balance Sheet'!E14/'Historical Balance Sheet'!E$43</f>
        <v>3.5192764191653652E-3</v>
      </c>
      <c r="F35" s="26">
        <f>'Historical Balance Sheet'!F14/'Historical Balance Sheet'!F$43</f>
        <v>3.3644619273825623E-3</v>
      </c>
      <c r="G35" s="26">
        <f>'Historical Balance Sheet'!G14/'Historical Balance Sheet'!G$43</f>
        <v>3.7965581038154083E-3</v>
      </c>
      <c r="H35" s="26">
        <f>'Historical Balance Sheet'!H14/'Historical Balance Sheet'!H$43</f>
        <v>2.8865222025470185E-3</v>
      </c>
    </row>
    <row r="36" spans="2:8" x14ac:dyDescent="0.25">
      <c r="B36" t="s">
        <v>28</v>
      </c>
      <c r="D36" s="26">
        <f>'Historical Balance Sheet'!D15/'Historical Balance Sheet'!D$43</f>
        <v>6.9150711162126784E-3</v>
      </c>
      <c r="E36" s="26">
        <f>'Historical Balance Sheet'!E15/'Historical Balance Sheet'!E$43</f>
        <v>5.5047747740751369E-3</v>
      </c>
      <c r="F36" s="26">
        <f>'Historical Balance Sheet'!F15/'Historical Balance Sheet'!F$43</f>
        <v>6.3366713976190144E-3</v>
      </c>
      <c r="G36" s="26">
        <f>'Historical Balance Sheet'!G15/'Historical Balance Sheet'!G$43</f>
        <v>6.6143051628442763E-3</v>
      </c>
      <c r="H36" s="26">
        <f>'Historical Balance Sheet'!H15/'Historical Balance Sheet'!H$43</f>
        <v>4.8929683087676383E-3</v>
      </c>
    </row>
    <row r="37" spans="2:8" x14ac:dyDescent="0.25">
      <c r="B37" t="s">
        <v>29</v>
      </c>
      <c r="D37" s="26">
        <f>'Historical Balance Sheet'!D16/'Historical Balance Sheet'!D$43</f>
        <v>0.40506627671116557</v>
      </c>
      <c r="E37" s="26">
        <f>'Historical Balance Sheet'!E16/'Historical Balance Sheet'!E$43</f>
        <v>0.50015531929764601</v>
      </c>
      <c r="F37" s="26">
        <f>'Historical Balance Sheet'!F16/'Historical Balance Sheet'!F$43</f>
        <v>0.43930295377236728</v>
      </c>
      <c r="G37" s="26">
        <f>'Historical Balance Sheet'!G16/'Historical Balance Sheet'!G$43</f>
        <v>0.1678542255733585</v>
      </c>
      <c r="H37" s="26">
        <f>'Historical Balance Sheet'!H16/'Historical Balance Sheet'!H$43</f>
        <v>0.18331379967811931</v>
      </c>
    </row>
    <row r="38" spans="2:8" x14ac:dyDescent="0.25">
      <c r="B38" s="1" t="s">
        <v>30</v>
      </c>
      <c r="D38" s="26"/>
      <c r="E38" s="26"/>
      <c r="F38" s="26"/>
      <c r="G38" s="26"/>
      <c r="H38" s="26"/>
    </row>
    <row r="39" spans="2:8" x14ac:dyDescent="0.25">
      <c r="B39" s="6" t="s">
        <v>31</v>
      </c>
      <c r="D39" s="26">
        <f>'Historical Balance Sheet'!D18/'Historical Balance Sheet'!D$43</f>
        <v>0.14267444481133804</v>
      </c>
      <c r="E39" s="26">
        <f>'Historical Balance Sheet'!E18/'Historical Balance Sheet'!E$43</f>
        <v>9.8031069036839114E-2</v>
      </c>
      <c r="F39" s="26">
        <f>'Historical Balance Sheet'!F18/'Historical Balance Sheet'!F$43</f>
        <v>6.9804851309096166E-2</v>
      </c>
      <c r="G39" s="26">
        <f>'Historical Balance Sheet'!G18/'Historical Balance Sheet'!G$43</f>
        <v>9.7219255070338947E-2</v>
      </c>
      <c r="H39" s="26">
        <f>'Historical Balance Sheet'!H18/'Historical Balance Sheet'!H$43</f>
        <v>8.9765638601899844E-2</v>
      </c>
    </row>
    <row r="40" spans="2:8" x14ac:dyDescent="0.25">
      <c r="B40" s="6" t="s">
        <v>32</v>
      </c>
      <c r="D40" s="26">
        <f>'Historical Balance Sheet'!D19/'Historical Balance Sheet'!D$43</f>
        <v>4.1057142807225357E-4</v>
      </c>
      <c r="E40" s="26">
        <f>'Historical Balance Sheet'!E19/'Historical Balance Sheet'!E$43</f>
        <v>2.7569175332189136E-4</v>
      </c>
      <c r="F40" s="26">
        <f>'Historical Balance Sheet'!F19/'Historical Balance Sheet'!F$43</f>
        <v>2.3015443857784355E-4</v>
      </c>
      <c r="G40" s="26">
        <f>'Historical Balance Sheet'!G19/'Historical Balance Sheet'!G$43</f>
        <v>2.3178692358711208E-4</v>
      </c>
      <c r="H40" s="26">
        <f>'Historical Balance Sheet'!H19/'Historical Balance Sheet'!H$43</f>
        <v>1.4331757901575855E-4</v>
      </c>
    </row>
    <row r="41" spans="2:8" x14ac:dyDescent="0.25">
      <c r="B41" s="6" t="s">
        <v>33</v>
      </c>
      <c r="D41" s="26">
        <f>'Historical Balance Sheet'!D20/'Historical Balance Sheet'!D$43</f>
        <v>1.262812886002659E-2</v>
      </c>
      <c r="E41" s="26">
        <f>'Historical Balance Sheet'!E20/'Historical Balance Sheet'!E$43</f>
        <v>1.2263752876642822E-2</v>
      </c>
      <c r="F41" s="26">
        <f>'Historical Balance Sheet'!F20/'Historical Balance Sheet'!F$43</f>
        <v>1.69163512354715E-2</v>
      </c>
      <c r="G41" s="26">
        <f>'Historical Balance Sheet'!G20/'Historical Balance Sheet'!G$43</f>
        <v>6.2512654030090403E-2</v>
      </c>
      <c r="H41" s="26">
        <f>'Historical Balance Sheet'!H20/'Historical Balance Sheet'!H$43</f>
        <v>6.5474901376273389E-2</v>
      </c>
    </row>
    <row r="42" spans="2:8" x14ac:dyDescent="0.25">
      <c r="B42" t="s">
        <v>34</v>
      </c>
      <c r="D42" s="26">
        <f>'Historical Balance Sheet'!D21/'Historical Balance Sheet'!D$43</f>
        <v>2.0007931890567862E-2</v>
      </c>
      <c r="E42" s="26">
        <f>'Historical Balance Sheet'!E21/'Historical Balance Sheet'!E$43</f>
        <v>1.6353827714657737E-2</v>
      </c>
      <c r="F42" s="26">
        <f>'Historical Balance Sheet'!F21/'Historical Balance Sheet'!F$43</f>
        <v>1.9309462440899185E-2</v>
      </c>
      <c r="G42" s="26">
        <f>'Historical Balance Sheet'!G21/'Historical Balance Sheet'!G$43</f>
        <v>7.6000977414738017E-3</v>
      </c>
      <c r="H42" s="26">
        <f>'Historical Balance Sheet'!H21/'Historical Balance Sheet'!H$43</f>
        <v>4.6148260443074247E-3</v>
      </c>
    </row>
    <row r="43" spans="2:8" x14ac:dyDescent="0.25">
      <c r="B43" t="s">
        <v>35</v>
      </c>
      <c r="D43" s="26">
        <f>'Historical Balance Sheet'!D22/'Historical Balance Sheet'!D$43</f>
        <v>2.6695878386995893E-2</v>
      </c>
      <c r="E43" s="26">
        <f>'Historical Balance Sheet'!E22/'Historical Balance Sheet'!E$43</f>
        <v>2.2069577868035539E-2</v>
      </c>
      <c r="F43" s="26">
        <f>'Historical Balance Sheet'!F22/'Historical Balance Sheet'!F$43</f>
        <v>2.6768446073948869E-2</v>
      </c>
      <c r="G43" s="26">
        <f>'Historical Balance Sheet'!G22/'Historical Balance Sheet'!G$43</f>
        <v>2.487520508255664E-2</v>
      </c>
      <c r="H43" s="26">
        <f>'Historical Balance Sheet'!H22/'Historical Balance Sheet'!H$43</f>
        <v>1.745608112411939E-2</v>
      </c>
    </row>
    <row r="44" spans="2:8" x14ac:dyDescent="0.25">
      <c r="B44" s="3" t="s">
        <v>36</v>
      </c>
      <c r="C44" s="3"/>
      <c r="D44" s="28">
        <f>'Historical Balance Sheet'!D23/'Historical Balance Sheet'!D$43</f>
        <v>0.75481897294246947</v>
      </c>
      <c r="E44" s="28">
        <f>'Historical Balance Sheet'!E23/'Historical Balance Sheet'!E$43</f>
        <v>0.76916187118335178</v>
      </c>
      <c r="F44" s="28">
        <f>'Historical Balance Sheet'!F23/'Historical Balance Sheet'!F$43</f>
        <v>0.70577601023568548</v>
      </c>
      <c r="G44" s="28">
        <f>'Historical Balance Sheet'!G23/'Historical Balance Sheet'!G$43</f>
        <v>0.56576953956784304</v>
      </c>
      <c r="H44" s="28">
        <f>'Historical Balance Sheet'!H23/'Historical Balance Sheet'!H$43</f>
        <v>0.61002225138115684</v>
      </c>
    </row>
    <row r="45" spans="2:8" x14ac:dyDescent="0.25">
      <c r="D45" s="26"/>
      <c r="E45" s="26"/>
      <c r="F45" s="26"/>
      <c r="G45" s="26"/>
      <c r="H45" s="26"/>
    </row>
    <row r="46" spans="2:8" x14ac:dyDescent="0.25">
      <c r="B46" s="1" t="s">
        <v>37</v>
      </c>
      <c r="D46" s="26"/>
      <c r="E46" s="26"/>
      <c r="F46" s="26"/>
      <c r="G46" s="26"/>
      <c r="H46" s="26"/>
    </row>
    <row r="47" spans="2:8" x14ac:dyDescent="0.25">
      <c r="B47" t="s">
        <v>38</v>
      </c>
      <c r="D47" s="26">
        <f>'Historical Balance Sheet'!D26/'Historical Balance Sheet'!D$43</f>
        <v>7.4844550668882001E-2</v>
      </c>
      <c r="E47" s="26">
        <f>'Historical Balance Sheet'!E26/'Historical Balance Sheet'!E$43</f>
        <v>0.11231915009280324</v>
      </c>
      <c r="F47" s="26">
        <f>'Historical Balance Sheet'!F26/'Historical Balance Sheet'!F$43</f>
        <v>0.16842850301861156</v>
      </c>
      <c r="G47" s="26">
        <f>'Historical Balance Sheet'!G26/'Historical Balance Sheet'!G$43</f>
        <v>0.2209976611861626</v>
      </c>
      <c r="H47" s="26">
        <f>'Historical Balance Sheet'!H26/'Historical Balance Sheet'!H$43</f>
        <v>0.21710489997494592</v>
      </c>
    </row>
    <row r="48" spans="2:8" x14ac:dyDescent="0.25">
      <c r="B48" s="1" t="s">
        <v>30</v>
      </c>
      <c r="D48" s="26"/>
      <c r="E48" s="26"/>
      <c r="F48" s="26"/>
      <c r="G48" s="26"/>
      <c r="H48" s="26"/>
    </row>
    <row r="49" spans="2:8" x14ac:dyDescent="0.25">
      <c r="B49" t="s">
        <v>31</v>
      </c>
      <c r="D49" s="26">
        <f>'Historical Balance Sheet'!D28/'Historical Balance Sheet'!D$43</f>
        <v>0.11717184423444151</v>
      </c>
      <c r="E49" s="26">
        <f>'Historical Balance Sheet'!E28/'Historical Balance Sheet'!E$43</f>
        <v>6.8124338275075635E-2</v>
      </c>
      <c r="F49" s="26">
        <f>'Historical Balance Sheet'!F28/'Historical Balance Sheet'!F$43</f>
        <v>6.7529292101866839E-2</v>
      </c>
      <c r="G49" s="26">
        <f>'Historical Balance Sheet'!G28/'Historical Balance Sheet'!G$43</f>
        <v>0.10050197228331065</v>
      </c>
      <c r="H49" s="26">
        <f>'Historical Balance Sheet'!H28/'Historical Balance Sheet'!H$43</f>
        <v>6.7379432759638369E-2</v>
      </c>
    </row>
    <row r="50" spans="2:8" x14ac:dyDescent="0.25">
      <c r="B50" s="1" t="s">
        <v>39</v>
      </c>
      <c r="D50" s="26"/>
      <c r="E50" s="26"/>
      <c r="F50" s="26"/>
      <c r="G50" s="26"/>
      <c r="H50" s="26"/>
    </row>
    <row r="51" spans="2:8" x14ac:dyDescent="0.25">
      <c r="B51" t="s">
        <v>40</v>
      </c>
      <c r="D51" s="26">
        <f>'Historical Balance Sheet'!D30/'Historical Balance Sheet'!D$43</f>
        <v>3.6287525791747683E-3</v>
      </c>
      <c r="E51" s="26">
        <f>'Historical Balance Sheet'!E30/'Historical Balance Sheet'!E$43</f>
        <v>2.3116688799666575E-3</v>
      </c>
      <c r="F51" s="26">
        <f>'Historical Balance Sheet'!F30/'Historical Balance Sheet'!F$43</f>
        <v>4.2553823347806661E-3</v>
      </c>
      <c r="G51" s="26">
        <f>'Historical Balance Sheet'!G30/'Historical Balance Sheet'!G$43</f>
        <v>1.1413411526512374E-2</v>
      </c>
      <c r="H51" s="26">
        <f>'Historical Balance Sheet'!H30/'Historical Balance Sheet'!H$43</f>
        <v>6.6828456289200009E-3</v>
      </c>
    </row>
    <row r="52" spans="2:8" x14ac:dyDescent="0.25">
      <c r="B52" t="s">
        <v>41</v>
      </c>
      <c r="D52" s="26">
        <f>'Historical Balance Sheet'!D31/'Historical Balance Sheet'!D$43</f>
        <v>0</v>
      </c>
      <c r="E52" s="26">
        <f>'Historical Balance Sheet'!E31/'Historical Balance Sheet'!E$43</f>
        <v>0</v>
      </c>
      <c r="F52" s="26">
        <f>'Historical Balance Sheet'!F31/'Historical Balance Sheet'!F$43</f>
        <v>0</v>
      </c>
      <c r="G52" s="26">
        <f>'Historical Balance Sheet'!G31/'Historical Balance Sheet'!G$43</f>
        <v>0</v>
      </c>
      <c r="H52" s="26">
        <f>'Historical Balance Sheet'!H31/'Historical Balance Sheet'!H$43</f>
        <v>0</v>
      </c>
    </row>
    <row r="53" spans="2:8" x14ac:dyDescent="0.25">
      <c r="B53" t="s">
        <v>42</v>
      </c>
      <c r="D53" s="26">
        <f>'Historical Balance Sheet'!D32/'Historical Balance Sheet'!D$43</f>
        <v>1.3213411534087036E-2</v>
      </c>
      <c r="E53" s="26">
        <f>'Historical Balance Sheet'!E32/'Historical Balance Sheet'!E$43</f>
        <v>1.0634194578838777E-2</v>
      </c>
      <c r="F53" s="26">
        <f>'Historical Balance Sheet'!F32/'Historical Balance Sheet'!F$43</f>
        <v>1.0298792431631138E-2</v>
      </c>
      <c r="G53" s="26">
        <f>'Historical Balance Sheet'!G32/'Historical Balance Sheet'!G$43</f>
        <v>4.112821586902643E-2</v>
      </c>
      <c r="H53" s="26">
        <f>'Historical Balance Sheet'!H32/'Historical Balance Sheet'!H$43</f>
        <v>3.5932371088491705E-2</v>
      </c>
    </row>
    <row r="54" spans="2:8" x14ac:dyDescent="0.25">
      <c r="B54" t="s">
        <v>43</v>
      </c>
      <c r="D54" s="26">
        <f>'Historical Balance Sheet'!D33/'Historical Balance Sheet'!D$43</f>
        <v>1.0203136765710471E-3</v>
      </c>
      <c r="E54" s="26">
        <f>'Historical Balance Sheet'!E33/'Historical Balance Sheet'!E$43</f>
        <v>5.4491186924186048E-4</v>
      </c>
      <c r="F54" s="26">
        <f>'Historical Balance Sheet'!F33/'Historical Balance Sheet'!F$43</f>
        <v>3.7987856259891374E-4</v>
      </c>
      <c r="G54" s="26">
        <f>'Historical Balance Sheet'!G33/'Historical Balance Sheet'!G$43</f>
        <v>4.2028833734771524E-4</v>
      </c>
      <c r="H54" s="26">
        <f>'Historical Balance Sheet'!H33/'Historical Balance Sheet'!H$43</f>
        <v>1.4544080240858461E-4</v>
      </c>
    </row>
    <row r="55" spans="2:8" x14ac:dyDescent="0.25">
      <c r="B55" s="1" t="s">
        <v>32</v>
      </c>
      <c r="D55" s="26"/>
      <c r="E55" s="26"/>
      <c r="F55" s="26"/>
      <c r="G55" s="26"/>
      <c r="H55" s="26"/>
    </row>
    <row r="56" spans="2:8" x14ac:dyDescent="0.25">
      <c r="B56" t="s">
        <v>44</v>
      </c>
      <c r="D56" s="26">
        <f>'Historical Balance Sheet'!D35/'Historical Balance Sheet'!D$43</f>
        <v>4.3677811497048252E-3</v>
      </c>
      <c r="E56" s="26">
        <f>'Historical Balance Sheet'!E35/'Historical Balance Sheet'!E$43</f>
        <v>3.2358187009611668E-3</v>
      </c>
      <c r="F56" s="26">
        <f>'Historical Balance Sheet'!F35/'Historical Balance Sheet'!F$43</f>
        <v>1.8560841820793833E-3</v>
      </c>
      <c r="G56" s="26">
        <f>'Historical Balance Sheet'!G35/'Historical Balance Sheet'!G$43</f>
        <v>2.094460152895591E-3</v>
      </c>
      <c r="H56" s="26">
        <f>'Historical Balance Sheet'!H35/'Historical Balance Sheet'!H$43</f>
        <v>1.5924175446195394E-3</v>
      </c>
    </row>
    <row r="57" spans="2:8" x14ac:dyDescent="0.25">
      <c r="B57" t="s">
        <v>45</v>
      </c>
      <c r="D57" s="26">
        <f>'Historical Balance Sheet'!D36/'Historical Balance Sheet'!D$43</f>
        <v>1.8169969582772073E-4</v>
      </c>
      <c r="E57" s="26">
        <f>'Historical Balance Sheet'!E36/'Historical Balance Sheet'!E$43</f>
        <v>1.863831571753632E-4</v>
      </c>
      <c r="F57" s="26">
        <f>'Historical Balance Sheet'!F36/'Historical Balance Sheet'!F$43</f>
        <v>2.5242744876279613E-4</v>
      </c>
      <c r="G57" s="26">
        <f>'Historical Balance Sheet'!G36/'Historical Balance Sheet'!G$43</f>
        <v>2.9043180786818864E-4</v>
      </c>
      <c r="H57" s="26">
        <f>'Historical Balance Sheet'!H36/'Historical Balance Sheet'!H$43</f>
        <v>3.1529867383466882E-4</v>
      </c>
    </row>
    <row r="58" spans="2:8" x14ac:dyDescent="0.25">
      <c r="B58" t="s">
        <v>33</v>
      </c>
      <c r="D58" s="26">
        <f>'Historical Balance Sheet'!D37/'Historical Balance Sheet'!D$43</f>
        <v>9.6964741523447116E-3</v>
      </c>
      <c r="E58" s="26">
        <f>'Historical Balance Sheet'!E37/'Historical Balance Sheet'!E$43</f>
        <v>1.2709001529895078E-2</v>
      </c>
      <c r="F58" s="26">
        <f>'Historical Balance Sheet'!F37/'Historical Balance Sheet'!F$43</f>
        <v>1.4754631858076378E-2</v>
      </c>
      <c r="G58" s="26">
        <f>'Historical Balance Sheet'!G37/'Historical Balance Sheet'!G$43</f>
        <v>1.9579013509267985E-2</v>
      </c>
      <c r="H58" s="26">
        <f>'Historical Balance Sheet'!H37/'Historical Balance Sheet'!H$43</f>
        <v>1.686264018582451E-2</v>
      </c>
    </row>
    <row r="59" spans="2:8" x14ac:dyDescent="0.25">
      <c r="B59" t="s">
        <v>46</v>
      </c>
      <c r="D59" s="26">
        <f>'Historical Balance Sheet'!D38/'Historical Balance Sheet'!D$43</f>
        <v>7.8969483186663229E-4</v>
      </c>
      <c r="E59" s="26">
        <f>'Historical Balance Sheet'!E38/'Historical Balance Sheet'!E$43</f>
        <v>2.446278937926642E-4</v>
      </c>
      <c r="F59" s="26">
        <f>'Historical Balance Sheet'!F38/'Historical Balance Sheet'!F$43</f>
        <v>2.1295472515724125E-3</v>
      </c>
      <c r="G59" s="26">
        <f>'Historical Balance Sheet'!G38/'Historical Balance Sheet'!G$43</f>
        <v>5.5852270743882431E-4</v>
      </c>
      <c r="H59" s="26">
        <f>'Historical Balance Sheet'!H38/'Historical Balance Sheet'!H$43</f>
        <v>2.5054036035347416E-4</v>
      </c>
    </row>
    <row r="60" spans="2:8" x14ac:dyDescent="0.25">
      <c r="B60" t="s">
        <v>47</v>
      </c>
      <c r="D60" s="26">
        <f>'Historical Balance Sheet'!D39/'Historical Balance Sheet'!D$43</f>
        <v>1.8524633412128105E-2</v>
      </c>
      <c r="E60" s="26">
        <f>'Historical Balance Sheet'!E39/'Historical Balance Sheet'!E$43</f>
        <v>1.969966425145158E-2</v>
      </c>
      <c r="F60" s="26">
        <f>'Historical Balance Sheet'!F39/'Historical Balance Sheet'!F$43</f>
        <v>2.3264159138182989E-2</v>
      </c>
      <c r="G60" s="26">
        <f>'Historical Balance Sheet'!G39/'Historical Balance Sheet'!G$43</f>
        <v>3.5414528571927249E-2</v>
      </c>
      <c r="H60" s="26">
        <f>'Historical Balance Sheet'!H39/'Historical Balance Sheet'!H$43</f>
        <v>4.2741548509284855E-2</v>
      </c>
    </row>
    <row r="61" spans="2:8" x14ac:dyDescent="0.25">
      <c r="B61" t="s">
        <v>48</v>
      </c>
      <c r="D61" s="26">
        <f>'Historical Balance Sheet'!D40/'Historical Balance Sheet'!D$43</f>
        <v>1.7418711225022842E-3</v>
      </c>
      <c r="E61" s="26">
        <f>'Historical Balance Sheet'!E40/'Historical Balance Sheet'!E$43</f>
        <v>8.2836958744605873E-4</v>
      </c>
      <c r="F61" s="26">
        <f>'Historical Balance Sheet'!F40/'Historical Balance Sheet'!F$43</f>
        <v>1.0752914361513227E-3</v>
      </c>
      <c r="G61" s="26">
        <f>'Historical Balance Sheet'!G40/'Historical Balance Sheet'!G$43</f>
        <v>1.8319544803993436E-3</v>
      </c>
      <c r="H61" s="26">
        <f>'Historical Balance Sheet'!H40/'Historical Balance Sheet'!H$43</f>
        <v>9.7031309052150608E-4</v>
      </c>
    </row>
    <row r="62" spans="2:8" x14ac:dyDescent="0.25">
      <c r="B62" s="3" t="s">
        <v>49</v>
      </c>
      <c r="C62" s="3"/>
      <c r="D62" s="28">
        <f>'Historical Balance Sheet'!D41/'Historical Balance Sheet'!D$43</f>
        <v>0.24518102705753059</v>
      </c>
      <c r="E62" s="28">
        <f>'Historical Balance Sheet'!E41/'Historical Balance Sheet'!E$43</f>
        <v>0.23083812881664814</v>
      </c>
      <c r="F62" s="28">
        <f>'Historical Balance Sheet'!F41/'Historical Balance Sheet'!F$43</f>
        <v>0.29422398976431441</v>
      </c>
      <c r="G62" s="28">
        <f>'Historical Balance Sheet'!G41/'Historical Balance Sheet'!G$43</f>
        <v>0.43423046043215691</v>
      </c>
      <c r="H62" s="28">
        <f>'Historical Balance Sheet'!H41/'Historical Balance Sheet'!H$43</f>
        <v>0.3899777486188431</v>
      </c>
    </row>
    <row r="63" spans="2:8" x14ac:dyDescent="0.25">
      <c r="D63" s="26"/>
      <c r="E63" s="26"/>
      <c r="F63" s="26"/>
      <c r="G63" s="26"/>
      <c r="H63" s="26"/>
    </row>
    <row r="64" spans="2:8" ht="15.75" thickBot="1" x14ac:dyDescent="0.3">
      <c r="B64" s="10" t="s">
        <v>50</v>
      </c>
      <c r="C64" s="10"/>
      <c r="D64" s="27">
        <f>'Historical Balance Sheet'!D43/'Historical Balance Sheet'!D$43</f>
        <v>1</v>
      </c>
      <c r="E64" s="27">
        <f>'Historical Balance Sheet'!E43/'Historical Balance Sheet'!E$43</f>
        <v>1</v>
      </c>
      <c r="F64" s="27">
        <f>'Historical Balance Sheet'!F43/'Historical Balance Sheet'!F$43</f>
        <v>1</v>
      </c>
      <c r="G64" s="27">
        <f>'Historical Balance Sheet'!G43/'Historical Balance Sheet'!G$43</f>
        <v>1</v>
      </c>
      <c r="H64" s="27">
        <f>'Historical Balance Sheet'!H43/'Historical Balance Sheet'!H$43</f>
        <v>1</v>
      </c>
    </row>
    <row r="66" spans="2:8" x14ac:dyDescent="0.25">
      <c r="B66" s="1" t="s">
        <v>51</v>
      </c>
    </row>
    <row r="67" spans="2:8" x14ac:dyDescent="0.25">
      <c r="B67" s="1" t="s">
        <v>52</v>
      </c>
    </row>
    <row r="68" spans="2:8" x14ac:dyDescent="0.25">
      <c r="B68" t="s">
        <v>53</v>
      </c>
      <c r="D68" s="26">
        <f>'Historical Balance Sheet'!D47/'Historical Balance Sheet'!D$75</f>
        <v>6.2109847948802616E-3</v>
      </c>
      <c r="E68" s="26">
        <f>'Historical Balance Sheet'!E47/'Historical Balance Sheet'!E$75</f>
        <v>4.6013341927667794E-3</v>
      </c>
      <c r="F68" s="26">
        <f>'Historical Balance Sheet'!F47/'Historical Balance Sheet'!F$75</f>
        <v>4.3989195115281378E-3</v>
      </c>
      <c r="G68" s="26">
        <f>'Historical Balance Sheet'!G47/'Historical Balance Sheet'!G$75</f>
        <v>4.9638705623625511E-3</v>
      </c>
      <c r="H68" s="26">
        <f>'Historical Balance Sheet'!H47/'Historical Balance Sheet'!H$75</f>
        <v>3.7740295807483087E-3</v>
      </c>
    </row>
    <row r="69" spans="2:8" x14ac:dyDescent="0.25">
      <c r="B69" t="s">
        <v>54</v>
      </c>
      <c r="D69" s="26">
        <f>'Historical Balance Sheet'!D48/'Historical Balance Sheet'!D$75</f>
        <v>0.39790136851318986</v>
      </c>
      <c r="E69" s="26">
        <f>'Historical Balance Sheet'!E48/'Historical Balance Sheet'!E$75</f>
        <v>0.30137768217012117</v>
      </c>
      <c r="F69" s="26">
        <f>'Historical Balance Sheet'!F48/'Historical Balance Sheet'!F$75</f>
        <v>0.31676427607148644</v>
      </c>
      <c r="G69" s="26">
        <f>'Historical Balance Sheet'!G48/'Historical Balance Sheet'!G$75</f>
        <v>0.56301741892693824</v>
      </c>
      <c r="H69" s="26">
        <f>'Historical Balance Sheet'!H48/'Historical Balance Sheet'!H$75</f>
        <v>0.57605067709593993</v>
      </c>
    </row>
    <row r="70" spans="2:8" x14ac:dyDescent="0.25">
      <c r="B70" t="s">
        <v>55</v>
      </c>
      <c r="D70" s="26">
        <f>'Historical Balance Sheet'!D49/'Historical Balance Sheet'!D$75</f>
        <v>7.7729033340147085E-3</v>
      </c>
      <c r="E70" s="26">
        <f>'Historical Balance Sheet'!E49/'Historical Balance Sheet'!E$75</f>
        <v>5.9461404448862406E-3</v>
      </c>
      <c r="F70" s="26">
        <f>'Historical Balance Sheet'!F49/'Historical Balance Sheet'!F$75</f>
        <v>8.3499040404477858E-3</v>
      </c>
      <c r="G70" s="26">
        <f>'Historical Balance Sheet'!G49/'Historical Balance Sheet'!G$75</f>
        <v>4.8661290885607571E-3</v>
      </c>
      <c r="H70" s="26">
        <f>'Historical Balance Sheet'!H49/'Historical Balance Sheet'!H$75</f>
        <v>1.2911321451775228E-2</v>
      </c>
    </row>
    <row r="71" spans="2:8" x14ac:dyDescent="0.25">
      <c r="B71" s="3" t="s">
        <v>56</v>
      </c>
      <c r="C71" s="3"/>
      <c r="D71" s="28">
        <f>'Historical Balance Sheet'!D50/'Historical Balance Sheet'!D$75</f>
        <v>0.41188525664208481</v>
      </c>
      <c r="E71" s="28">
        <f>'Historical Balance Sheet'!E50/'Historical Balance Sheet'!E$75</f>
        <v>0.31192515680777422</v>
      </c>
      <c r="F71" s="28">
        <f>'Historical Balance Sheet'!F50/'Historical Balance Sheet'!F$75</f>
        <v>0.32951309962346237</v>
      </c>
      <c r="G71" s="28">
        <f>'Historical Balance Sheet'!G50/'Historical Balance Sheet'!G$75</f>
        <v>0.57284741857786159</v>
      </c>
      <c r="H71" s="28">
        <f>'Historical Balance Sheet'!H50/'Historical Balance Sheet'!H$75</f>
        <v>0.59273602812846349</v>
      </c>
    </row>
    <row r="72" spans="2:8" x14ac:dyDescent="0.25">
      <c r="D72" s="26"/>
    </row>
    <row r="73" spans="2:8" x14ac:dyDescent="0.25">
      <c r="B73" s="1" t="s">
        <v>57</v>
      </c>
      <c r="D73" s="26"/>
    </row>
    <row r="74" spans="2:8" x14ac:dyDescent="0.25">
      <c r="B74" s="1" t="s">
        <v>58</v>
      </c>
      <c r="D74" s="26"/>
    </row>
    <row r="75" spans="2:8" x14ac:dyDescent="0.25">
      <c r="B75" s="1" t="s">
        <v>59</v>
      </c>
      <c r="D75" s="26"/>
    </row>
    <row r="76" spans="2:8" x14ac:dyDescent="0.25">
      <c r="B76" t="s">
        <v>60</v>
      </c>
      <c r="D76" s="26">
        <f>'Historical Balance Sheet'!D55/'Historical Balance Sheet'!D$75</f>
        <v>0</v>
      </c>
      <c r="E76" s="26">
        <f>'Historical Balance Sheet'!E55/'Historical Balance Sheet'!E$75</f>
        <v>6.4377260219362617E-2</v>
      </c>
      <c r="F76" s="26">
        <f>'Historical Balance Sheet'!F55/'Historical Balance Sheet'!F$75</f>
        <v>6.1615807897761929E-2</v>
      </c>
      <c r="G76" s="26">
        <f>'Historical Balance Sheet'!G55/'Historical Balance Sheet'!G$75</f>
        <v>6.9614270255175068E-2</v>
      </c>
      <c r="H76" s="26">
        <f>'Historical Balance Sheet'!H55/'Historical Balance Sheet'!H$75</f>
        <v>5.2995655884938278E-2</v>
      </c>
    </row>
    <row r="77" spans="2:8" x14ac:dyDescent="0.25">
      <c r="B77" t="s">
        <v>73</v>
      </c>
      <c r="D77" s="26">
        <f>'Historical Balance Sheet'!D56/'Historical Balance Sheet'!D$75</f>
        <v>0.45201118850819311</v>
      </c>
      <c r="E77" s="26">
        <f>'Historical Balance Sheet'!E56/'Historical Balance Sheet'!E$75</f>
        <v>0.53404081273411153</v>
      </c>
      <c r="F77" s="26">
        <f>'Historical Balance Sheet'!F56/'Historical Balance Sheet'!F$75</f>
        <v>0.46404826808784966</v>
      </c>
      <c r="G77" s="26">
        <f>'Historical Balance Sheet'!G56/'Historical Balance Sheet'!G$75</f>
        <v>0.11801584808182358</v>
      </c>
      <c r="H77" s="26">
        <f>'Historical Balance Sheet'!H56/'Historical Balance Sheet'!H$75</f>
        <v>0.11696837671078725</v>
      </c>
    </row>
    <row r="78" spans="2:8" x14ac:dyDescent="0.25">
      <c r="B78" t="s">
        <v>61</v>
      </c>
      <c r="D78" s="26">
        <f>'Historical Balance Sheet'!D57/'Historical Balance Sheet'!D$75</f>
        <v>8.6307355518167365E-4</v>
      </c>
      <c r="E78" s="26">
        <f>'Historical Balance Sheet'!E57/'Historical Balance Sheet'!E$75</f>
        <v>1.0975897033660281E-3</v>
      </c>
      <c r="F78" s="26">
        <f>'Historical Balance Sheet'!F57/'Historical Balance Sheet'!F$75</f>
        <v>9.9733590050398867E-4</v>
      </c>
      <c r="G78" s="26">
        <f>'Historical Balance Sheet'!G57/'Historical Balance Sheet'!G$75</f>
        <v>7.4004258735644224E-4</v>
      </c>
      <c r="H78" s="26">
        <f>'Historical Balance Sheet'!H57/'Historical Balance Sheet'!H$75</f>
        <v>4.9333095532313334E-3</v>
      </c>
    </row>
    <row r="79" spans="2:8" x14ac:dyDescent="0.25">
      <c r="B79" t="s">
        <v>62</v>
      </c>
      <c r="D79" s="26">
        <f>'Historical Balance Sheet'!D58/'Historical Balance Sheet'!D$75</f>
        <v>2.4424632189149384E-3</v>
      </c>
      <c r="E79" s="26">
        <f>'Historical Balance Sheet'!E58/'Historical Balance Sheet'!E$75</f>
        <v>2.751740223297377E-3</v>
      </c>
      <c r="F79" s="26">
        <f>'Historical Balance Sheet'!F58/'Historical Balance Sheet'!F$75</f>
        <v>7.2882238882983784E-3</v>
      </c>
      <c r="G79" s="26">
        <f>'Historical Balance Sheet'!G58/'Historical Balance Sheet'!G$75</f>
        <v>2.2346493524627361E-2</v>
      </c>
      <c r="H79" s="26">
        <f>'Historical Balance Sheet'!H58/'Historical Balance Sheet'!H$75</f>
        <v>1.7599398703135153E-2</v>
      </c>
    </row>
    <row r="80" spans="2:8" x14ac:dyDescent="0.25">
      <c r="B80" t="s">
        <v>63</v>
      </c>
      <c r="D80" s="26">
        <f>'Historical Balance Sheet'!D59/'Historical Balance Sheet'!D$75</f>
        <v>1.5129993902577516E-3</v>
      </c>
      <c r="E80" s="26">
        <f>'Historical Balance Sheet'!E59/'Historical Balance Sheet'!E$75</f>
        <v>1.2296111063652437E-3</v>
      </c>
      <c r="F80" s="26">
        <f>'Historical Balance Sheet'!F59/'Historical Balance Sheet'!F$75</f>
        <v>1.1693330347100114E-3</v>
      </c>
      <c r="G80" s="26">
        <f>'Historical Balance Sheet'!G59/'Historical Balance Sheet'!G$75</f>
        <v>1.1994275142248752E-3</v>
      </c>
      <c r="H80" s="26">
        <f>'Historical Balance Sheet'!H59/'Historical Balance Sheet'!H$75</f>
        <v>1.3100288333736747E-3</v>
      </c>
    </row>
    <row r="81" spans="2:8" x14ac:dyDescent="0.25">
      <c r="B81" s="3" t="s">
        <v>64</v>
      </c>
      <c r="C81" s="3"/>
      <c r="D81" s="28">
        <f>'Historical Balance Sheet'!D60/'Historical Balance Sheet'!D$75</f>
        <v>0.45682972467254745</v>
      </c>
      <c r="E81" s="28">
        <f>'Historical Balance Sheet'!E60/'Historical Balance Sheet'!E$75</f>
        <v>0.60349701398650268</v>
      </c>
      <c r="F81" s="28">
        <f>'Historical Balance Sheet'!F60/'Historical Balance Sheet'!F$75</f>
        <v>0.53511896880912391</v>
      </c>
      <c r="G81" s="28">
        <f>'Historical Balance Sheet'!G60/'Historical Balance Sheet'!G$75</f>
        <v>0.2119160819632073</v>
      </c>
      <c r="H81" s="28">
        <f>'Historical Balance Sheet'!H60/'Historical Balance Sheet'!H$75</f>
        <v>0.1938067696854657</v>
      </c>
    </row>
    <row r="82" spans="2:8" x14ac:dyDescent="0.25">
      <c r="D82" s="26"/>
      <c r="E82" s="26"/>
      <c r="F82" s="26"/>
      <c r="G82" s="26"/>
      <c r="H82" s="26"/>
    </row>
    <row r="83" spans="2:8" x14ac:dyDescent="0.25">
      <c r="B83" s="1" t="s">
        <v>65</v>
      </c>
      <c r="D83" s="26"/>
      <c r="E83" s="26"/>
      <c r="F83" s="26"/>
      <c r="G83" s="26"/>
      <c r="H83" s="26"/>
    </row>
    <row r="84" spans="2:8" x14ac:dyDescent="0.25">
      <c r="B84" t="s">
        <v>59</v>
      </c>
      <c r="D84" s="26">
        <f>'Historical Balance Sheet'!D63/'Historical Balance Sheet'!D$75</f>
        <v>0</v>
      </c>
      <c r="E84" s="26">
        <f>'Historical Balance Sheet'!E63/'Historical Balance Sheet'!E$75</f>
        <v>0</v>
      </c>
      <c r="F84" s="26">
        <f>'Historical Balance Sheet'!F63/'Historical Balance Sheet'!F$75</f>
        <v>0</v>
      </c>
      <c r="G84" s="26">
        <f>'Historical Balance Sheet'!G63/'Historical Balance Sheet'!G$75</f>
        <v>0</v>
      </c>
      <c r="H84" s="26">
        <f>'Historical Balance Sheet'!H63/'Historical Balance Sheet'!H$75</f>
        <v>0</v>
      </c>
    </row>
    <row r="85" spans="2:8" x14ac:dyDescent="0.25">
      <c r="B85" t="s">
        <v>60</v>
      </c>
      <c r="D85" s="26">
        <f>'Historical Balance Sheet'!D64/'Historical Balance Sheet'!D$75</f>
        <v>5.2401144009238738E-2</v>
      </c>
      <c r="E85" s="26">
        <f>'Historical Balance Sheet'!E64/'Historical Balance Sheet'!E$75</f>
        <v>0</v>
      </c>
      <c r="F85" s="26">
        <f>'Historical Balance Sheet'!F64/'Historical Balance Sheet'!F$75</f>
        <v>0</v>
      </c>
      <c r="G85" s="26">
        <f>'Historical Balance Sheet'!G64/'Historical Balance Sheet'!G$75</f>
        <v>0</v>
      </c>
      <c r="H85" s="26">
        <f>'Historical Balance Sheet'!H64/'Historical Balance Sheet'!H$75</f>
        <v>0</v>
      </c>
    </row>
    <row r="86" spans="2:8" x14ac:dyDescent="0.25">
      <c r="B86" t="s">
        <v>73</v>
      </c>
      <c r="D86" s="26">
        <f>'Historical Balance Sheet'!D65/'Historical Balance Sheet'!D$75</f>
        <v>1.3367157430556649E-2</v>
      </c>
      <c r="E86" s="26">
        <f>'Historical Balance Sheet'!E65/'Historical Balance Sheet'!E$75</f>
        <v>1.319825731748041E-2</v>
      </c>
      <c r="F86" s="26">
        <f>'Historical Balance Sheet'!F65/'Historical Balance Sheet'!F$75</f>
        <v>2.6723900053578963E-2</v>
      </c>
      <c r="G86" s="26">
        <f>'Historical Balance Sheet'!G65/'Historical Balance Sheet'!G$75</f>
        <v>5.7141061891297522E-2</v>
      </c>
      <c r="H86" s="26">
        <f>'Historical Balance Sheet'!H65/'Historical Balance Sheet'!H$75</f>
        <v>6.7538674514100339E-2</v>
      </c>
    </row>
    <row r="87" spans="2:8" x14ac:dyDescent="0.25">
      <c r="B87" t="s">
        <v>66</v>
      </c>
      <c r="D87" s="26">
        <f>'Historical Balance Sheet'!D66/'Historical Balance Sheet'!D$75</f>
        <v>4.7970466810978156E-2</v>
      </c>
      <c r="E87" s="26">
        <f>'Historical Balance Sheet'!E66/'Historical Balance Sheet'!E$75</f>
        <v>4.8929461740973998E-2</v>
      </c>
      <c r="F87" s="26">
        <f>'Historical Balance Sheet'!F66/'Historical Balance Sheet'!F$75</f>
        <v>8.2313621306856502E-2</v>
      </c>
      <c r="G87" s="26">
        <f>'Historical Balance Sheet'!G66/'Historical Balance Sheet'!G$75</f>
        <v>0.10806157712849514</v>
      </c>
      <c r="H87" s="26">
        <f>'Historical Balance Sheet'!H66/'Historical Balance Sheet'!H$75</f>
        <v>9.8537736049360711E-2</v>
      </c>
    </row>
    <row r="88" spans="2:8" x14ac:dyDescent="0.25">
      <c r="B88" t="s">
        <v>61</v>
      </c>
      <c r="D88" s="26">
        <f>'Historical Balance Sheet'!D67/'Historical Balance Sheet'!D$75</f>
        <v>7.8689945193082134E-3</v>
      </c>
      <c r="E88" s="26">
        <f>'Historical Balance Sheet'!E67/'Historical Balance Sheet'!E$75</f>
        <v>1.1122156038943726E-2</v>
      </c>
      <c r="F88" s="26">
        <f>'Historical Balance Sheet'!F67/'Historical Balance Sheet'!F$75</f>
        <v>9.836008775566011E-3</v>
      </c>
      <c r="G88" s="26">
        <f>'Historical Balance Sheet'!G67/'Historical Balance Sheet'!G$75</f>
        <v>2.2287848640346285E-2</v>
      </c>
      <c r="H88" s="26">
        <f>'Historical Balance Sheet'!H67/'Historical Balance Sheet'!H$75</f>
        <v>2.5787609717568827E-2</v>
      </c>
    </row>
    <row r="89" spans="2:8" x14ac:dyDescent="0.25">
      <c r="B89" t="s">
        <v>67</v>
      </c>
      <c r="D89" s="26">
        <f>'Historical Balance Sheet'!D68/'Historical Balance Sheet'!D$75</f>
        <v>8.0664182272748731E-3</v>
      </c>
      <c r="E89" s="26">
        <f>'Historical Balance Sheet'!E68/'Historical Balance Sheet'!E$75</f>
        <v>9.306214583964318E-3</v>
      </c>
      <c r="F89" s="26">
        <f>'Historical Balance Sheet'!F68/'Historical Balance Sheet'!F$75</f>
        <v>1.4655640701698811E-2</v>
      </c>
      <c r="G89" s="26">
        <f>'Historical Balance Sheet'!G68/'Historical Balance Sheet'!G$75</f>
        <v>2.0951583062798897E-2</v>
      </c>
      <c r="H89" s="26">
        <f>'Historical Balance Sheet'!H68/'Historical Balance Sheet'!H$75</f>
        <v>1.8323417880088837E-2</v>
      </c>
    </row>
    <row r="90" spans="2:8" x14ac:dyDescent="0.25">
      <c r="B90" t="s">
        <v>62</v>
      </c>
      <c r="D90" s="26">
        <f>'Historical Balance Sheet'!D69/'Historical Balance Sheet'!D$75</f>
        <v>1.126887536623845E-3</v>
      </c>
      <c r="E90" s="26">
        <f>'Historical Balance Sheet'!E69/'Historical Balance Sheet'!E$75</f>
        <v>1.2412600536887038E-3</v>
      </c>
      <c r="F90" s="26">
        <f>'Historical Balance Sheet'!F69/'Historical Balance Sheet'!F$75</f>
        <v>1.5368377027617293E-3</v>
      </c>
      <c r="G90" s="26">
        <f>'Historical Balance Sheet'!G69/'Historical Balance Sheet'!G$75</f>
        <v>2.6124899640451007E-3</v>
      </c>
      <c r="H90" s="26">
        <f>'Historical Balance Sheet'!H69/'Historical Balance Sheet'!H$75</f>
        <v>2.8748444738864753E-3</v>
      </c>
    </row>
    <row r="91" spans="2:8" x14ac:dyDescent="0.25">
      <c r="B91" t="s">
        <v>68</v>
      </c>
      <c r="D91" s="26">
        <f>'Historical Balance Sheet'!D70/'Historical Balance Sheet'!D$75</f>
        <v>4.8395015138729471E-4</v>
      </c>
      <c r="E91" s="26">
        <f>'Historical Balance Sheet'!E70/'Historical Balance Sheet'!E$75</f>
        <v>7.8047947067183359E-4</v>
      </c>
      <c r="F91" s="26">
        <f>'Historical Balance Sheet'!F70/'Historical Balance Sheet'!F$75</f>
        <v>3.019230269515797E-4</v>
      </c>
      <c r="G91" s="26">
        <f>'Historical Balance Sheet'!G70/'Historical Balance Sheet'!G$75</f>
        <v>4.1819387719481968E-3</v>
      </c>
      <c r="H91" s="26">
        <f>'Historical Balance Sheet'!H70/'Historical Balance Sheet'!H$75</f>
        <v>3.9491955106564589E-4</v>
      </c>
    </row>
    <row r="92" spans="2:8" x14ac:dyDescent="0.25">
      <c r="B92" s="3" t="s">
        <v>69</v>
      </c>
      <c r="C92" s="3"/>
      <c r="D92" s="28">
        <f>'Historical Balance Sheet'!D71/'Historical Balance Sheet'!D$75</f>
        <v>0.13128501868536777</v>
      </c>
      <c r="E92" s="28">
        <f>'Historical Balance Sheet'!E71/'Historical Balance Sheet'!E$75</f>
        <v>8.4577829205723001E-2</v>
      </c>
      <c r="F92" s="28">
        <f>'Historical Balance Sheet'!F71/'Historical Balance Sheet'!F$75</f>
        <v>0.13536793156741361</v>
      </c>
      <c r="G92" s="28">
        <f>'Historical Balance Sheet'!G71/'Historical Balance Sheet'!G$75</f>
        <v>0.21523649945893117</v>
      </c>
      <c r="H92" s="28">
        <f>'Historical Balance Sheet'!H71/'Historical Balance Sheet'!H$75</f>
        <v>0.21345720218607084</v>
      </c>
    </row>
    <row r="93" spans="2:8" x14ac:dyDescent="0.25">
      <c r="D93" s="26"/>
      <c r="E93" s="26"/>
      <c r="F93" s="26"/>
      <c r="G93" s="26"/>
      <c r="H93" s="26"/>
    </row>
    <row r="94" spans="2:8" x14ac:dyDescent="0.25">
      <c r="B94" s="3" t="s">
        <v>70</v>
      </c>
      <c r="C94" s="3"/>
      <c r="D94" s="28">
        <f>'Historical Balance Sheet'!D73/'Historical Balance Sheet'!D$75</f>
        <v>0.58811474335791525</v>
      </c>
      <c r="E94" s="28">
        <f>'Historical Balance Sheet'!E73/'Historical Balance Sheet'!E$75</f>
        <v>0.68807484319222567</v>
      </c>
      <c r="F94" s="28">
        <f>'Historical Balance Sheet'!F73/'Historical Balance Sheet'!F$75</f>
        <v>0.67048690037653758</v>
      </c>
      <c r="G94" s="28">
        <f>'Historical Balance Sheet'!G73/'Historical Balance Sheet'!G$75</f>
        <v>0.42715258142213841</v>
      </c>
      <c r="H94" s="28">
        <f>'Historical Balance Sheet'!H73/'Historical Balance Sheet'!H$75</f>
        <v>0.40726397187153651</v>
      </c>
    </row>
    <row r="95" spans="2:8" x14ac:dyDescent="0.25">
      <c r="D95" s="26"/>
      <c r="E95" s="26"/>
      <c r="F95" s="26"/>
      <c r="G95" s="26"/>
      <c r="H95" s="26"/>
    </row>
    <row r="96" spans="2:8" ht="15.75" thickBot="1" x14ac:dyDescent="0.3">
      <c r="B96" s="10" t="s">
        <v>71</v>
      </c>
      <c r="C96" s="10"/>
      <c r="D96" s="27">
        <f>'Historical Balance Sheet'!D75/'Historical Balance Sheet'!D$75</f>
        <v>1</v>
      </c>
      <c r="E96" s="27">
        <f>'Historical Balance Sheet'!E75/'Historical Balance Sheet'!E$75</f>
        <v>1</v>
      </c>
      <c r="F96" s="27">
        <f>'Historical Balance Sheet'!F75/'Historical Balance Sheet'!F$75</f>
        <v>1</v>
      </c>
      <c r="G96" s="27">
        <f>'Historical Balance Sheet'!G75/'Historical Balance Sheet'!G$75</f>
        <v>1</v>
      </c>
      <c r="H96" s="27">
        <f>'Historical Balance Sheet'!H75/'Historical Balance Sheet'!H$75</f>
        <v>1</v>
      </c>
    </row>
    <row r="98" spans="2:8" x14ac:dyDescent="0.25">
      <c r="B98" s="56"/>
      <c r="C98" s="56"/>
      <c r="D98" s="56"/>
      <c r="E98" s="56"/>
      <c r="F98" s="56"/>
      <c r="G98" s="56"/>
      <c r="H98" s="5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FD86"/>
  <sheetViews>
    <sheetView showGridLines="0" topLeftCell="A72" workbookViewId="0">
      <selection activeCell="B84" sqref="B84:H84"/>
    </sheetView>
  </sheetViews>
  <sheetFormatPr defaultRowHeight="15" x14ac:dyDescent="0.25"/>
  <cols>
    <col min="1" max="1" width="1.85546875" customWidth="1"/>
    <col min="2" max="2" width="80.7109375" bestFit="1" customWidth="1"/>
    <col min="4" max="4" width="16.140625" bestFit="1" customWidth="1"/>
  </cols>
  <sheetData>
    <row r="6" spans="2:8" x14ac:dyDescent="0.25">
      <c r="B6" s="119" t="s">
        <v>326</v>
      </c>
    </row>
    <row r="7" spans="2:8" x14ac:dyDescent="0.25">
      <c r="B7" s="147" t="s">
        <v>74</v>
      </c>
      <c r="C7" s="148"/>
      <c r="D7" s="148"/>
      <c r="E7" s="148"/>
      <c r="F7" s="148"/>
      <c r="G7" s="148"/>
      <c r="H7" s="148"/>
    </row>
    <row r="8" spans="2:8" ht="15.75" thickBot="1" x14ac:dyDescent="0.3">
      <c r="B8" s="122" t="s">
        <v>0</v>
      </c>
      <c r="C8" s="122"/>
      <c r="D8" s="122">
        <v>2021</v>
      </c>
      <c r="E8" s="122">
        <f>D8+1</f>
        <v>2022</v>
      </c>
      <c r="F8" s="122">
        <f>E8+1</f>
        <v>2023</v>
      </c>
      <c r="G8" s="122">
        <f>F8+1</f>
        <v>2024</v>
      </c>
      <c r="H8" s="122">
        <f>G8+1</f>
        <v>2025</v>
      </c>
    </row>
    <row r="9" spans="2:8" x14ac:dyDescent="0.25">
      <c r="B9" s="292" t="s">
        <v>75</v>
      </c>
      <c r="C9" s="292"/>
      <c r="D9" s="292"/>
      <c r="E9" s="292"/>
      <c r="F9" s="292"/>
      <c r="G9" s="292"/>
      <c r="H9" s="292"/>
    </row>
    <row r="10" spans="2:8" x14ac:dyDescent="0.25">
      <c r="B10" s="1"/>
      <c r="C10" s="7"/>
      <c r="D10" s="7"/>
      <c r="E10" s="7"/>
      <c r="F10" s="7"/>
      <c r="G10" s="7"/>
      <c r="H10" s="7"/>
    </row>
    <row r="11" spans="2:8" x14ac:dyDescent="0.25">
      <c r="B11" t="s">
        <v>76</v>
      </c>
      <c r="D11" s="144">
        <v>-203.81</v>
      </c>
      <c r="E11" s="144">
        <v>138.66</v>
      </c>
      <c r="F11" s="144">
        <v>555.13</v>
      </c>
      <c r="G11" s="144">
        <v>1344.76</v>
      </c>
      <c r="H11" s="144">
        <v>2029.74</v>
      </c>
    </row>
    <row r="12" spans="2:8" x14ac:dyDescent="0.25">
      <c r="B12" t="s">
        <v>77</v>
      </c>
      <c r="D12" s="144"/>
      <c r="E12" s="144"/>
      <c r="F12" s="144"/>
      <c r="G12" s="144"/>
      <c r="H12" s="144"/>
    </row>
    <row r="13" spans="2:8" x14ac:dyDescent="0.25">
      <c r="B13" t="s">
        <v>78</v>
      </c>
      <c r="D13" s="144">
        <v>257.3</v>
      </c>
      <c r="E13" s="144">
        <v>310.82</v>
      </c>
      <c r="F13" s="144">
        <v>493.69</v>
      </c>
      <c r="G13" s="144">
        <v>671.11</v>
      </c>
      <c r="H13" s="144">
        <v>895.18</v>
      </c>
    </row>
    <row r="14" spans="2:8" x14ac:dyDescent="0.25">
      <c r="B14" t="s">
        <v>79</v>
      </c>
      <c r="D14" s="144">
        <v>0.73</v>
      </c>
      <c r="E14" s="144">
        <v>0.73</v>
      </c>
      <c r="F14" s="144">
        <v>0.73</v>
      </c>
      <c r="G14" s="144">
        <v>0.73</v>
      </c>
      <c r="H14" s="144">
        <v>0.73</v>
      </c>
    </row>
    <row r="15" spans="2:8" x14ac:dyDescent="0.25">
      <c r="B15" t="s">
        <v>80</v>
      </c>
      <c r="D15" s="144">
        <v>1.49</v>
      </c>
      <c r="E15" s="144">
        <v>-0.19</v>
      </c>
      <c r="F15" s="144">
        <v>-2.44</v>
      </c>
      <c r="G15" s="144">
        <v>-0.59</v>
      </c>
      <c r="H15" s="144">
        <v>2.33</v>
      </c>
    </row>
    <row r="16" spans="2:8" x14ac:dyDescent="0.25">
      <c r="B16" t="s">
        <v>81</v>
      </c>
      <c r="D16" s="144">
        <v>9.65</v>
      </c>
      <c r="E16" s="144">
        <v>2.11</v>
      </c>
      <c r="F16" s="144">
        <v>6.35</v>
      </c>
      <c r="G16" s="144">
        <v>14.12</v>
      </c>
      <c r="H16" s="144">
        <v>7.3</v>
      </c>
    </row>
    <row r="17" spans="2:16384" x14ac:dyDescent="0.25">
      <c r="B17" t="s">
        <v>82</v>
      </c>
      <c r="D17" s="144">
        <v>219.72</v>
      </c>
      <c r="E17" s="144">
        <v>281.43</v>
      </c>
      <c r="F17" s="144">
        <v>352.37</v>
      </c>
      <c r="G17" s="144">
        <v>298.83</v>
      </c>
      <c r="H17" s="144">
        <v>107.16</v>
      </c>
    </row>
    <row r="18" spans="2:16384" x14ac:dyDescent="0.25">
      <c r="B18" t="s">
        <v>83</v>
      </c>
      <c r="D18" s="144">
        <v>0.99</v>
      </c>
      <c r="E18" s="144">
        <v>-7.92</v>
      </c>
      <c r="F18" s="144">
        <v>-134.33000000000001</v>
      </c>
      <c r="G18" s="144">
        <v>-155.72</v>
      </c>
      <c r="H18" s="144">
        <v>-104.61</v>
      </c>
    </row>
    <row r="19" spans="2:16384" x14ac:dyDescent="0.25">
      <c r="B19" t="s">
        <v>84</v>
      </c>
      <c r="D19" s="144">
        <v>-4.2699999999999996</v>
      </c>
      <c r="E19" s="144">
        <v>-4.8499999999999996</v>
      </c>
      <c r="F19" s="144">
        <v>-10.16</v>
      </c>
      <c r="G19" s="144">
        <v>-11.93</v>
      </c>
      <c r="H19" s="144">
        <v>-28.3</v>
      </c>
    </row>
    <row r="20" spans="2:16384" x14ac:dyDescent="0.25">
      <c r="B20" t="s">
        <v>85</v>
      </c>
      <c r="D20" s="144">
        <v>-0.09</v>
      </c>
      <c r="E20" s="144">
        <v>-0.52</v>
      </c>
      <c r="F20" s="144">
        <v>-1.43</v>
      </c>
      <c r="G20" s="144">
        <v>-1.4</v>
      </c>
      <c r="H20" s="144">
        <v>-0.38</v>
      </c>
    </row>
    <row r="21" spans="2:16384" x14ac:dyDescent="0.25">
      <c r="B21" t="s">
        <v>86</v>
      </c>
      <c r="D21" s="144">
        <v>-0.65</v>
      </c>
      <c r="E21" s="144">
        <v>-1.55</v>
      </c>
      <c r="F21" s="144">
        <v>-1.58</v>
      </c>
      <c r="G21" s="144">
        <v>-6.64</v>
      </c>
      <c r="H21" s="144">
        <v>-9.2100000000000009</v>
      </c>
    </row>
    <row r="22" spans="2:16384" x14ac:dyDescent="0.25">
      <c r="B22" t="s">
        <v>87</v>
      </c>
      <c r="D22" s="144">
        <v>-4.4000000000000004</v>
      </c>
      <c r="E22" s="144">
        <v>-1.1000000000000001</v>
      </c>
      <c r="F22" s="144">
        <v>-4.7699999999999996</v>
      </c>
      <c r="G22" s="144">
        <v>-4.03</v>
      </c>
      <c r="H22" s="144">
        <v>-4.34</v>
      </c>
    </row>
    <row r="23" spans="2:16384" x14ac:dyDescent="0.25">
      <c r="B23" t="s">
        <v>88</v>
      </c>
      <c r="D23" s="144">
        <v>71.36</v>
      </c>
      <c r="E23" s="144">
        <v>-5.14</v>
      </c>
      <c r="F23" s="144">
        <v>-83.47</v>
      </c>
      <c r="G23" s="144">
        <v>-123.57</v>
      </c>
      <c r="H23" s="144">
        <v>-86.5</v>
      </c>
    </row>
    <row r="24" spans="2:16384" x14ac:dyDescent="0.25">
      <c r="B24" t="s">
        <v>89</v>
      </c>
      <c r="D24" s="144">
        <v>-18.48</v>
      </c>
      <c r="E24" s="144">
        <v>-25.94</v>
      </c>
      <c r="F24" s="144">
        <v>-0.95</v>
      </c>
      <c r="G24" s="144">
        <v>-42.39</v>
      </c>
      <c r="H24" s="144">
        <v>-51.64</v>
      </c>
    </row>
    <row r="25" spans="2:16384" x14ac:dyDescent="0.25">
      <c r="B25" t="s">
        <v>90</v>
      </c>
      <c r="D25" s="144">
        <v>0.99</v>
      </c>
      <c r="E25" s="144">
        <v>0.32</v>
      </c>
      <c r="F25" s="144">
        <v>0.17</v>
      </c>
      <c r="G25" s="144">
        <v>1.77</v>
      </c>
      <c r="H25" s="144">
        <v>0.64</v>
      </c>
    </row>
    <row r="26" spans="2:16384" x14ac:dyDescent="0.25">
      <c r="B26" t="s">
        <v>91</v>
      </c>
      <c r="D26" s="144">
        <v>-0.48</v>
      </c>
      <c r="E26" s="144">
        <v>-0.59</v>
      </c>
      <c r="F26" s="144">
        <v>-0.97</v>
      </c>
      <c r="G26" s="144">
        <v>-1.33</v>
      </c>
      <c r="H26" s="144">
        <v>-1.04</v>
      </c>
    </row>
    <row r="27" spans="2:16384" x14ac:dyDescent="0.25">
      <c r="B27" t="s">
        <v>92</v>
      </c>
      <c r="D27" s="144">
        <v>1.1000000000000001</v>
      </c>
      <c r="E27" s="144">
        <v>-2.0099999999999998</v>
      </c>
      <c r="F27" s="144">
        <v>0.19</v>
      </c>
      <c r="G27" s="144">
        <v>-4.78</v>
      </c>
      <c r="H27" s="144">
        <v>-5.13</v>
      </c>
    </row>
    <row r="28" spans="2:16384" x14ac:dyDescent="0.25">
      <c r="B28" t="s">
        <v>93</v>
      </c>
      <c r="D28" s="144">
        <v>-4.7300000000000004</v>
      </c>
      <c r="E28" s="144">
        <v>-3.59</v>
      </c>
      <c r="F28" s="144">
        <v>-1.76</v>
      </c>
      <c r="G28" s="144">
        <v>-7.22</v>
      </c>
      <c r="H28" s="144">
        <v>-11.75</v>
      </c>
    </row>
    <row r="29" spans="2:16384" x14ac:dyDescent="0.25">
      <c r="B29" t="s">
        <v>94</v>
      </c>
      <c r="D29" s="144">
        <v>-57.7</v>
      </c>
      <c r="E29" s="144">
        <v>-46.47</v>
      </c>
      <c r="F29" s="144">
        <v>-87.48</v>
      </c>
      <c r="G29" s="144">
        <v>-52.35</v>
      </c>
      <c r="H29" s="144">
        <v>-0.7</v>
      </c>
    </row>
    <row r="30" spans="2:16384" x14ac:dyDescent="0.25">
      <c r="B30" t="s">
        <v>131</v>
      </c>
      <c r="D30" s="144"/>
      <c r="E30" s="144">
        <v>-64.739999999999995</v>
      </c>
      <c r="F30" s="144">
        <v>-0.26</v>
      </c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2:16384" x14ac:dyDescent="0.25">
      <c r="B31" t="s">
        <v>133</v>
      </c>
      <c r="D31" s="144"/>
      <c r="E31" s="144"/>
      <c r="F31" s="144"/>
      <c r="G31" s="144"/>
      <c r="H31" s="144">
        <v>-16.8</v>
      </c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2:16384" x14ac:dyDescent="0.25">
      <c r="B32" s="8"/>
      <c r="C32" s="1"/>
      <c r="D32" s="146">
        <f>SUM(D11:D31)</f>
        <v>268.72000000000014</v>
      </c>
      <c r="E32" s="146">
        <f>SUM(E11:E31)</f>
        <v>569.46</v>
      </c>
      <c r="F32" s="146">
        <f>SUM(F11:F31)</f>
        <v>1079.03</v>
      </c>
      <c r="G32" s="146">
        <f>SUM(G11:G31)</f>
        <v>1919.3700000000003</v>
      </c>
      <c r="H32" s="146">
        <f>SUM(H11:H31)</f>
        <v>2722.6799999999994</v>
      </c>
    </row>
    <row r="33" spans="2:8" x14ac:dyDescent="0.25">
      <c r="B33" s="8"/>
      <c r="C33" s="1"/>
      <c r="D33" s="1"/>
      <c r="E33" s="1"/>
      <c r="F33" s="1"/>
      <c r="G33" s="1"/>
      <c r="H33" s="1"/>
    </row>
    <row r="34" spans="2:8" x14ac:dyDescent="0.25">
      <c r="B34" t="s">
        <v>95</v>
      </c>
    </row>
    <row r="35" spans="2:8" x14ac:dyDescent="0.25">
      <c r="B35" t="s">
        <v>96</v>
      </c>
    </row>
    <row r="37" spans="2:8" x14ac:dyDescent="0.25">
      <c r="B37" t="s">
        <v>97</v>
      </c>
      <c r="D37" s="144">
        <v>179.42</v>
      </c>
      <c r="E37" s="144">
        <v>-439.39</v>
      </c>
      <c r="F37" s="144">
        <v>-494.44</v>
      </c>
      <c r="G37" s="144">
        <v>-221.57</v>
      </c>
      <c r="H37" s="144">
        <v>-462.28</v>
      </c>
    </row>
    <row r="38" spans="2:8" x14ac:dyDescent="0.25">
      <c r="B38" t="s">
        <v>98</v>
      </c>
      <c r="D38" s="144">
        <v>-38.86</v>
      </c>
      <c r="E38" s="144">
        <v>-102.22</v>
      </c>
      <c r="F38" s="144">
        <v>-101.23</v>
      </c>
      <c r="G38" s="144">
        <v>-207.69</v>
      </c>
      <c r="H38" s="144">
        <v>-202.76</v>
      </c>
    </row>
    <row r="39" spans="2:8" x14ac:dyDescent="0.25">
      <c r="B39" t="s">
        <v>99</v>
      </c>
      <c r="D39" s="144">
        <v>-22.35</v>
      </c>
      <c r="E39" s="144">
        <v>-45.55</v>
      </c>
      <c r="F39" s="144">
        <v>-71.83</v>
      </c>
      <c r="G39" s="144">
        <v>-112.63</v>
      </c>
      <c r="H39" s="144">
        <v>-128.6</v>
      </c>
    </row>
    <row r="40" spans="2:8" x14ac:dyDescent="0.25">
      <c r="B40" t="s">
        <v>100</v>
      </c>
      <c r="D40" s="144">
        <v>-10.81</v>
      </c>
      <c r="E40" s="144">
        <v>134.1</v>
      </c>
      <c r="F40" s="144">
        <v>332.16</v>
      </c>
      <c r="G40" s="144">
        <v>177.6</v>
      </c>
      <c r="H40" s="144">
        <v>211.89</v>
      </c>
    </row>
    <row r="41" spans="2:8" x14ac:dyDescent="0.25">
      <c r="B41" t="s">
        <v>101</v>
      </c>
      <c r="D41" s="144">
        <v>-1.1399999999999999</v>
      </c>
      <c r="E41" s="144">
        <v>23.72</v>
      </c>
      <c r="F41" s="144">
        <v>42.18</v>
      </c>
      <c r="G41" s="144">
        <v>92.79</v>
      </c>
      <c r="H41" s="144">
        <v>14.06</v>
      </c>
    </row>
    <row r="42" spans="2:8" x14ac:dyDescent="0.25">
      <c r="D42" s="1">
        <f>SUM(D37:D41)</f>
        <v>106.26</v>
      </c>
      <c r="E42" s="1">
        <f>SUM(E37:E41)</f>
        <v>-429.33999999999992</v>
      </c>
      <c r="F42" s="1">
        <f>SUM(F37:F41)</f>
        <v>-293.15999999999997</v>
      </c>
      <c r="G42" s="1">
        <f>SUM(G37:G41)</f>
        <v>-271.49999999999994</v>
      </c>
      <c r="H42" s="1">
        <f>SUM(H37:H41)</f>
        <v>-567.69000000000005</v>
      </c>
    </row>
    <row r="44" spans="2:8" x14ac:dyDescent="0.25">
      <c r="B44" t="s">
        <v>102</v>
      </c>
      <c r="D44" s="144">
        <f>D32+D42</f>
        <v>374.98000000000013</v>
      </c>
      <c r="E44" s="144">
        <v>140.12</v>
      </c>
      <c r="F44" s="144">
        <v>785.87</v>
      </c>
      <c r="G44" s="144">
        <v>1647.87</v>
      </c>
      <c r="H44" s="144">
        <v>2154.9899999999998</v>
      </c>
    </row>
    <row r="45" spans="2:8" x14ac:dyDescent="0.25">
      <c r="B45" t="s">
        <v>103</v>
      </c>
      <c r="D45" s="144">
        <v>-1.1399999999999999</v>
      </c>
      <c r="E45" s="144">
        <v>-81.64</v>
      </c>
      <c r="F45" s="144">
        <v>-190.99</v>
      </c>
      <c r="G45" s="144">
        <v>-298.89</v>
      </c>
      <c r="H45" s="144">
        <v>-494.09</v>
      </c>
    </row>
    <row r="47" spans="2:8" x14ac:dyDescent="0.25">
      <c r="B47" s="5" t="s">
        <v>104</v>
      </c>
      <c r="C47" s="5"/>
      <c r="D47" s="145">
        <f>D44+D45</f>
        <v>373.84000000000015</v>
      </c>
      <c r="E47" s="145">
        <f>E44+E45</f>
        <v>58.480000000000004</v>
      </c>
      <c r="F47" s="145">
        <f>F44+F45</f>
        <v>594.88</v>
      </c>
      <c r="G47" s="145">
        <f>G44+G45</f>
        <v>1348.98</v>
      </c>
      <c r="H47" s="145">
        <f>H44+H45</f>
        <v>1660.8999999999999</v>
      </c>
    </row>
    <row r="49" spans="2:8" x14ac:dyDescent="0.25">
      <c r="B49" s="293" t="s">
        <v>105</v>
      </c>
      <c r="C49" s="293"/>
      <c r="D49" s="293"/>
      <c r="E49" s="293"/>
      <c r="F49" s="293"/>
      <c r="G49" s="293"/>
      <c r="H49" s="293"/>
    </row>
    <row r="51" spans="2:8" x14ac:dyDescent="0.25">
      <c r="B51" t="s">
        <v>106</v>
      </c>
      <c r="D51" s="144">
        <v>-113.36</v>
      </c>
      <c r="E51" s="144">
        <v>-270.92</v>
      </c>
      <c r="F51" s="144">
        <v>-503.4</v>
      </c>
      <c r="G51" s="144">
        <v>-736.95</v>
      </c>
      <c r="H51" s="144">
        <v>-1268.19</v>
      </c>
    </row>
    <row r="52" spans="2:8" x14ac:dyDescent="0.25">
      <c r="B52" t="s">
        <v>107</v>
      </c>
      <c r="D52" s="144">
        <v>22.34</v>
      </c>
      <c r="E52" s="144">
        <v>60.82</v>
      </c>
      <c r="F52" s="144">
        <v>279.91000000000003</v>
      </c>
      <c r="G52" s="144">
        <v>343.21</v>
      </c>
      <c r="H52" s="144">
        <v>406.52</v>
      </c>
    </row>
    <row r="53" spans="2:8" x14ac:dyDescent="0.25">
      <c r="B53" t="s">
        <v>108</v>
      </c>
      <c r="D53" s="144">
        <v>-590.63</v>
      </c>
      <c r="E53" s="144">
        <v>-1322.04</v>
      </c>
      <c r="F53" s="144">
        <v>-1609.56</v>
      </c>
      <c r="G53" s="144">
        <v>-1937.98</v>
      </c>
      <c r="H53" s="144">
        <v>-3884.85</v>
      </c>
    </row>
    <row r="54" spans="2:8" x14ac:dyDescent="0.25">
      <c r="B54" t="s">
        <v>109</v>
      </c>
      <c r="D54" s="144">
        <v>730.59</v>
      </c>
      <c r="E54" s="144">
        <v>1530.42</v>
      </c>
      <c r="F54" s="144">
        <v>1616.01</v>
      </c>
      <c r="G54" s="144">
        <v>1808.09</v>
      </c>
      <c r="H54" s="144">
        <v>3726.26</v>
      </c>
    </row>
    <row r="55" spans="2:8" x14ac:dyDescent="0.25">
      <c r="B55" t="s">
        <v>110</v>
      </c>
      <c r="D55" s="144">
        <v>-13.95</v>
      </c>
      <c r="E55" s="144"/>
      <c r="F55" s="144"/>
      <c r="G55" s="144"/>
      <c r="H55" s="144"/>
    </row>
    <row r="56" spans="2:8" x14ac:dyDescent="0.25">
      <c r="B56" t="s">
        <v>111</v>
      </c>
      <c r="D56" s="144"/>
      <c r="E56" s="144"/>
      <c r="F56" s="144">
        <v>10</v>
      </c>
      <c r="G56" s="144"/>
      <c r="H56" s="144"/>
    </row>
    <row r="57" spans="2:8" x14ac:dyDescent="0.25">
      <c r="B57" t="s">
        <v>112</v>
      </c>
      <c r="D57" s="144">
        <v>20.82</v>
      </c>
      <c r="E57" s="144">
        <v>15</v>
      </c>
      <c r="F57" s="144">
        <v>7.7</v>
      </c>
      <c r="G57" s="144">
        <v>2.36</v>
      </c>
      <c r="H57" s="144">
        <v>5.81</v>
      </c>
    </row>
    <row r="58" spans="2:8" x14ac:dyDescent="0.25">
      <c r="B58" t="s">
        <v>113</v>
      </c>
      <c r="D58" s="144">
        <v>-45</v>
      </c>
      <c r="E58" s="144">
        <v>-66.27</v>
      </c>
      <c r="F58" s="144">
        <v>-51.5</v>
      </c>
      <c r="G58" s="144">
        <v>-61.85</v>
      </c>
      <c r="H58" s="144">
        <v>-36.51</v>
      </c>
    </row>
    <row r="59" spans="2:8" x14ac:dyDescent="0.25">
      <c r="B59" t="s">
        <v>114</v>
      </c>
      <c r="D59" s="144">
        <v>4.78</v>
      </c>
      <c r="E59" s="144">
        <v>107.8</v>
      </c>
      <c r="F59" s="144">
        <v>146.86000000000001</v>
      </c>
      <c r="G59" s="144">
        <v>73.58</v>
      </c>
      <c r="H59" s="144"/>
    </row>
    <row r="60" spans="2:8" x14ac:dyDescent="0.25">
      <c r="B60" t="s">
        <v>115</v>
      </c>
      <c r="D60" s="144">
        <v>0.06</v>
      </c>
      <c r="E60" s="144">
        <v>1.22</v>
      </c>
      <c r="F60" s="144">
        <v>1.34</v>
      </c>
      <c r="G60" s="144">
        <v>1.32</v>
      </c>
      <c r="H60" s="144">
        <v>1.44</v>
      </c>
    </row>
    <row r="61" spans="2:8" x14ac:dyDescent="0.25">
      <c r="B61" t="s">
        <v>134</v>
      </c>
      <c r="D61" s="144"/>
      <c r="E61" s="144"/>
      <c r="F61" s="144"/>
      <c r="G61" s="144"/>
      <c r="H61" s="144">
        <v>125.85</v>
      </c>
    </row>
    <row r="63" spans="2:8" x14ac:dyDescent="0.25">
      <c r="B63" s="5" t="s">
        <v>116</v>
      </c>
      <c r="C63" s="5"/>
      <c r="D63" s="145">
        <f>SUM(D51:D61)</f>
        <v>15.650000000000054</v>
      </c>
      <c r="E63" s="145">
        <f>SUM(E51:E61)</f>
        <v>56.0300000000002</v>
      </c>
      <c r="F63" s="145">
        <f>SUM(F51:F61)</f>
        <v>-102.63999999999996</v>
      </c>
      <c r="G63" s="145">
        <f>SUM(G51:G61)</f>
        <v>-508.22000000000037</v>
      </c>
      <c r="H63" s="145">
        <f>SUM(H51:H61)</f>
        <v>-923.67000000000019</v>
      </c>
    </row>
    <row r="65" spans="2:10" x14ac:dyDescent="0.25">
      <c r="B65" s="293" t="s">
        <v>117</v>
      </c>
      <c r="C65" s="293"/>
      <c r="D65" s="293"/>
      <c r="E65" s="293"/>
      <c r="F65" s="293"/>
      <c r="G65" s="293"/>
      <c r="H65" s="293"/>
    </row>
    <row r="67" spans="2:10" x14ac:dyDescent="0.25">
      <c r="B67" t="s">
        <v>118</v>
      </c>
      <c r="D67" s="4"/>
      <c r="E67" s="4"/>
      <c r="F67" s="4"/>
      <c r="G67" s="4"/>
      <c r="H67" s="4"/>
    </row>
    <row r="68" spans="2:10" x14ac:dyDescent="0.25">
      <c r="B68" t="s">
        <v>119</v>
      </c>
      <c r="D68" s="144">
        <v>-0.26</v>
      </c>
      <c r="E68" s="144">
        <v>551.30999999999995</v>
      </c>
      <c r="F68" s="144">
        <v>46.31</v>
      </c>
      <c r="G68" s="144">
        <v>35.729999999999997</v>
      </c>
      <c r="H68" s="144">
        <v>93.49</v>
      </c>
      <c r="J68" s="4"/>
    </row>
    <row r="69" spans="2:10" x14ac:dyDescent="0.25">
      <c r="B69" t="s">
        <v>120</v>
      </c>
      <c r="D69" s="144"/>
      <c r="E69" s="144"/>
      <c r="F69" s="144">
        <v>173.27</v>
      </c>
      <c r="G69" s="144"/>
      <c r="H69" s="144"/>
      <c r="J69" s="4"/>
    </row>
    <row r="70" spans="2:10" x14ac:dyDescent="0.25">
      <c r="B70" t="s">
        <v>132</v>
      </c>
      <c r="D70" s="144"/>
      <c r="E70" s="144">
        <v>-300.89999999999998</v>
      </c>
      <c r="F70" s="144"/>
      <c r="G70" s="144">
        <v>-0.05</v>
      </c>
      <c r="H70" s="144"/>
      <c r="J70" s="4"/>
    </row>
    <row r="71" spans="2:10" x14ac:dyDescent="0.25">
      <c r="B71" t="s">
        <v>121</v>
      </c>
      <c r="D71" s="144"/>
      <c r="E71" s="144"/>
      <c r="F71" s="144">
        <v>-173.27</v>
      </c>
      <c r="G71" s="144"/>
      <c r="H71" s="144"/>
      <c r="J71" s="4"/>
    </row>
    <row r="72" spans="2:10" x14ac:dyDescent="0.25">
      <c r="B72" t="s">
        <v>122</v>
      </c>
      <c r="D72" s="144">
        <v>-248.88</v>
      </c>
      <c r="E72" s="144">
        <v>-246.25</v>
      </c>
      <c r="F72" s="144">
        <v>-358.72</v>
      </c>
      <c r="G72" s="144">
        <v>-309.39999999999998</v>
      </c>
      <c r="H72" s="144">
        <v>-133.88</v>
      </c>
      <c r="J72" s="4"/>
    </row>
    <row r="73" spans="2:10" x14ac:dyDescent="0.25">
      <c r="B73" t="s">
        <v>123</v>
      </c>
      <c r="D73" s="144">
        <v>-35.54</v>
      </c>
      <c r="E73" s="144">
        <v>-42.72</v>
      </c>
      <c r="F73" s="144">
        <v>-39.26</v>
      </c>
      <c r="G73" s="144">
        <v>-78.27</v>
      </c>
      <c r="H73" s="144">
        <v>-113.59</v>
      </c>
      <c r="J73" s="4"/>
    </row>
    <row r="74" spans="2:10" x14ac:dyDescent="0.25">
      <c r="B74" t="s">
        <v>124</v>
      </c>
      <c r="D74" s="144">
        <v>-87.24</v>
      </c>
      <c r="E74" s="144">
        <v>-69.42</v>
      </c>
      <c r="F74" s="144">
        <v>-139.74</v>
      </c>
      <c r="G74" s="144">
        <v>-277.45999999999998</v>
      </c>
      <c r="H74" s="144">
        <v>-539.69000000000005</v>
      </c>
      <c r="J74" s="4"/>
    </row>
    <row r="75" spans="2:10" x14ac:dyDescent="0.25">
      <c r="D75" s="4"/>
      <c r="E75" s="4"/>
      <c r="F75" s="4"/>
      <c r="G75" s="4"/>
      <c r="H75" s="4"/>
    </row>
    <row r="76" spans="2:10" x14ac:dyDescent="0.25">
      <c r="B76" s="5" t="s">
        <v>125</v>
      </c>
      <c r="C76" s="5"/>
      <c r="D76" s="145">
        <f>SUM(D67:D74)</f>
        <v>-371.92</v>
      </c>
      <c r="E76" s="145">
        <f>SUM(E67:E74)</f>
        <v>-107.98000000000003</v>
      </c>
      <c r="F76" s="145">
        <f>SUM(F67:F74)</f>
        <v>-491.41</v>
      </c>
      <c r="G76" s="145">
        <f>SUM(G67:G74)</f>
        <v>-629.44999999999993</v>
      </c>
      <c r="H76" s="145">
        <f>SUM(H67:H74)</f>
        <v>-693.67000000000007</v>
      </c>
      <c r="J76" s="11"/>
    </row>
    <row r="78" spans="2:10" x14ac:dyDescent="0.25">
      <c r="B78" s="5" t="s">
        <v>126</v>
      </c>
      <c r="C78" s="9"/>
      <c r="D78" s="145">
        <v>0</v>
      </c>
      <c r="E78" s="145">
        <v>0</v>
      </c>
      <c r="F78" s="145">
        <v>0.01</v>
      </c>
      <c r="G78" s="145">
        <v>0.01</v>
      </c>
      <c r="H78" s="145">
        <v>-0.04</v>
      </c>
    </row>
    <row r="79" spans="2:10" x14ac:dyDescent="0.25">
      <c r="B79" t="s">
        <v>127</v>
      </c>
      <c r="D79" s="144">
        <f>D47+D63+D76+D78</f>
        <v>17.570000000000164</v>
      </c>
      <c r="E79" s="144">
        <f>E47+E63+E76+E78</f>
        <v>6.5300000000001717</v>
      </c>
      <c r="F79" s="144">
        <f>F47+F63+F76+F78</f>
        <v>0.83999999999998409</v>
      </c>
      <c r="G79" s="144">
        <f>G47+G63+G76+G78</f>
        <v>211.31999999999971</v>
      </c>
      <c r="H79" s="144">
        <f>H47+H63+H76+H78</f>
        <v>43.519999999999605</v>
      </c>
    </row>
    <row r="80" spans="2:10" x14ac:dyDescent="0.25">
      <c r="B80" t="s">
        <v>128</v>
      </c>
      <c r="D80" s="144">
        <v>56</v>
      </c>
      <c r="E80" s="144">
        <f>D82</f>
        <v>75.630000000000166</v>
      </c>
      <c r="F80" s="144">
        <v>82.39</v>
      </c>
      <c r="G80" s="144">
        <f>F82</f>
        <v>83.22999999999999</v>
      </c>
      <c r="H80" s="144">
        <f>G82</f>
        <v>294.54999999999973</v>
      </c>
      <c r="I80" t="s">
        <v>135</v>
      </c>
    </row>
    <row r="81" spans="2:8" x14ac:dyDescent="0.25">
      <c r="B81" t="s">
        <v>129</v>
      </c>
      <c r="D81" s="144">
        <v>2.06</v>
      </c>
      <c r="E81" s="144">
        <v>0</v>
      </c>
      <c r="F81" s="144">
        <v>0</v>
      </c>
      <c r="G81" s="144">
        <v>0</v>
      </c>
      <c r="H81" s="144">
        <v>0.4</v>
      </c>
    </row>
    <row r="82" spans="2:8" ht="15.75" thickBot="1" x14ac:dyDescent="0.3">
      <c r="B82" s="10" t="s">
        <v>130</v>
      </c>
      <c r="C82" s="10"/>
      <c r="D82" s="118">
        <f>SUM(D79:D81)</f>
        <v>75.630000000000166</v>
      </c>
      <c r="E82" s="118">
        <f>SUM(E79:E81)</f>
        <v>82.160000000000338</v>
      </c>
      <c r="F82" s="118">
        <f>SUM(F79:F81)</f>
        <v>83.22999999999999</v>
      </c>
      <c r="G82" s="118">
        <f>SUM(G79:G81)</f>
        <v>294.54999999999973</v>
      </c>
      <c r="H82" s="118">
        <f>SUM(H79:H81)</f>
        <v>338.46999999999929</v>
      </c>
    </row>
    <row r="84" spans="2:8" x14ac:dyDescent="0.25">
      <c r="B84" s="56"/>
      <c r="C84" s="56"/>
      <c r="D84" s="56"/>
      <c r="E84" s="56"/>
      <c r="F84" s="56"/>
      <c r="G84" s="56"/>
      <c r="H84" s="56"/>
    </row>
    <row r="86" spans="2:8" x14ac:dyDescent="0.25">
      <c r="D86" s="32"/>
      <c r="E86" s="32"/>
      <c r="F86" s="32"/>
      <c r="G86" s="32"/>
      <c r="H86" s="32"/>
    </row>
  </sheetData>
  <mergeCells count="3">
    <mergeCell ref="B9:H9"/>
    <mergeCell ref="B49:H49"/>
    <mergeCell ref="B65:H6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45"/>
  <sheetViews>
    <sheetView showGridLines="0" topLeftCell="A35" workbookViewId="0">
      <selection activeCell="B45" sqref="B45:R45"/>
    </sheetView>
  </sheetViews>
  <sheetFormatPr defaultRowHeight="15" x14ac:dyDescent="0.25"/>
  <cols>
    <col min="1" max="1" width="1.85546875" customWidth="1"/>
    <col min="2" max="2" width="81.140625" bestFit="1" customWidth="1"/>
  </cols>
  <sheetData>
    <row r="7" spans="2:18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2:18" x14ac:dyDescent="0.25">
      <c r="B8" s="119" t="s">
        <v>326</v>
      </c>
      <c r="C8" s="142"/>
      <c r="D8" s="143" t="s">
        <v>162</v>
      </c>
      <c r="E8" s="143" t="s">
        <v>162</v>
      </c>
      <c r="F8" s="143" t="s">
        <v>162</v>
      </c>
      <c r="G8" s="143" t="s">
        <v>162</v>
      </c>
      <c r="H8" s="143" t="s">
        <v>162</v>
      </c>
      <c r="I8" s="143" t="s">
        <v>167</v>
      </c>
      <c r="J8" s="143" t="s">
        <v>167</v>
      </c>
      <c r="K8" s="143" t="s">
        <v>167</v>
      </c>
      <c r="L8" s="143" t="s">
        <v>167</v>
      </c>
      <c r="M8" s="143" t="s">
        <v>167</v>
      </c>
      <c r="N8" s="143" t="s">
        <v>167</v>
      </c>
      <c r="O8" s="143" t="s">
        <v>167</v>
      </c>
      <c r="P8" s="143" t="s">
        <v>167</v>
      </c>
      <c r="Q8" s="143" t="s">
        <v>167</v>
      </c>
      <c r="R8" s="143" t="s">
        <v>167</v>
      </c>
    </row>
    <row r="10" spans="2:18" x14ac:dyDescent="0.25">
      <c r="B10" s="293" t="s">
        <v>75</v>
      </c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</row>
    <row r="11" spans="2:18" x14ac:dyDescent="0.25">
      <c r="B11" s="1"/>
    </row>
    <row r="12" spans="2:18" x14ac:dyDescent="0.25">
      <c r="B12" t="s">
        <v>235</v>
      </c>
      <c r="D12" s="116">
        <f>'income statement'!D27+'income statement'!D25-'income statement'!D22+'Historical Cashflow statement'!D45</f>
        <v>-204.95000000000005</v>
      </c>
      <c r="E12" s="116">
        <f>'income statement'!E27+'income statement'!E25-'income statement'!E22+'Historical Cashflow statement'!E45</f>
        <v>57.020000000000366</v>
      </c>
      <c r="F12" s="116">
        <f>'income statement'!F27+'income statement'!F25-'income statement'!F22+'Historical Cashflow statement'!F45</f>
        <v>364.14000000000055</v>
      </c>
      <c r="G12" s="116">
        <f>'income statement'!G27+'income statement'!G25-'income statement'!G22+'Historical Cashflow statement'!G45</f>
        <v>1045.8699999999985</v>
      </c>
      <c r="H12" s="116">
        <f>'income statement'!H27+'income statement'!H25-'income statement'!H22+'Historical Cashflow statement'!H45</f>
        <v>1535.650000000001</v>
      </c>
      <c r="I12" s="116">
        <f>'income statement'!I27</f>
        <v>2935.2070377739437</v>
      </c>
      <c r="J12" s="116">
        <f>'income statement'!J27</f>
        <v>4650.8507586826072</v>
      </c>
      <c r="K12" s="116">
        <f>'income statement'!K27</f>
        <v>6869.3467081565941</v>
      </c>
      <c r="L12" s="116">
        <f>'income statement'!L27</f>
        <v>9590.6099379635943</v>
      </c>
      <c r="M12" s="116">
        <f>'income statement'!M27</f>
        <v>12774.886263760416</v>
      </c>
      <c r="N12" s="116">
        <f>'income statement'!N27</f>
        <v>16348.01919554909</v>
      </c>
      <c r="O12" s="116">
        <f>'income statement'!O27</f>
        <v>20211.629052020904</v>
      </c>
      <c r="P12" s="116">
        <f>'income statement'!P27</f>
        <v>24255.322616675701</v>
      </c>
      <c r="Q12" s="116">
        <f>'income statement'!Q27</f>
        <v>28368.221177215208</v>
      </c>
      <c r="R12" s="116">
        <f>'income statement'!R27</f>
        <v>32448.390697330611</v>
      </c>
    </row>
    <row r="13" spans="2:18" x14ac:dyDescent="0.25">
      <c r="B13" s="1" t="s">
        <v>77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</row>
    <row r="14" spans="2:18" x14ac:dyDescent="0.25">
      <c r="B14" t="s">
        <v>230</v>
      </c>
      <c r="D14" s="116">
        <f>'income statement'!D17</f>
        <v>257.3</v>
      </c>
      <c r="E14" s="116">
        <f>'income statement'!E17</f>
        <v>310.82</v>
      </c>
      <c r="F14" s="116">
        <f>'income statement'!F17</f>
        <v>493.69</v>
      </c>
      <c r="G14" s="116">
        <f>'income statement'!G17</f>
        <v>671.11</v>
      </c>
      <c r="H14" s="116">
        <f>'income statement'!H17</f>
        <v>895.18</v>
      </c>
      <c r="I14" s="116">
        <f>'income statement'!I17</f>
        <v>525.60199999999986</v>
      </c>
      <c r="J14" s="116">
        <f>'income statement'!J17</f>
        <v>525.60199999999986</v>
      </c>
      <c r="K14" s="116">
        <f>'income statement'!K17</f>
        <v>525.60199999999986</v>
      </c>
      <c r="L14" s="116">
        <f>'income statement'!L17</f>
        <v>525.62903999999992</v>
      </c>
      <c r="M14" s="116">
        <f>'income statement'!M17</f>
        <v>525.62903999999992</v>
      </c>
      <c r="N14" s="116">
        <f>'income statement'!N17</f>
        <v>525.62903999999992</v>
      </c>
      <c r="O14" s="116">
        <f>'income statement'!O17</f>
        <v>525.65716159999988</v>
      </c>
      <c r="P14" s="116">
        <f>'income statement'!P17</f>
        <v>525.65716159999988</v>
      </c>
      <c r="Q14" s="116">
        <f>'income statement'!Q17</f>
        <v>525.65716159999988</v>
      </c>
      <c r="R14" s="116">
        <f>'income statement'!R17</f>
        <v>525.68640806399992</v>
      </c>
    </row>
    <row r="15" spans="2:18" x14ac:dyDescent="0.25">
      <c r="B15" s="22" t="s">
        <v>231</v>
      </c>
      <c r="D15" s="116">
        <f>SUM('Historical Cashflow statement'!D14:D31)</f>
        <v>215.22999999999996</v>
      </c>
      <c r="E15" s="116">
        <f>SUM('Historical Cashflow statement'!E14:E31)</f>
        <v>119.97999999999995</v>
      </c>
      <c r="F15" s="116">
        <f>SUM('Historical Cashflow statement'!F14:F31)</f>
        <v>30.20999999999994</v>
      </c>
      <c r="G15" s="116">
        <f>SUM('Historical Cashflow statement'!G14:G31)</f>
        <v>-96.500000000000028</v>
      </c>
      <c r="H15" s="116">
        <f>SUM('Historical Cashflow statement'!H14:H31)</f>
        <v>-202.24</v>
      </c>
      <c r="I15" s="116">
        <f>-'income statement'!I20+'income statement'!I21</f>
        <v>893.67833568843753</v>
      </c>
      <c r="J15" s="116">
        <f>-'income statement'!J20+'income statement'!J21</f>
        <v>1359.5457897540575</v>
      </c>
      <c r="K15" s="116">
        <f>-'income statement'!K20+'income statement'!K21</f>
        <v>1961.9581946378337</v>
      </c>
      <c r="L15" s="116">
        <f>-'income statement'!L20+'income statement'!L21</f>
        <v>2700.8974556302596</v>
      </c>
      <c r="M15" s="116">
        <f>-'income statement'!M20+'income statement'!M21</f>
        <v>3565.5587409900813</v>
      </c>
      <c r="N15" s="116">
        <f>-'income statement'!N20+'income statement'!N21</f>
        <v>4535.8105022874606</v>
      </c>
      <c r="O15" s="116">
        <f>-'income statement'!O20+'income statement'!O21</f>
        <v>5584.9438026137641</v>
      </c>
      <c r="P15" s="116">
        <f>-'income statement'!P20+'income statement'!P21</f>
        <v>6682.9720255069942</v>
      </c>
      <c r="Q15" s="116">
        <f>-'income statement'!Q20+'income statement'!Q21</f>
        <v>7799.7922358324058</v>
      </c>
      <c r="R15" s="116">
        <f>-'income statement'!R20+'income statement'!R21</f>
        <v>8907.7305507406782</v>
      </c>
    </row>
    <row r="16" spans="2:18" x14ac:dyDescent="0.25">
      <c r="B16" t="s">
        <v>232</v>
      </c>
      <c r="D16" s="116">
        <f>'Working Capital Build-up'!D38</f>
        <v>106.26</v>
      </c>
      <c r="E16" s="116">
        <f>'Working Capital Build-up'!E38</f>
        <v>-429.33999999999992</v>
      </c>
      <c r="F16" s="116">
        <f>'Working Capital Build-up'!F38</f>
        <v>-293.15999999999997</v>
      </c>
      <c r="G16" s="116">
        <f>'Working Capital Build-up'!G38</f>
        <v>-271.49999999999994</v>
      </c>
      <c r="H16" s="116">
        <f>'Working Capital Build-up'!H38</f>
        <v>-567.69000000000005</v>
      </c>
      <c r="I16" s="116">
        <f>'Working Capital Build-up'!I38</f>
        <v>-1093.7566853836238</v>
      </c>
      <c r="J16" s="116">
        <f>'Working Capital Build-up'!J38</f>
        <v>-1185.1923461388906</v>
      </c>
      <c r="K16" s="116">
        <f>'Working Capital Build-up'!K38</f>
        <v>-1532.5701876285329</v>
      </c>
      <c r="L16" s="116">
        <f>'Working Capital Build-up'!L38</f>
        <v>-1879.9019951850796</v>
      </c>
      <c r="M16" s="116">
        <f>'Working Capital Build-up'!M38</f>
        <v>-2199.7457183749311</v>
      </c>
      <c r="N16" s="116">
        <f>'Working Capital Build-up'!N38</f>
        <v>-2468.3736785687906</v>
      </c>
      <c r="O16" s="116">
        <f>'Working Capital Build-up'!O38</f>
        <v>-2669.0526388456983</v>
      </c>
      <c r="P16" s="116">
        <f>'Working Capital Build-up'!P38</f>
        <v>-2793.4440027103492</v>
      </c>
      <c r="Q16" s="116">
        <f>'Working Capital Build-up'!Q38</f>
        <v>-2841.2518490816547</v>
      </c>
      <c r="R16" s="116">
        <f>'Working Capital Build-up'!R38</f>
        <v>-2818.6558201559692</v>
      </c>
    </row>
    <row r="17" spans="2:18" x14ac:dyDescent="0.25"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</row>
    <row r="18" spans="2:18" x14ac:dyDescent="0.25">
      <c r="B18" s="5" t="s">
        <v>242</v>
      </c>
      <c r="C18" s="5"/>
      <c r="D18" s="145">
        <f>SUM(D12:D16)</f>
        <v>373.83999999999992</v>
      </c>
      <c r="E18" s="145">
        <f t="shared" ref="E18:R18" si="1">SUM(E12:E16)</f>
        <v>58.480000000000416</v>
      </c>
      <c r="F18" s="145">
        <f t="shared" si="1"/>
        <v>594.88000000000056</v>
      </c>
      <c r="G18" s="145">
        <f t="shared" si="1"/>
        <v>1348.9799999999987</v>
      </c>
      <c r="H18" s="145">
        <f t="shared" si="1"/>
        <v>1660.900000000001</v>
      </c>
      <c r="I18" s="145">
        <f t="shared" si="1"/>
        <v>3260.7306880787578</v>
      </c>
      <c r="J18" s="145">
        <f t="shared" si="1"/>
        <v>5350.8062022977738</v>
      </c>
      <c r="K18" s="145">
        <f t="shared" si="1"/>
        <v>7824.3367151658949</v>
      </c>
      <c r="L18" s="145">
        <f t="shared" si="1"/>
        <v>10937.234438408774</v>
      </c>
      <c r="M18" s="145">
        <f t="shared" si="1"/>
        <v>14666.328326375566</v>
      </c>
      <c r="N18" s="145">
        <f t="shared" si="1"/>
        <v>18941.085059267763</v>
      </c>
      <c r="O18" s="145">
        <f t="shared" si="1"/>
        <v>23653.177377388973</v>
      </c>
      <c r="P18" s="145">
        <f t="shared" si="1"/>
        <v>28670.507801072348</v>
      </c>
      <c r="Q18" s="145">
        <f t="shared" si="1"/>
        <v>33852.418725565964</v>
      </c>
      <c r="R18" s="145">
        <f t="shared" si="1"/>
        <v>39063.151835979319</v>
      </c>
    </row>
    <row r="19" spans="2:18" x14ac:dyDescent="0.25"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2:18" x14ac:dyDescent="0.25">
      <c r="B20" s="293" t="s">
        <v>105</v>
      </c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</row>
    <row r="21" spans="2:18" x14ac:dyDescent="0.25">
      <c r="B21" s="1"/>
      <c r="D21" s="33"/>
      <c r="E21" s="50"/>
      <c r="F21" s="50"/>
      <c r="G21" s="50"/>
      <c r="H21" s="50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2:18" x14ac:dyDescent="0.25">
      <c r="B22" s="22" t="s">
        <v>236</v>
      </c>
      <c r="D22" s="116">
        <f>'Historical Cashflow statement'!D51</f>
        <v>-113.36</v>
      </c>
      <c r="E22" s="116">
        <f>'Historical Cashflow statement'!E51</f>
        <v>-270.92</v>
      </c>
      <c r="F22" s="116">
        <f>'Historical Cashflow statement'!F51</f>
        <v>-503.4</v>
      </c>
      <c r="G22" s="116">
        <f>'Historical Cashflow statement'!G51</f>
        <v>-736.95</v>
      </c>
      <c r="H22" s="116">
        <f>'Historical Cashflow statement'!H51</f>
        <v>-1268.19</v>
      </c>
      <c r="I22" s="116">
        <f>H22*1.2</f>
        <v>-1521.828</v>
      </c>
      <c r="J22" s="116">
        <f t="shared" ref="J22:R22" si="2">I22*1.1</f>
        <v>-1674.0108</v>
      </c>
      <c r="K22" s="116">
        <f t="shared" si="2"/>
        <v>-1841.4118800000001</v>
      </c>
      <c r="L22" s="116">
        <f t="shared" si="2"/>
        <v>-2025.5530680000004</v>
      </c>
      <c r="M22" s="116">
        <f t="shared" si="2"/>
        <v>-2228.1083748000005</v>
      </c>
      <c r="N22" s="116">
        <f t="shared" si="2"/>
        <v>-2450.9192122800009</v>
      </c>
      <c r="O22" s="116">
        <f t="shared" si="2"/>
        <v>-2696.0111335080014</v>
      </c>
      <c r="P22" s="116">
        <f t="shared" si="2"/>
        <v>-2965.6122468588019</v>
      </c>
      <c r="Q22" s="116">
        <f t="shared" si="2"/>
        <v>-3262.1734715446823</v>
      </c>
      <c r="R22" s="116">
        <f t="shared" si="2"/>
        <v>-3588.3908186991507</v>
      </c>
    </row>
    <row r="23" spans="2:18" x14ac:dyDescent="0.25">
      <c r="B23" s="22" t="s">
        <v>237</v>
      </c>
      <c r="D23" s="116">
        <f>'Historical Cashflow statement'!D52</f>
        <v>22.34</v>
      </c>
      <c r="E23" s="116">
        <f>'Historical Cashflow statement'!E52</f>
        <v>60.82</v>
      </c>
      <c r="F23" s="116">
        <f>'Historical Cashflow statement'!F52</f>
        <v>279.91000000000003</v>
      </c>
      <c r="G23" s="116">
        <f>'Historical Cashflow statement'!G52</f>
        <v>343.21</v>
      </c>
      <c r="H23" s="116">
        <f>'Historical Cashflow statement'!H52</f>
        <v>406.52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16">
        <v>0</v>
      </c>
      <c r="P23" s="116">
        <v>0</v>
      </c>
      <c r="Q23" s="116">
        <v>0</v>
      </c>
      <c r="R23" s="116">
        <v>0</v>
      </c>
    </row>
    <row r="24" spans="2:18" x14ac:dyDescent="0.25">
      <c r="B24" s="22" t="s">
        <v>238</v>
      </c>
      <c r="D24" s="116">
        <f>'Historical Cashflow statement'!D53+'Historical Cashflow statement'!D54+'Historical Cashflow statement'!D58+'Historical Cashflow statement'!D61</f>
        <v>94.960000000000036</v>
      </c>
      <c r="E24" s="116">
        <f>'Historical Cashflow statement'!E53+'Historical Cashflow statement'!E54+'Historical Cashflow statement'!E58+'Historical Cashflow statement'!E61</f>
        <v>142.11000000000013</v>
      </c>
      <c r="F24" s="116">
        <f>'Historical Cashflow statement'!F53+'Historical Cashflow statement'!F54+'Historical Cashflow statement'!F58+'Historical Cashflow statement'!F61</f>
        <v>-45.049999999999955</v>
      </c>
      <c r="G24" s="116">
        <f>'Historical Cashflow statement'!G53+'Historical Cashflow statement'!G54+'Historical Cashflow statement'!G58+'Historical Cashflow statement'!G61</f>
        <v>-191.74000000000009</v>
      </c>
      <c r="H24" s="116">
        <f>'Historical Cashflow statement'!H53+'Historical Cashflow statement'!H54+'Historical Cashflow statement'!H58+'Historical Cashflow statement'!H61</f>
        <v>-69.249999999999687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</row>
    <row r="25" spans="2:18" x14ac:dyDescent="0.25">
      <c r="B25" t="s">
        <v>239</v>
      </c>
      <c r="D25" s="116">
        <f>'Historical Cashflow statement'!D59+'Historical Cashflow statement'!D60</f>
        <v>4.84</v>
      </c>
      <c r="E25" s="116">
        <f>'Historical Cashflow statement'!E59+'Historical Cashflow statement'!E60</f>
        <v>109.02</v>
      </c>
      <c r="F25" s="116">
        <f>'Historical Cashflow statement'!F59+'Historical Cashflow statement'!F60</f>
        <v>148.20000000000002</v>
      </c>
      <c r="G25" s="116">
        <f>'Historical Cashflow statement'!G59+'Historical Cashflow statement'!G60</f>
        <v>74.899999999999991</v>
      </c>
      <c r="H25" s="116">
        <f>'Historical Cashflow statement'!H59+'Historical Cashflow statement'!H60</f>
        <v>1.44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6">
        <v>0</v>
      </c>
      <c r="Q25" s="116">
        <v>0</v>
      </c>
      <c r="R25" s="116">
        <v>0</v>
      </c>
    </row>
    <row r="26" spans="2:18" x14ac:dyDescent="0.25">
      <c r="B26" t="s">
        <v>112</v>
      </c>
      <c r="D26" s="116">
        <f>'Historical Cashflow statement'!D57</f>
        <v>20.82</v>
      </c>
      <c r="E26" s="116">
        <f>'Historical Cashflow statement'!E57</f>
        <v>15</v>
      </c>
      <c r="F26" s="116">
        <f>'Historical Cashflow statement'!F57</f>
        <v>7.7</v>
      </c>
      <c r="G26" s="116">
        <f>'Historical Cashflow statement'!G57</f>
        <v>2.36</v>
      </c>
      <c r="H26" s="116">
        <f>'Historical Cashflow statement'!H57</f>
        <v>5.81</v>
      </c>
      <c r="I26" s="116">
        <f>'income statement'!I21</f>
        <v>1019.9693216247924</v>
      </c>
      <c r="J26" s="116">
        <f>'income statement'!J21</f>
        <v>1551.6712686394708</v>
      </c>
      <c r="K26" s="116">
        <f>'income statement'!K21</f>
        <v>2239.2141433073843</v>
      </c>
      <c r="L26" s="116">
        <f>'income statement'!L21</f>
        <v>3082.5772938483083</v>
      </c>
      <c r="M26" s="116">
        <f>'income statement'!M21</f>
        <v>4069.4289936652149</v>
      </c>
      <c r="N26" s="116">
        <f>'income statement'!N21</f>
        <v>5176.7927858213679</v>
      </c>
      <c r="O26" s="116">
        <f>'income statement'!O21</f>
        <v>6374.1853351254413</v>
      </c>
      <c r="P26" s="116">
        <f>'income statement'!P21</f>
        <v>7627.3824384954542</v>
      </c>
      <c r="Q26" s="116">
        <f>'income statement'!Q21</f>
        <v>8902.0271364951604</v>
      </c>
      <c r="R26" s="116">
        <f>'income statement'!R21</f>
        <v>10166.534785758664</v>
      </c>
    </row>
    <row r="27" spans="2:18" x14ac:dyDescent="0.25">
      <c r="B27" t="s">
        <v>240</v>
      </c>
      <c r="D27" s="116">
        <f>'Historical Cashflow statement'!D55+'Historical Cashflow statement'!D56</f>
        <v>-13.95</v>
      </c>
      <c r="E27" s="116">
        <f>'Historical Cashflow statement'!E55+'Historical Cashflow statement'!E56</f>
        <v>0</v>
      </c>
      <c r="F27" s="116">
        <f>'Historical Cashflow statement'!F55+'Historical Cashflow statement'!F56</f>
        <v>10</v>
      </c>
      <c r="G27" s="116">
        <f>'Historical Cashflow statement'!G55+'Historical Cashflow statement'!G56</f>
        <v>0</v>
      </c>
      <c r="H27" s="116">
        <f>'Historical Cashflow statement'!H55+'Historical Cashflow statement'!H56</f>
        <v>0</v>
      </c>
      <c r="I27" s="116">
        <v>0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0</v>
      </c>
      <c r="P27" s="116">
        <v>0</v>
      </c>
      <c r="Q27" s="116">
        <v>0</v>
      </c>
      <c r="R27" s="116">
        <v>0</v>
      </c>
    </row>
    <row r="28" spans="2:18" x14ac:dyDescent="0.25"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2:18" x14ac:dyDescent="0.25">
      <c r="B29" s="5" t="s">
        <v>241</v>
      </c>
      <c r="C29" s="5"/>
      <c r="D29" s="145">
        <f>SUM(D22:D27)</f>
        <v>15.650000000000041</v>
      </c>
      <c r="E29" s="145">
        <f t="shared" ref="E29:R29" si="3">SUM(E22:E27)</f>
        <v>56.030000000000101</v>
      </c>
      <c r="F29" s="145">
        <f t="shared" si="3"/>
        <v>-102.63999999999989</v>
      </c>
      <c r="G29" s="145">
        <f t="shared" si="3"/>
        <v>-508.22000000000014</v>
      </c>
      <c r="H29" s="145">
        <f t="shared" si="3"/>
        <v>-923.66999999999973</v>
      </c>
      <c r="I29" s="145">
        <f t="shared" si="3"/>
        <v>-501.85867837520755</v>
      </c>
      <c r="J29" s="145">
        <f t="shared" si="3"/>
        <v>-122.33953136052924</v>
      </c>
      <c r="K29" s="145">
        <f t="shared" si="3"/>
        <v>397.80226330738424</v>
      </c>
      <c r="L29" s="145">
        <f t="shared" si="3"/>
        <v>1057.0242258483079</v>
      </c>
      <c r="M29" s="145">
        <f t="shared" si="3"/>
        <v>1841.3206188652143</v>
      </c>
      <c r="N29" s="145">
        <f t="shared" si="3"/>
        <v>2725.873573541367</v>
      </c>
      <c r="O29" s="145">
        <f t="shared" si="3"/>
        <v>3678.1742016174398</v>
      </c>
      <c r="P29" s="145">
        <f t="shared" si="3"/>
        <v>4661.7701916366523</v>
      </c>
      <c r="Q29" s="145">
        <f t="shared" si="3"/>
        <v>5639.8536649504786</v>
      </c>
      <c r="R29" s="145">
        <f t="shared" si="3"/>
        <v>6578.1439670595137</v>
      </c>
    </row>
    <row r="30" spans="2:18" x14ac:dyDescent="0.25"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2:18" x14ac:dyDescent="0.25">
      <c r="B31" s="293" t="s">
        <v>117</v>
      </c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</row>
    <row r="32" spans="2:18" x14ac:dyDescent="0.25"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2:18" x14ac:dyDescent="0.25">
      <c r="B33" s="22" t="s">
        <v>243</v>
      </c>
      <c r="D33" s="116">
        <f>'Historical Cashflow statement'!D69+'Historical Cashflow statement'!D70+'Historical Cashflow statement'!D71+'Historical Cashflow statement'!D74</f>
        <v>-87.24</v>
      </c>
      <c r="E33" s="116">
        <f>'Historical Cashflow statement'!E69+'Historical Cashflow statement'!E70+'Historical Cashflow statement'!E71+'Historical Cashflow statement'!E74</f>
        <v>-370.32</v>
      </c>
      <c r="F33" s="116">
        <f>'Historical Cashflow statement'!F69+'Historical Cashflow statement'!F71+'Historical Cashflow statement'!F74</f>
        <v>-139.74</v>
      </c>
      <c r="G33" s="116">
        <f>'Historical Cashflow statement'!G69+'Historical Cashflow statement'!G70+'Historical Cashflow statement'!G71+'Historical Cashflow statement'!G74</f>
        <v>-277.51</v>
      </c>
      <c r="H33" s="116">
        <f>'Historical Cashflow statement'!H69+'Historical Cashflow statement'!H70+'Historical Cashflow statement'!H71+'Historical Cashflow statement'!H74</f>
        <v>-539.69000000000005</v>
      </c>
      <c r="I33" s="116"/>
      <c r="J33" s="116"/>
      <c r="K33" s="116"/>
      <c r="L33" s="116"/>
      <c r="M33" s="116"/>
      <c r="N33" s="116"/>
      <c r="O33" s="116"/>
      <c r="P33" s="116"/>
      <c r="Q33" s="116"/>
      <c r="R33" s="116"/>
    </row>
    <row r="34" spans="2:18" x14ac:dyDescent="0.25">
      <c r="B34" s="22" t="s">
        <v>244</v>
      </c>
      <c r="D34" s="116">
        <f>'Historical Cashflow statement'!D68+'Historical Cashflow statement'!D69</f>
        <v>-0.26</v>
      </c>
      <c r="E34" s="116">
        <f>'Historical Cashflow statement'!E68+'Historical Cashflow statement'!E69</f>
        <v>551.30999999999995</v>
      </c>
      <c r="F34" s="116">
        <f>'Historical Cashflow statement'!F68</f>
        <v>46.31</v>
      </c>
      <c r="G34" s="116">
        <f>'Historical Cashflow statement'!G68+'Historical Cashflow statement'!G69</f>
        <v>35.729999999999997</v>
      </c>
      <c r="H34" s="116">
        <f>'Historical Cashflow statement'!H68+'Historical Cashflow statement'!H69</f>
        <v>93.49</v>
      </c>
      <c r="I34" s="116"/>
      <c r="J34" s="116"/>
      <c r="K34" s="116"/>
      <c r="L34" s="116"/>
      <c r="M34" s="116"/>
      <c r="N34" s="116"/>
      <c r="O34" s="116"/>
      <c r="P34" s="116"/>
      <c r="Q34" s="116"/>
      <c r="R34" s="116"/>
    </row>
    <row r="35" spans="2:18" x14ac:dyDescent="0.25">
      <c r="B35" s="22" t="s">
        <v>245</v>
      </c>
      <c r="D35" s="116">
        <f>'Historical Cashflow statement'!D73</f>
        <v>-35.54</v>
      </c>
      <c r="E35" s="116">
        <f>'Historical Cashflow statement'!E73</f>
        <v>-42.72</v>
      </c>
      <c r="F35" s="116">
        <f>'Historical Cashflow statement'!F73</f>
        <v>-39.26</v>
      </c>
      <c r="G35" s="116">
        <f>'Historical Cashflow statement'!G73</f>
        <v>-78.27</v>
      </c>
      <c r="H35" s="116">
        <f>'Historical Cashflow statement'!H73</f>
        <v>-113.59</v>
      </c>
      <c r="I35" s="116">
        <f>'income statement'!I30</f>
        <v>-217.28883898093866</v>
      </c>
      <c r="J35" s="116">
        <f>'income statement'!J30</f>
        <v>-344.29529114041037</v>
      </c>
      <c r="K35" s="116">
        <f>'income statement'!K30</f>
        <v>-508.52711633755456</v>
      </c>
      <c r="L35" s="116">
        <f>'income statement'!L30</f>
        <v>-709.97802598606893</v>
      </c>
      <c r="M35" s="116">
        <f>'income statement'!M30</f>
        <v>-945.70507928164238</v>
      </c>
      <c r="N35" s="116">
        <f>'income statement'!N30</f>
        <v>-1210.2185859205949</v>
      </c>
      <c r="O35" s="116">
        <f>'income statement'!O30</f>
        <v>-1496.235650197179</v>
      </c>
      <c r="P35" s="116">
        <f>'income statement'!P30</f>
        <v>-1795.5840329691487</v>
      </c>
      <c r="Q35" s="116">
        <f>'income statement'!Q30</f>
        <v>-2100.0555545909333</v>
      </c>
      <c r="R35" s="116">
        <f>'income statement'!R30</f>
        <v>-2402.1041959513964</v>
      </c>
    </row>
    <row r="36" spans="2:18" x14ac:dyDescent="0.25">
      <c r="B36" s="22" t="s">
        <v>246</v>
      </c>
      <c r="D36" s="116">
        <f>'Historical Cashflow statement'!D72</f>
        <v>-248.88</v>
      </c>
      <c r="E36" s="116">
        <f>'Historical Cashflow statement'!E72</f>
        <v>-246.25</v>
      </c>
      <c r="F36" s="116">
        <f>'Historical Cashflow statement'!F72</f>
        <v>-358.72</v>
      </c>
      <c r="G36" s="116">
        <f>'Historical Cashflow statement'!G72</f>
        <v>-309.39999999999998</v>
      </c>
      <c r="H36" s="116">
        <f>'Historical Cashflow statement'!H72</f>
        <v>-133.88</v>
      </c>
      <c r="I36" s="116">
        <f>'income statement'!I20</f>
        <v>126.29098593635491</v>
      </c>
      <c r="J36" s="116">
        <f>'income statement'!J20</f>
        <v>192.12547888541332</v>
      </c>
      <c r="K36" s="116">
        <f>'income statement'!K20</f>
        <v>277.25594866955066</v>
      </c>
      <c r="L36" s="116">
        <f>'income statement'!L20</f>
        <v>381.6798382180487</v>
      </c>
      <c r="M36" s="116">
        <f>'income statement'!M20</f>
        <v>503.87025267513343</v>
      </c>
      <c r="N36" s="116">
        <f>'income statement'!N20</f>
        <v>640.98228353390755</v>
      </c>
      <c r="O36" s="116">
        <f>'income statement'!O20</f>
        <v>789.24153251167718</v>
      </c>
      <c r="P36" s="116">
        <f>'income statement'!P20</f>
        <v>944.41041298846028</v>
      </c>
      <c r="Q36" s="116">
        <f>'income statement'!Q20</f>
        <v>1102.2349006627544</v>
      </c>
      <c r="R36" s="116">
        <f>'income statement'!R20</f>
        <v>1258.8042350179855</v>
      </c>
    </row>
    <row r="37" spans="2:18" x14ac:dyDescent="0.25"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</row>
    <row r="38" spans="2:18" x14ac:dyDescent="0.25">
      <c r="B38" s="5" t="s">
        <v>247</v>
      </c>
      <c r="C38" s="5"/>
      <c r="D38" s="145">
        <f>SUM(D33:D36)</f>
        <v>-371.91999999999996</v>
      </c>
      <c r="E38" s="145">
        <f>SUM(E33:E36)</f>
        <v>-107.98000000000005</v>
      </c>
      <c r="F38" s="145">
        <f>SUM(F33:F36)</f>
        <v>-491.41</v>
      </c>
      <c r="G38" s="145">
        <f>SUM(G33:G36)</f>
        <v>-629.45000000000005</v>
      </c>
      <c r="H38" s="145">
        <f>SUM(H33:H36)</f>
        <v>-693.67000000000007</v>
      </c>
      <c r="I38" s="145">
        <f t="shared" ref="I38:R38" si="4">SUM(I33:I36)</f>
        <v>-90.997853044583749</v>
      </c>
      <c r="J38" s="145">
        <f t="shared" si="4"/>
        <v>-152.16981225499705</v>
      </c>
      <c r="K38" s="145">
        <f t="shared" si="4"/>
        <v>-231.2711676680039</v>
      </c>
      <c r="L38" s="145">
        <f t="shared" si="4"/>
        <v>-328.29818776802023</v>
      </c>
      <c r="M38" s="145">
        <f t="shared" si="4"/>
        <v>-441.83482660650895</v>
      </c>
      <c r="N38" s="145">
        <f t="shared" si="4"/>
        <v>-569.23630238668738</v>
      </c>
      <c r="O38" s="145">
        <f t="shared" si="4"/>
        <v>-706.99411768550181</v>
      </c>
      <c r="P38" s="145">
        <f t="shared" si="4"/>
        <v>-851.17361998068839</v>
      </c>
      <c r="Q38" s="145">
        <f t="shared" si="4"/>
        <v>-997.8206539281789</v>
      </c>
      <c r="R38" s="145">
        <f t="shared" si="4"/>
        <v>-1143.2999609334108</v>
      </c>
    </row>
    <row r="39" spans="2:18" x14ac:dyDescent="0.25"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pans="2:18" ht="0.75" customHeight="1" x14ac:dyDescent="0.25"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2:18" x14ac:dyDescent="0.25">
      <c r="B41" s="5" t="s">
        <v>248</v>
      </c>
      <c r="C41" s="5"/>
      <c r="D41" s="43">
        <f t="shared" ref="D41:R41" si="5">D38+D29+D18</f>
        <v>17.569999999999993</v>
      </c>
      <c r="E41" s="43">
        <f t="shared" si="5"/>
        <v>6.5300000000004701</v>
      </c>
      <c r="F41" s="43">
        <f t="shared" si="5"/>
        <v>0.83000000000060936</v>
      </c>
      <c r="G41" s="43">
        <f t="shared" si="5"/>
        <v>211.30999999999858</v>
      </c>
      <c r="H41" s="43">
        <f t="shared" si="5"/>
        <v>43.56000000000131</v>
      </c>
      <c r="I41" s="43">
        <f t="shared" si="5"/>
        <v>2667.8741566589665</v>
      </c>
      <c r="J41" s="43">
        <f t="shared" si="5"/>
        <v>5076.2968586822471</v>
      </c>
      <c r="K41" s="43">
        <f t="shared" si="5"/>
        <v>7990.8678108052754</v>
      </c>
      <c r="L41" s="43">
        <f t="shared" si="5"/>
        <v>11665.960476489061</v>
      </c>
      <c r="M41" s="43">
        <f t="shared" si="5"/>
        <v>16065.814118634271</v>
      </c>
      <c r="N41" s="43">
        <f t="shared" si="5"/>
        <v>21097.722330422443</v>
      </c>
      <c r="O41" s="43">
        <f t="shared" si="5"/>
        <v>26624.357461320909</v>
      </c>
      <c r="P41" s="43">
        <f t="shared" si="5"/>
        <v>32481.10437272831</v>
      </c>
      <c r="Q41" s="43">
        <f t="shared" si="5"/>
        <v>38494.451736588264</v>
      </c>
      <c r="R41" s="43">
        <f t="shared" si="5"/>
        <v>44497.995842105418</v>
      </c>
    </row>
    <row r="42" spans="2:18" x14ac:dyDescent="0.25">
      <c r="B42" t="s">
        <v>249</v>
      </c>
      <c r="D42" s="33">
        <f>SUM('Historical Cashflow statement'!D80:D81)</f>
        <v>58.06</v>
      </c>
      <c r="E42" s="33">
        <f>SUM('Historical Cashflow statement'!E80:E81)</f>
        <v>75.630000000000166</v>
      </c>
      <c r="F42" s="33">
        <f>SUM('Historical Cashflow statement'!F80:F81)</f>
        <v>82.39</v>
      </c>
      <c r="G42" s="33">
        <f>SUM('Historical Cashflow statement'!G80:G81)</f>
        <v>83.22999999999999</v>
      </c>
      <c r="H42" s="33">
        <f>SUM('Historical Cashflow statement'!H80:H81)</f>
        <v>294.9499999999997</v>
      </c>
      <c r="I42" s="33">
        <f>H43</f>
        <v>338.51000000000101</v>
      </c>
      <c r="J42" s="33">
        <f t="shared" ref="J42:R42" si="6">I43</f>
        <v>3006.3841566589676</v>
      </c>
      <c r="K42" s="33">
        <f t="shared" si="6"/>
        <v>8082.6810153412152</v>
      </c>
      <c r="L42" s="33">
        <f t="shared" si="6"/>
        <v>16073.548826146491</v>
      </c>
      <c r="M42" s="33">
        <f t="shared" si="6"/>
        <v>27739.509302635553</v>
      </c>
      <c r="N42" s="33">
        <f t="shared" si="6"/>
        <v>43805.323421269823</v>
      </c>
      <c r="O42" s="33">
        <f t="shared" si="6"/>
        <v>64903.045751692262</v>
      </c>
      <c r="P42" s="33">
        <f t="shared" si="6"/>
        <v>91527.403213013167</v>
      </c>
      <c r="Q42" s="33">
        <f t="shared" si="6"/>
        <v>124008.50758574148</v>
      </c>
      <c r="R42" s="33">
        <f t="shared" si="6"/>
        <v>162502.95932232973</v>
      </c>
    </row>
    <row r="43" spans="2:18" ht="15.75" thickBot="1" x14ac:dyDescent="0.3">
      <c r="B43" s="10" t="s">
        <v>250</v>
      </c>
      <c r="C43" s="10"/>
      <c r="D43" s="41">
        <f t="shared" ref="D43:R43" si="7">D41+D42+D40</f>
        <v>75.63</v>
      </c>
      <c r="E43" s="41">
        <f t="shared" si="7"/>
        <v>82.160000000000636</v>
      </c>
      <c r="F43" s="41">
        <f t="shared" si="7"/>
        <v>83.22000000000061</v>
      </c>
      <c r="G43" s="41">
        <f t="shared" si="7"/>
        <v>294.5399999999986</v>
      </c>
      <c r="H43" s="41">
        <f t="shared" si="7"/>
        <v>338.51000000000101</v>
      </c>
      <c r="I43" s="41">
        <f t="shared" si="7"/>
        <v>3006.3841566589676</v>
      </c>
      <c r="J43" s="41">
        <f t="shared" si="7"/>
        <v>8082.6810153412152</v>
      </c>
      <c r="K43" s="41">
        <f t="shared" si="7"/>
        <v>16073.548826146491</v>
      </c>
      <c r="L43" s="41">
        <f t="shared" si="7"/>
        <v>27739.509302635553</v>
      </c>
      <c r="M43" s="41">
        <f t="shared" si="7"/>
        <v>43805.323421269823</v>
      </c>
      <c r="N43" s="41">
        <f t="shared" si="7"/>
        <v>64903.045751692262</v>
      </c>
      <c r="O43" s="41">
        <f t="shared" si="7"/>
        <v>91527.403213013167</v>
      </c>
      <c r="P43" s="41">
        <f t="shared" si="7"/>
        <v>124008.50758574148</v>
      </c>
      <c r="Q43" s="41">
        <f t="shared" si="7"/>
        <v>162502.95932232973</v>
      </c>
      <c r="R43" s="41">
        <f t="shared" si="7"/>
        <v>207000.95516443514</v>
      </c>
    </row>
    <row r="45" spans="2:18" x14ac:dyDescent="0.25"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</sheetData>
  <mergeCells count="3">
    <mergeCell ref="B10:R10"/>
    <mergeCell ref="B20:R20"/>
    <mergeCell ref="B31:R31"/>
  </mergeCells>
  <pageMargins left="0.7" right="0.7" top="0.75" bottom="0.75" header="0.3" footer="0.3"/>
  <ignoredErrors>
    <ignoredError sqref="D15:H15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38"/>
  <sheetViews>
    <sheetView showGridLines="0" topLeftCell="C4" workbookViewId="0">
      <pane ySplit="5" topLeftCell="A26" activePane="bottomLeft" state="frozen"/>
      <selection activeCell="A4" sqref="A4"/>
      <selection pane="bottomLeft" activeCell="B38" sqref="B38:R38"/>
    </sheetView>
  </sheetViews>
  <sheetFormatPr defaultRowHeight="15" x14ac:dyDescent="0.25"/>
  <cols>
    <col min="1" max="1" width="1.85546875" customWidth="1"/>
    <col min="2" max="2" width="38.140625" bestFit="1" customWidth="1"/>
  </cols>
  <sheetData>
    <row r="7" spans="2:18" ht="15.75" thickBot="1" x14ac:dyDescent="0.3">
      <c r="B7" s="10" t="s">
        <v>0</v>
      </c>
      <c r="C7" s="10"/>
      <c r="D7" s="10">
        <v>2021</v>
      </c>
      <c r="E7" s="10">
        <f>D7+1</f>
        <v>2022</v>
      </c>
      <c r="F7" s="10">
        <f>E7+1</f>
        <v>2023</v>
      </c>
      <c r="G7" s="10">
        <f>F7+1</f>
        <v>2024</v>
      </c>
      <c r="H7" s="10">
        <f>G7+1</f>
        <v>2025</v>
      </c>
      <c r="I7" s="30">
        <f>H7+1</f>
        <v>2026</v>
      </c>
      <c r="J7" s="30">
        <f t="shared" ref="J7:R7" si="0">I7+1</f>
        <v>2027</v>
      </c>
      <c r="K7" s="30">
        <f t="shared" si="0"/>
        <v>2028</v>
      </c>
      <c r="L7" s="30">
        <f t="shared" si="0"/>
        <v>2029</v>
      </c>
      <c r="M7" s="30">
        <f t="shared" si="0"/>
        <v>2030</v>
      </c>
      <c r="N7" s="30">
        <f t="shared" si="0"/>
        <v>2031</v>
      </c>
      <c r="O7" s="30">
        <f t="shared" si="0"/>
        <v>2032</v>
      </c>
      <c r="P7" s="30">
        <f t="shared" si="0"/>
        <v>2033</v>
      </c>
      <c r="Q7" s="30">
        <f t="shared" si="0"/>
        <v>2034</v>
      </c>
      <c r="R7" s="30">
        <f t="shared" si="0"/>
        <v>2035</v>
      </c>
    </row>
    <row r="8" spans="2:18" x14ac:dyDescent="0.25"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167</v>
      </c>
      <c r="J8" s="19" t="s">
        <v>167</v>
      </c>
      <c r="K8" s="19" t="s">
        <v>167</v>
      </c>
      <c r="L8" s="19" t="s">
        <v>167</v>
      </c>
      <c r="M8" s="19" t="s">
        <v>167</v>
      </c>
      <c r="N8" s="19" t="s">
        <v>167</v>
      </c>
      <c r="O8" s="19" t="s">
        <v>167</v>
      </c>
      <c r="P8" s="19" t="s">
        <v>167</v>
      </c>
      <c r="Q8" s="19" t="s">
        <v>167</v>
      </c>
      <c r="R8" s="19" t="s">
        <v>167</v>
      </c>
    </row>
    <row r="10" spans="2:18" x14ac:dyDescent="0.25">
      <c r="B10" t="s">
        <v>161</v>
      </c>
      <c r="D10" s="37">
        <f>'Revenue Build-up'!D11</f>
        <v>2592.96</v>
      </c>
      <c r="E10" s="37">
        <f>'Revenue Build-up'!E11</f>
        <v>4498.0200000000004</v>
      </c>
      <c r="F10" s="37">
        <f>'Revenue Build-up'!F11</f>
        <v>8242.02</v>
      </c>
      <c r="G10" s="37">
        <f>'Revenue Build-up'!G11</f>
        <v>12375.109999999999</v>
      </c>
      <c r="H10" s="37">
        <f>'Revenue Build-up'!H11</f>
        <v>17134.61</v>
      </c>
      <c r="I10" s="37">
        <f>'Revenue Build-up'!I11</f>
        <v>27643.006218893781</v>
      </c>
      <c r="J10" s="37">
        <f>'Revenue Build-up'!J11</f>
        <v>42053.086910841746</v>
      </c>
      <c r="K10" s="37">
        <f>'Revenue Build-up'!K11</f>
        <v>60686.737509200357</v>
      </c>
      <c r="L10" s="37">
        <f>'Revenue Build-up'!L11</f>
        <v>83543.398313518745</v>
      </c>
      <c r="M10" s="37">
        <f>'Revenue Build-up'!M11</f>
        <v>110288.85731586289</v>
      </c>
      <c r="N10" s="37">
        <f>'Revenue Build-up'!N11</f>
        <v>140300.41113827375</v>
      </c>
      <c r="O10" s="37">
        <f>'Revenue Build-up'!O11</f>
        <v>172751.90647750869</v>
      </c>
      <c r="P10" s="37">
        <f>'Revenue Build-up'!P11</f>
        <v>206715.80577084492</v>
      </c>
      <c r="Q10" s="37">
        <f>'Revenue Build-up'!Q11</f>
        <v>241260.97351918186</v>
      </c>
      <c r="R10" s="37">
        <f>'Revenue Build-up'!R11</f>
        <v>275531.40898360097</v>
      </c>
    </row>
    <row r="13" spans="2:18" x14ac:dyDescent="0.25">
      <c r="B13" s="1" t="s">
        <v>146</v>
      </c>
    </row>
    <row r="14" spans="2:18" x14ac:dyDescent="0.25">
      <c r="B14" t="s">
        <v>7</v>
      </c>
      <c r="D14" s="37">
        <f>'Historical P&amp;L'!D14</f>
        <v>1371.64</v>
      </c>
      <c r="E14" s="37">
        <f>'Historical P&amp;L'!E14</f>
        <v>2920.38</v>
      </c>
      <c r="F14" s="37">
        <f>'Historical P&amp;L'!F14</f>
        <v>5211.05</v>
      </c>
      <c r="G14" s="37">
        <f>'Historical P&amp;L'!G14</f>
        <v>7123.6</v>
      </c>
      <c r="H14" s="37">
        <f>'Historical P&amp;L'!H14</f>
        <v>10143.39</v>
      </c>
      <c r="I14" s="33">
        <f>I10*I15</f>
        <v>16464.843697592951</v>
      </c>
      <c r="J14" s="33">
        <f t="shared" ref="J14:R14" si="1">J10*J15</f>
        <v>25047.836603062839</v>
      </c>
      <c r="K14" s="33">
        <f t="shared" si="1"/>
        <v>36146.489990762704</v>
      </c>
      <c r="L14" s="33">
        <f t="shared" si="1"/>
        <v>49760.470489554544</v>
      </c>
      <c r="M14" s="33">
        <f t="shared" si="1"/>
        <v>65690.713336766799</v>
      </c>
      <c r="N14" s="33">
        <f t="shared" si="1"/>
        <v>83566.321325819576</v>
      </c>
      <c r="O14" s="33">
        <f t="shared" si="1"/>
        <v>102895.21754943195</v>
      </c>
      <c r="P14" s="33">
        <f t="shared" si="1"/>
        <v>123124.93818102349</v>
      </c>
      <c r="Q14" s="33">
        <f t="shared" si="1"/>
        <v>143700.87637600675</v>
      </c>
      <c r="R14" s="33">
        <f t="shared" si="1"/>
        <v>164113.17737185291</v>
      </c>
    </row>
    <row r="15" spans="2:18" x14ac:dyDescent="0.25">
      <c r="B15" s="173" t="s">
        <v>176</v>
      </c>
      <c r="C15" s="173"/>
      <c r="D15" s="155">
        <f>D14/D10</f>
        <v>0.52898617795878078</v>
      </c>
      <c r="E15" s="155">
        <f>E14/E10</f>
        <v>0.64925900729654373</v>
      </c>
      <c r="F15" s="155">
        <f>F14/F10</f>
        <v>0.63225398628006235</v>
      </c>
      <c r="G15" s="155">
        <f>G14/G10</f>
        <v>0.57563932765042092</v>
      </c>
      <c r="H15" s="155">
        <f>H14/H10</f>
        <v>0.59198254293503028</v>
      </c>
      <c r="I15" s="171">
        <f>AVERAGE(D15:H15)</f>
        <v>0.59562420842416763</v>
      </c>
      <c r="J15" s="171">
        <f>I15</f>
        <v>0.59562420842416763</v>
      </c>
      <c r="K15" s="171">
        <f t="shared" ref="K15:R15" si="2">J15</f>
        <v>0.59562420842416763</v>
      </c>
      <c r="L15" s="171">
        <f t="shared" si="2"/>
        <v>0.59562420842416763</v>
      </c>
      <c r="M15" s="171">
        <f t="shared" si="2"/>
        <v>0.59562420842416763</v>
      </c>
      <c r="N15" s="171">
        <f t="shared" si="2"/>
        <v>0.59562420842416763</v>
      </c>
      <c r="O15" s="171">
        <f t="shared" si="2"/>
        <v>0.59562420842416763</v>
      </c>
      <c r="P15" s="171">
        <f t="shared" si="2"/>
        <v>0.59562420842416763</v>
      </c>
      <c r="Q15" s="171">
        <f t="shared" si="2"/>
        <v>0.59562420842416763</v>
      </c>
      <c r="R15" s="171">
        <f t="shared" si="2"/>
        <v>0.59562420842416763</v>
      </c>
    </row>
    <row r="16" spans="2:18" x14ac:dyDescent="0.25">
      <c r="B16" t="s">
        <v>8</v>
      </c>
      <c r="D16" s="37">
        <f>'Historical P&amp;L'!D15</f>
        <v>162.36000000000001</v>
      </c>
      <c r="E16" s="37">
        <f>'Historical P&amp;L'!E15</f>
        <v>-438.84</v>
      </c>
      <c r="F16" s="37">
        <f>'Historical P&amp;L'!F15</f>
        <v>-491.31</v>
      </c>
      <c r="G16" s="37">
        <f>'Historical P&amp;L'!G15</f>
        <v>-164.71</v>
      </c>
      <c r="H16" s="37">
        <f>'Historical P&amp;L'!H15</f>
        <v>-454.25</v>
      </c>
      <c r="I16" s="33">
        <f>I10*I17</f>
        <v>-742.92275256430469</v>
      </c>
      <c r="J16" s="33">
        <f t="shared" ref="J16:R16" si="3">J10*J17</f>
        <v>-1130.2025124993347</v>
      </c>
      <c r="K16" s="33">
        <f t="shared" si="3"/>
        <v>-1630.9933050504085</v>
      </c>
      <c r="L16" s="33">
        <f t="shared" si="3"/>
        <v>-2245.2800879245037</v>
      </c>
      <c r="M16" s="33">
        <f t="shared" si="3"/>
        <v>-2964.0807083518298</v>
      </c>
      <c r="N16" s="33">
        <f t="shared" si="3"/>
        <v>-3770.6596309886131</v>
      </c>
      <c r="O16" s="33">
        <f t="shared" si="3"/>
        <v>-4642.8134789219048</v>
      </c>
      <c r="P16" s="33">
        <f t="shared" si="3"/>
        <v>-5555.614111060675</v>
      </c>
      <c r="Q16" s="33">
        <f t="shared" si="3"/>
        <v>-6484.0366895662182</v>
      </c>
      <c r="R16" s="33">
        <f t="shared" si="3"/>
        <v>-7405.0756693788298</v>
      </c>
    </row>
    <row r="17" spans="2:18" x14ac:dyDescent="0.25">
      <c r="B17" s="173" t="s">
        <v>176</v>
      </c>
      <c r="C17" s="173"/>
      <c r="D17" s="155">
        <f>D16/D10</f>
        <v>6.2615697889670502E-2</v>
      </c>
      <c r="E17" s="155">
        <f>E16/E10</f>
        <v>-9.7562927688182782E-2</v>
      </c>
      <c r="F17" s="155">
        <f>F16/F10</f>
        <v>-5.961038677411605E-2</v>
      </c>
      <c r="G17" s="155">
        <f>G16/G10</f>
        <v>-1.3309780680737385E-2</v>
      </c>
      <c r="H17" s="155">
        <f>H16/H10</f>
        <v>-2.651067050840375E-2</v>
      </c>
      <c r="I17" s="171">
        <f>AVERAGE(D17:H17)</f>
        <v>-2.6875613552353895E-2</v>
      </c>
      <c r="J17" s="171">
        <f>I17</f>
        <v>-2.6875613552353895E-2</v>
      </c>
      <c r="K17" s="171">
        <f t="shared" ref="K17:R17" si="4">J17</f>
        <v>-2.6875613552353895E-2</v>
      </c>
      <c r="L17" s="171">
        <f t="shared" si="4"/>
        <v>-2.6875613552353895E-2</v>
      </c>
      <c r="M17" s="171">
        <f t="shared" si="4"/>
        <v>-2.6875613552353895E-2</v>
      </c>
      <c r="N17" s="171">
        <f t="shared" si="4"/>
        <v>-2.6875613552353895E-2</v>
      </c>
      <c r="O17" s="171">
        <f t="shared" si="4"/>
        <v>-2.6875613552353895E-2</v>
      </c>
      <c r="P17" s="171">
        <f t="shared" si="4"/>
        <v>-2.6875613552353895E-2</v>
      </c>
      <c r="Q17" s="171">
        <f t="shared" si="4"/>
        <v>-2.6875613552353895E-2</v>
      </c>
      <c r="R17" s="171">
        <f t="shared" si="4"/>
        <v>-2.6875613552353895E-2</v>
      </c>
    </row>
    <row r="19" spans="2:18" x14ac:dyDescent="0.25">
      <c r="B19" s="38" t="s">
        <v>146</v>
      </c>
      <c r="C19" s="3"/>
      <c r="D19" s="39">
        <f>D16+D14</f>
        <v>1534</v>
      </c>
      <c r="E19" s="39">
        <f t="shared" ref="E19:R19" si="5">E16+E14</f>
        <v>2481.54</v>
      </c>
      <c r="F19" s="39">
        <f t="shared" si="5"/>
        <v>4719.74</v>
      </c>
      <c r="G19" s="39">
        <f t="shared" si="5"/>
        <v>6958.89</v>
      </c>
      <c r="H19" s="39">
        <f t="shared" si="5"/>
        <v>9689.14</v>
      </c>
      <c r="I19" s="39">
        <f t="shared" si="5"/>
        <v>15721.920945028645</v>
      </c>
      <c r="J19" s="39">
        <f t="shared" si="5"/>
        <v>23917.634090563504</v>
      </c>
      <c r="K19" s="39">
        <f t="shared" si="5"/>
        <v>34515.496685712293</v>
      </c>
      <c r="L19" s="39">
        <f t="shared" si="5"/>
        <v>47515.19040163004</v>
      </c>
      <c r="M19" s="39">
        <f t="shared" si="5"/>
        <v>62726.632628414969</v>
      </c>
      <c r="N19" s="39">
        <f t="shared" si="5"/>
        <v>79795.661694830967</v>
      </c>
      <c r="O19" s="39">
        <f t="shared" si="5"/>
        <v>98252.404070510049</v>
      </c>
      <c r="P19" s="39">
        <f t="shared" si="5"/>
        <v>117569.32406996282</v>
      </c>
      <c r="Q19" s="39">
        <f t="shared" si="5"/>
        <v>137216.83968644054</v>
      </c>
      <c r="R19" s="39">
        <f t="shared" si="5"/>
        <v>156708.10170247409</v>
      </c>
    </row>
    <row r="21" spans="2:18" x14ac:dyDescent="0.25">
      <c r="B21" s="3" t="s">
        <v>147</v>
      </c>
      <c r="C21" s="3"/>
      <c r="D21" s="39">
        <f>D10-D19</f>
        <v>1058.96</v>
      </c>
      <c r="E21" s="39">
        <f t="shared" ref="E21:R21" si="6">E10-E19</f>
        <v>2016.4800000000005</v>
      </c>
      <c r="F21" s="39">
        <f t="shared" si="6"/>
        <v>3522.2800000000007</v>
      </c>
      <c r="G21" s="39">
        <f t="shared" si="6"/>
        <v>5416.2199999999984</v>
      </c>
      <c r="H21" s="39">
        <f t="shared" si="6"/>
        <v>7445.4700000000012</v>
      </c>
      <c r="I21" s="39">
        <f t="shared" si="6"/>
        <v>11921.085273865136</v>
      </c>
      <c r="J21" s="39">
        <f t="shared" si="6"/>
        <v>18135.452820278242</v>
      </c>
      <c r="K21" s="39">
        <f t="shared" si="6"/>
        <v>26171.240823488064</v>
      </c>
      <c r="L21" s="39">
        <f t="shared" si="6"/>
        <v>36028.207911888705</v>
      </c>
      <c r="M21" s="39">
        <f t="shared" si="6"/>
        <v>47562.224687447917</v>
      </c>
      <c r="N21" s="39">
        <f t="shared" si="6"/>
        <v>60504.749443442779</v>
      </c>
      <c r="O21" s="39">
        <f t="shared" si="6"/>
        <v>74499.502406998639</v>
      </c>
      <c r="P21" s="39">
        <f t="shared" si="6"/>
        <v>89146.481700882097</v>
      </c>
      <c r="Q21" s="39">
        <f t="shared" si="6"/>
        <v>104044.13383274133</v>
      </c>
      <c r="R21" s="39">
        <f t="shared" si="6"/>
        <v>118823.30728112688</v>
      </c>
    </row>
    <row r="23" spans="2:18" x14ac:dyDescent="0.25">
      <c r="B23" s="195" t="s">
        <v>149</v>
      </c>
      <c r="C23" s="195"/>
      <c r="D23" s="156">
        <f>D21/D10</f>
        <v>0.4083981241515488</v>
      </c>
      <c r="E23" s="156">
        <f t="shared" ref="E23:R23" si="7">E21/E10</f>
        <v>0.44830392039163908</v>
      </c>
      <c r="F23" s="156">
        <f t="shared" si="7"/>
        <v>0.42735640049405371</v>
      </c>
      <c r="G23" s="156">
        <f t="shared" si="7"/>
        <v>0.43767045303031643</v>
      </c>
      <c r="H23" s="156">
        <f t="shared" si="7"/>
        <v>0.4345281275733735</v>
      </c>
      <c r="I23" s="156">
        <f t="shared" si="7"/>
        <v>0.43125140512818633</v>
      </c>
      <c r="J23" s="156">
        <f t="shared" si="7"/>
        <v>0.43125140512818627</v>
      </c>
      <c r="K23" s="156">
        <f t="shared" si="7"/>
        <v>0.43125140512818633</v>
      </c>
      <c r="L23" s="156">
        <f t="shared" si="7"/>
        <v>0.43125140512818627</v>
      </c>
      <c r="M23" s="156">
        <f t="shared" si="7"/>
        <v>0.43125140512818627</v>
      </c>
      <c r="N23" s="156">
        <f t="shared" si="7"/>
        <v>0.43125140512818622</v>
      </c>
      <c r="O23" s="156">
        <f t="shared" si="7"/>
        <v>0.43125140512818622</v>
      </c>
      <c r="P23" s="156">
        <f t="shared" si="7"/>
        <v>0.43125140512818622</v>
      </c>
      <c r="Q23" s="156">
        <f t="shared" si="7"/>
        <v>0.43125140512818633</v>
      </c>
      <c r="R23" s="156">
        <f t="shared" si="7"/>
        <v>0.43125140512818627</v>
      </c>
    </row>
    <row r="26" spans="2:18" x14ac:dyDescent="0.25">
      <c r="B26" s="1" t="s">
        <v>9</v>
      </c>
      <c r="D26" s="37">
        <f>'Historical P&amp;L'!D16</f>
        <v>301.86</v>
      </c>
      <c r="E26" s="37">
        <f>'Historical P&amp;L'!E16</f>
        <v>398.95</v>
      </c>
      <c r="F26" s="37">
        <f>'Historical P&amp;L'!F16</f>
        <v>655.23</v>
      </c>
      <c r="G26" s="37">
        <f>'Historical P&amp;L'!G16</f>
        <v>1036.6400000000001</v>
      </c>
      <c r="H26" s="37">
        <f>'Historical P&amp;L'!H16</f>
        <v>1308.45</v>
      </c>
      <c r="I26" s="33">
        <f>I27*I$10</f>
        <v>2458.7881496506116</v>
      </c>
      <c r="J26" s="33">
        <f t="shared" ref="J26:R26" si="8">J27*J$10</f>
        <v>3740.5349813918601</v>
      </c>
      <c r="K26" s="33">
        <f t="shared" si="8"/>
        <v>5397.9596085534013</v>
      </c>
      <c r="L26" s="33">
        <f t="shared" si="8"/>
        <v>7431.0122469393664</v>
      </c>
      <c r="M26" s="33">
        <f t="shared" si="8"/>
        <v>9809.9654306557823</v>
      </c>
      <c r="N26" s="33">
        <f t="shared" si="8"/>
        <v>12479.430983961234</v>
      </c>
      <c r="O26" s="33">
        <f t="shared" si="8"/>
        <v>15365.924281640853</v>
      </c>
      <c r="P26" s="33">
        <f t="shared" si="8"/>
        <v>18386.942778583616</v>
      </c>
      <c r="Q26" s="33">
        <f t="shared" si="8"/>
        <v>21459.663900689648</v>
      </c>
      <c r="R26" s="33">
        <f t="shared" si="8"/>
        <v>24507.948155159993</v>
      </c>
    </row>
    <row r="27" spans="2:18" x14ac:dyDescent="0.25">
      <c r="B27" s="173" t="s">
        <v>176</v>
      </c>
      <c r="C27" s="173"/>
      <c r="D27" s="155">
        <f>D26/D$10</f>
        <v>0.11641521658644946</v>
      </c>
      <c r="E27" s="155">
        <f>E26/E$10</f>
        <v>8.8694581171270909E-2</v>
      </c>
      <c r="F27" s="155">
        <f>F26/F$10</f>
        <v>7.9498715120807764E-2</v>
      </c>
      <c r="G27" s="155">
        <f>G26/G$10</f>
        <v>8.3768144283161941E-2</v>
      </c>
      <c r="H27" s="155">
        <f>H26/H$10</f>
        <v>7.6362986960310159E-2</v>
      </c>
      <c r="I27" s="171">
        <f>AVERAGE(D27:H27)</f>
        <v>8.894792882440003E-2</v>
      </c>
      <c r="J27" s="171">
        <f>I27</f>
        <v>8.894792882440003E-2</v>
      </c>
      <c r="K27" s="171">
        <f t="shared" ref="K27:R27" si="9">J27</f>
        <v>8.894792882440003E-2</v>
      </c>
      <c r="L27" s="171">
        <f t="shared" si="9"/>
        <v>8.894792882440003E-2</v>
      </c>
      <c r="M27" s="171">
        <f t="shared" si="9"/>
        <v>8.894792882440003E-2</v>
      </c>
      <c r="N27" s="171">
        <f t="shared" si="9"/>
        <v>8.894792882440003E-2</v>
      </c>
      <c r="O27" s="171">
        <f t="shared" si="9"/>
        <v>8.894792882440003E-2</v>
      </c>
      <c r="P27" s="171">
        <f t="shared" si="9"/>
        <v>8.894792882440003E-2</v>
      </c>
      <c r="Q27" s="171">
        <f t="shared" si="9"/>
        <v>8.894792882440003E-2</v>
      </c>
      <c r="R27" s="171">
        <f t="shared" si="9"/>
        <v>8.894792882440003E-2</v>
      </c>
    </row>
    <row r="28" spans="2:18" x14ac:dyDescent="0.25">
      <c r="B28" s="1" t="s">
        <v>12</v>
      </c>
      <c r="D28" s="37">
        <f>'Historical P&amp;L'!D19</f>
        <v>585.20000000000005</v>
      </c>
      <c r="E28" s="37">
        <f>'Historical P&amp;L'!E19</f>
        <v>1043.6600000000001</v>
      </c>
      <c r="F28" s="37">
        <f>'Historical P&amp;L'!F19</f>
        <v>1793.4</v>
      </c>
      <c r="G28" s="37">
        <f>'Historical P&amp;L'!G19</f>
        <v>2457.4499999999998</v>
      </c>
      <c r="H28" s="37">
        <f>'Historical P&amp;L'!H19</f>
        <v>3378.57</v>
      </c>
      <c r="I28" s="33">
        <f>I29*I$10</f>
        <v>5921.4913149459417</v>
      </c>
      <c r="J28" s="33">
        <f t="shared" ref="J28:R28" si="10">J29*J$10</f>
        <v>9008.3179426054994</v>
      </c>
      <c r="K28" s="33">
        <f t="shared" si="10"/>
        <v>12999.888154260047</v>
      </c>
      <c r="L28" s="33">
        <f t="shared" si="10"/>
        <v>17896.082054796414</v>
      </c>
      <c r="M28" s="33">
        <f t="shared" si="10"/>
        <v>23625.307087071553</v>
      </c>
      <c r="N28" s="33">
        <f t="shared" si="10"/>
        <v>30054.172091847086</v>
      </c>
      <c r="O28" s="33">
        <f t="shared" si="10"/>
        <v>37005.704290864851</v>
      </c>
      <c r="P28" s="33">
        <f t="shared" si="10"/>
        <v>44281.21307940346</v>
      </c>
      <c r="Q28" s="33">
        <f t="shared" si="10"/>
        <v>51681.237127993132</v>
      </c>
      <c r="R28" s="33">
        <f t="shared" si="10"/>
        <v>59022.409949611589</v>
      </c>
    </row>
    <row r="29" spans="2:18" x14ac:dyDescent="0.25">
      <c r="B29" s="173" t="s">
        <v>176</v>
      </c>
      <c r="C29" s="173"/>
      <c r="D29" s="155">
        <f>D28/D$10</f>
        <v>0.22568801678390721</v>
      </c>
      <c r="E29" s="155">
        <f>E28/E$10</f>
        <v>0.23202653612033738</v>
      </c>
      <c r="F29" s="155">
        <f>F28/F$10</f>
        <v>0.21759228926889282</v>
      </c>
      <c r="G29" s="155">
        <f>G28/G$10</f>
        <v>0.19858005302579129</v>
      </c>
      <c r="H29" s="155">
        <f>H28/H$10</f>
        <v>0.19717810910198716</v>
      </c>
      <c r="I29" s="171">
        <f>AVERAGE(D29:H29)</f>
        <v>0.21421300086018316</v>
      </c>
      <c r="J29" s="171">
        <f>I29</f>
        <v>0.21421300086018316</v>
      </c>
      <c r="K29" s="171">
        <f t="shared" ref="K29:R29" si="11">J29</f>
        <v>0.21421300086018316</v>
      </c>
      <c r="L29" s="171">
        <f t="shared" si="11"/>
        <v>0.21421300086018316</v>
      </c>
      <c r="M29" s="171">
        <f t="shared" si="11"/>
        <v>0.21421300086018316</v>
      </c>
      <c r="N29" s="171">
        <f t="shared" si="11"/>
        <v>0.21421300086018316</v>
      </c>
      <c r="O29" s="171">
        <f t="shared" si="11"/>
        <v>0.21421300086018316</v>
      </c>
      <c r="P29" s="171">
        <f t="shared" si="11"/>
        <v>0.21421300086018316</v>
      </c>
      <c r="Q29" s="171">
        <f t="shared" si="11"/>
        <v>0.21421300086018316</v>
      </c>
      <c r="R29" s="171">
        <f t="shared" si="11"/>
        <v>0.21421300086018316</v>
      </c>
    </row>
    <row r="30" spans="2:18" x14ac:dyDescent="0.25">
      <c r="B30" s="1" t="s">
        <v>15</v>
      </c>
      <c r="D30" s="37">
        <f>'Historical P&amp;L'!D22</f>
        <v>-1.01</v>
      </c>
      <c r="E30" s="37">
        <f>'Historical P&amp;L'!E22</f>
        <v>-27.44</v>
      </c>
      <c r="F30" s="37">
        <f>'Historical P&amp;L'!F22</f>
        <v>-3</v>
      </c>
      <c r="G30" s="37">
        <f>'Historical P&amp;L'!G22</f>
        <v>576.07000000000005</v>
      </c>
      <c r="H30" s="37">
        <f>'Historical P&amp;L'!H22</f>
        <v>0</v>
      </c>
      <c r="I30" s="33">
        <f>I31*I$10</f>
        <v>219.46739459924069</v>
      </c>
      <c r="J30" s="33">
        <f t="shared" ref="J30:R30" si="12">J31*J$10</f>
        <v>333.87401305396827</v>
      </c>
      <c r="K30" s="33">
        <f t="shared" si="12"/>
        <v>481.81301492342556</v>
      </c>
      <c r="L30" s="33">
        <f t="shared" si="12"/>
        <v>663.27995655200084</v>
      </c>
      <c r="M30" s="33">
        <f t="shared" si="12"/>
        <v>875.62141312604535</v>
      </c>
      <c r="N30" s="33">
        <f t="shared" si="12"/>
        <v>1113.8935269881597</v>
      </c>
      <c r="O30" s="33">
        <f t="shared" si="12"/>
        <v>1371.5371811028642</v>
      </c>
      <c r="P30" s="33">
        <f t="shared" si="12"/>
        <v>1641.1883337059687</v>
      </c>
      <c r="Q30" s="33">
        <f t="shared" si="12"/>
        <v>1915.4543777710062</v>
      </c>
      <c r="R30" s="33">
        <f t="shared" si="12"/>
        <v>2187.5392271394071</v>
      </c>
    </row>
    <row r="31" spans="2:18" x14ac:dyDescent="0.25">
      <c r="B31" s="173" t="s">
        <v>176</v>
      </c>
      <c r="C31" s="173"/>
      <c r="D31" s="155">
        <f>D30/D$10</f>
        <v>-3.8951622855732445E-4</v>
      </c>
      <c r="E31" s="155">
        <f>E30/E$10</f>
        <v>-6.1004619810494393E-3</v>
      </c>
      <c r="F31" s="155">
        <f>F30/F$10</f>
        <v>-3.6398843972715425E-4</v>
      </c>
      <c r="G31" s="155">
        <f>G30/G$10</f>
        <v>4.6550697327134877E-2</v>
      </c>
      <c r="H31" s="155">
        <f>H30/H$10</f>
        <v>0</v>
      </c>
      <c r="I31" s="171">
        <f>AVERAGE(D31:H31)</f>
        <v>7.9393461355601914E-3</v>
      </c>
      <c r="J31" s="171">
        <f>I31</f>
        <v>7.9393461355601914E-3</v>
      </c>
      <c r="K31" s="171">
        <f t="shared" ref="K31:R31" si="13">J31</f>
        <v>7.9393461355601914E-3</v>
      </c>
      <c r="L31" s="171">
        <f t="shared" si="13"/>
        <v>7.9393461355601914E-3</v>
      </c>
      <c r="M31" s="171">
        <f t="shared" si="13"/>
        <v>7.9393461355601914E-3</v>
      </c>
      <c r="N31" s="171">
        <f t="shared" si="13"/>
        <v>7.9393461355601914E-3</v>
      </c>
      <c r="O31" s="171">
        <f t="shared" si="13"/>
        <v>7.9393461355601914E-3</v>
      </c>
      <c r="P31" s="171">
        <f t="shared" si="13"/>
        <v>7.9393461355601914E-3</v>
      </c>
      <c r="Q31" s="171">
        <f t="shared" si="13"/>
        <v>7.9393461355601914E-3</v>
      </c>
      <c r="R31" s="171">
        <f t="shared" si="13"/>
        <v>7.9393461355601914E-3</v>
      </c>
    </row>
    <row r="33" spans="2:18" x14ac:dyDescent="0.25">
      <c r="B33" s="1" t="s">
        <v>10</v>
      </c>
      <c r="D33" s="37">
        <f>'Historical P&amp;L'!D17</f>
        <v>248.65</v>
      </c>
      <c r="E33" s="37">
        <f>'Historical P&amp;L'!E17</f>
        <v>304.74</v>
      </c>
      <c r="F33" s="37">
        <f>'Historical P&amp;L'!F17</f>
        <v>369.22</v>
      </c>
      <c r="G33" s="37">
        <f>'Historical P&amp;L'!G17</f>
        <v>319.10000000000002</v>
      </c>
      <c r="H33" s="37">
        <f>'Historical P&amp;L'!H17</f>
        <v>138.59</v>
      </c>
      <c r="I33" s="33">
        <f>I34*'B_S Items'!I42</f>
        <v>126.29098593635491</v>
      </c>
      <c r="J33" s="33">
        <f>J34*'B_S Items'!J42</f>
        <v>192.12547888541332</v>
      </c>
      <c r="K33" s="33">
        <f>K34*'B_S Items'!K42</f>
        <v>277.25594866955066</v>
      </c>
      <c r="L33" s="33">
        <f>L34*'B_S Items'!L42</f>
        <v>381.6798382180487</v>
      </c>
      <c r="M33" s="33">
        <f>M34*'B_S Items'!M42</f>
        <v>503.87025267513343</v>
      </c>
      <c r="N33" s="33">
        <f>N34*'B_S Items'!N42</f>
        <v>640.98228353390755</v>
      </c>
      <c r="O33" s="33">
        <f>O34*'B_S Items'!O42</f>
        <v>789.24153251167718</v>
      </c>
      <c r="P33" s="33">
        <f>P34*'B_S Items'!P42</f>
        <v>944.41041298846028</v>
      </c>
      <c r="Q33" s="33">
        <f>Q34*'B_S Items'!Q42</f>
        <v>1102.2349006627544</v>
      </c>
      <c r="R33" s="33">
        <f>R34*'B_S Items'!R42</f>
        <v>1258.8042350179855</v>
      </c>
    </row>
    <row r="34" spans="2:18" x14ac:dyDescent="0.25">
      <c r="B34" s="173" t="s">
        <v>177</v>
      </c>
      <c r="C34" s="173"/>
      <c r="D34" s="155">
        <f>D33/SUM('Historical Balance Sheet'!D55:D56,'Historical Balance Sheet'!D64:D65)</f>
        <v>8.3900486902885985E-2</v>
      </c>
      <c r="E34" s="155">
        <f>E33/SUM('Historical Balance Sheet'!E55:E56,'Historical Balance Sheet'!E64:E65)</f>
        <v>6.44903245467012E-2</v>
      </c>
      <c r="F34" s="155">
        <f>F33/SUM('Historical Balance Sheet'!F55:F56,'Historical Balance Sheet'!F64:F65)</f>
        <v>8.2707979588453773E-2</v>
      </c>
      <c r="G34" s="155">
        <f>G33/SUM('Historical Balance Sheet'!G55:G56,'Historical Balance Sheet'!G64:G65)</f>
        <v>0.18203184273726605</v>
      </c>
      <c r="H34" s="155">
        <f>H33/SUM('Historical Balance Sheet'!H55:H56,'Historical Balance Sheet'!H64:H65)</f>
        <v>6.194824757843545E-2</v>
      </c>
      <c r="I34" s="171">
        <f>AVERAGE(D34:H34)</f>
        <v>9.5015776270748489E-2</v>
      </c>
      <c r="J34" s="171">
        <f>I34</f>
        <v>9.5015776270748489E-2</v>
      </c>
      <c r="K34" s="171">
        <f t="shared" ref="K34:R34" si="14">J34</f>
        <v>9.5015776270748489E-2</v>
      </c>
      <c r="L34" s="171">
        <f t="shared" si="14"/>
        <v>9.5015776270748489E-2</v>
      </c>
      <c r="M34" s="171">
        <f t="shared" si="14"/>
        <v>9.5015776270748489E-2</v>
      </c>
      <c r="N34" s="171">
        <f t="shared" si="14"/>
        <v>9.5015776270748489E-2</v>
      </c>
      <c r="O34" s="171">
        <f t="shared" si="14"/>
        <v>9.5015776270748489E-2</v>
      </c>
      <c r="P34" s="171">
        <f t="shared" si="14"/>
        <v>9.5015776270748489E-2</v>
      </c>
      <c r="Q34" s="171">
        <f t="shared" si="14"/>
        <v>9.5015776270748489E-2</v>
      </c>
      <c r="R34" s="171">
        <f t="shared" si="14"/>
        <v>9.5015776270748489E-2</v>
      </c>
    </row>
    <row r="36" spans="2:18" x14ac:dyDescent="0.25">
      <c r="B36" s="1" t="s">
        <v>178</v>
      </c>
      <c r="D36" s="40">
        <f>'Historical P&amp;L'!D26/'Historical P&amp;L'!D27</f>
        <v>0.13079004030254493</v>
      </c>
      <c r="E36" s="40">
        <f>'Historical P&amp;L'!E26/'Historical P&amp;L'!E27</f>
        <v>2.2144508670519953</v>
      </c>
      <c r="F36" s="40">
        <f>'Historical P&amp;L'!F26/'Historical P&amp;L'!F27</f>
        <v>0.40244862709238061</v>
      </c>
      <c r="G36" s="40">
        <f>'Historical P&amp;L'!G26/'Historical P&amp;L'!G27</f>
        <v>0.30008934252027153</v>
      </c>
      <c r="H36" s="40">
        <f>'Historical P&amp;L'!H26/'Historical P&amp;L'!H27</f>
        <v>0.32281463233425189</v>
      </c>
      <c r="I36" s="31">
        <f>H36</f>
        <v>0.32281463233425189</v>
      </c>
      <c r="J36" s="31">
        <f t="shared" ref="J36:R36" si="15">I36</f>
        <v>0.32281463233425189</v>
      </c>
      <c r="K36" s="31">
        <f t="shared" si="15"/>
        <v>0.32281463233425189</v>
      </c>
      <c r="L36" s="31">
        <f t="shared" si="15"/>
        <v>0.32281463233425189</v>
      </c>
      <c r="M36" s="31">
        <f t="shared" si="15"/>
        <v>0.32281463233425189</v>
      </c>
      <c r="N36" s="31">
        <f t="shared" si="15"/>
        <v>0.32281463233425189</v>
      </c>
      <c r="O36" s="31">
        <f t="shared" si="15"/>
        <v>0.32281463233425189</v>
      </c>
      <c r="P36" s="31">
        <f t="shared" si="15"/>
        <v>0.32281463233425189</v>
      </c>
      <c r="Q36" s="31">
        <f t="shared" si="15"/>
        <v>0.32281463233425189</v>
      </c>
      <c r="R36" s="31">
        <f t="shared" si="15"/>
        <v>0.32281463233425189</v>
      </c>
    </row>
    <row r="38" spans="2:18" x14ac:dyDescent="0.25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</sheetData>
  <pageMargins left="0.7" right="0.7" top="0.75" bottom="0.75" header="0.3" footer="0.3"/>
  <ignoredErrors>
    <ignoredError sqref="I16:R16" formula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29"/>
  <sheetViews>
    <sheetView showGridLines="0" topLeftCell="A2" workbookViewId="0">
      <selection activeCell="B22" sqref="B22:R22"/>
    </sheetView>
  </sheetViews>
  <sheetFormatPr defaultRowHeight="15" x14ac:dyDescent="0.25"/>
  <cols>
    <col min="1" max="1" width="1.85546875" customWidth="1"/>
    <col min="2" max="2" width="49" bestFit="1" customWidth="1"/>
    <col min="9" max="18" width="11.140625" bestFit="1" customWidth="1"/>
  </cols>
  <sheetData>
    <row r="7" spans="2:18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2:18" ht="15.75" thickBot="1" x14ac:dyDescent="0.3">
      <c r="B8" s="160"/>
      <c r="C8" s="160"/>
      <c r="D8" s="159" t="s">
        <v>162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167</v>
      </c>
      <c r="J8" s="159" t="s">
        <v>167</v>
      </c>
      <c r="K8" s="159" t="s">
        <v>167</v>
      </c>
      <c r="L8" s="159" t="s">
        <v>167</v>
      </c>
      <c r="M8" s="159" t="s">
        <v>167</v>
      </c>
      <c r="N8" s="159" t="s">
        <v>167</v>
      </c>
      <c r="O8" s="159" t="s">
        <v>167</v>
      </c>
      <c r="P8" s="159" t="s">
        <v>167</v>
      </c>
      <c r="Q8" s="159" t="s">
        <v>167</v>
      </c>
      <c r="R8" s="159" t="s">
        <v>167</v>
      </c>
    </row>
    <row r="9" spans="2:18" x14ac:dyDescent="0.25">
      <c r="D9" s="24"/>
    </row>
    <row r="11" spans="2:18" x14ac:dyDescent="0.25">
      <c r="B11" s="5" t="s">
        <v>163</v>
      </c>
      <c r="C11" s="5"/>
      <c r="D11" s="43">
        <f>SUM(D13:D14)</f>
        <v>2592.96</v>
      </c>
      <c r="E11" s="43">
        <f>SUM(E13:E14)</f>
        <v>4498.0200000000004</v>
      </c>
      <c r="F11" s="43">
        <f>SUM(F13:F14)</f>
        <v>8242.02</v>
      </c>
      <c r="G11" s="43">
        <f>SUM(G13:G14)</f>
        <v>12375.109999999999</v>
      </c>
      <c r="H11" s="43">
        <f>SUM(H13:H14)</f>
        <v>17134.61</v>
      </c>
      <c r="I11" s="43">
        <f>H11*(1+I12)</f>
        <v>27643.006218893781</v>
      </c>
      <c r="J11" s="43">
        <f t="shared" ref="J11:O11" si="1">I11*(1+J12)</f>
        <v>42053.086910841746</v>
      </c>
      <c r="K11" s="43">
        <f t="shared" si="1"/>
        <v>60686.737509200357</v>
      </c>
      <c r="L11" s="43">
        <f t="shared" si="1"/>
        <v>83543.398313518745</v>
      </c>
      <c r="M11" s="43">
        <f t="shared" si="1"/>
        <v>110288.85731586289</v>
      </c>
      <c r="N11" s="43">
        <f t="shared" si="1"/>
        <v>140300.41113827375</v>
      </c>
      <c r="O11" s="43">
        <f t="shared" si="1"/>
        <v>172751.90647750869</v>
      </c>
      <c r="P11" s="43">
        <f>O11*(1+P12)</f>
        <v>206715.80577084492</v>
      </c>
      <c r="Q11" s="43">
        <f>P11*(1+Q12)</f>
        <v>241260.97351918186</v>
      </c>
      <c r="R11" s="43">
        <f>Q11*(1+R12)</f>
        <v>275531.40898360097</v>
      </c>
    </row>
    <row r="12" spans="2:18" x14ac:dyDescent="0.25">
      <c r="B12" s="192" t="s">
        <v>175</v>
      </c>
      <c r="C12" s="192"/>
      <c r="D12" s="192"/>
      <c r="E12" s="193">
        <f>E11/D11-1</f>
        <v>0.73470473898556099</v>
      </c>
      <c r="F12" s="193">
        <f>F11/E11-1</f>
        <v>0.83236624114610414</v>
      </c>
      <c r="G12" s="193">
        <f>G11/F11-1</f>
        <v>0.50146566011730109</v>
      </c>
      <c r="H12" s="193">
        <f>H11/G11-1</f>
        <v>0.38460264191591054</v>
      </c>
      <c r="I12" s="194">
        <f t="array" ref="I12:R12">CHOOSE(Assumption!$C$7,'Revenue Build-up'!I26:R26,'Revenue Build-up'!I27:R27,'Revenue Build-up'!I28:R28)</f>
        <v>0.61328482054121913</v>
      </c>
      <c r="J12" s="194">
        <v>0.52129209746003624</v>
      </c>
      <c r="K12" s="194">
        <v>0.44309828284103081</v>
      </c>
      <c r="L12" s="194">
        <v>0.37663354041487618</v>
      </c>
      <c r="M12" s="194">
        <v>0.32013850935264476</v>
      </c>
      <c r="N12" s="194">
        <v>0.27211773294974806</v>
      </c>
      <c r="O12" s="194">
        <v>0.23130007300728583</v>
      </c>
      <c r="P12" s="194">
        <v>0.19660506205619296</v>
      </c>
      <c r="Q12" s="194">
        <v>0.16711430274776401</v>
      </c>
      <c r="R12" s="194">
        <v>0.14204715733559942</v>
      </c>
    </row>
    <row r="13" spans="2:18" x14ac:dyDescent="0.25">
      <c r="B13" t="s">
        <v>164</v>
      </c>
      <c r="D13" s="35">
        <v>2546.9</v>
      </c>
      <c r="E13" s="35">
        <v>4417.2700000000004</v>
      </c>
      <c r="F13" s="35">
        <v>8112.33</v>
      </c>
      <c r="G13" s="35">
        <v>12205.31</v>
      </c>
      <c r="H13" s="35">
        <v>16873.72</v>
      </c>
      <c r="I13" s="33">
        <f>H13/H11*I11</f>
        <v>27222.116342062782</v>
      </c>
      <c r="J13" s="33">
        <f t="shared" ref="J13:R13" si="2">I13/I11*J11</f>
        <v>41412.79046731782</v>
      </c>
      <c r="K13" s="33">
        <f t="shared" si="2"/>
        <v>59762.726811041757</v>
      </c>
      <c r="L13" s="33">
        <f t="shared" si="2"/>
        <v>82271.374194731456</v>
      </c>
      <c r="M13" s="33">
        <f t="shared" si="2"/>
        <v>108609.60929182642</v>
      </c>
      <c r="N13" s="33">
        <f t="shared" si="2"/>
        <v>138164.20994887615</v>
      </c>
      <c r="O13" s="33">
        <f t="shared" si="2"/>
        <v>170121.60179704518</v>
      </c>
      <c r="P13" s="33">
        <f t="shared" si="2"/>
        <v>203568.36987545219</v>
      </c>
      <c r="Q13" s="33">
        <f t="shared" si="2"/>
        <v>237587.55606868729</v>
      </c>
      <c r="R13" s="33">
        <f t="shared" si="2"/>
        <v>271336.19302655663</v>
      </c>
    </row>
    <row r="14" spans="2:18" x14ac:dyDescent="0.25">
      <c r="B14" s="36" t="s">
        <v>165</v>
      </c>
      <c r="D14" s="35">
        <v>46.06</v>
      </c>
      <c r="E14" s="35">
        <v>80.75</v>
      </c>
      <c r="F14" s="35">
        <v>129.69</v>
      </c>
      <c r="G14" s="35">
        <v>169.8</v>
      </c>
      <c r="H14" s="35">
        <v>260.89</v>
      </c>
      <c r="I14" s="33">
        <f>H14/H11*I11</f>
        <v>420.88987683099867</v>
      </c>
      <c r="J14" s="33">
        <f t="shared" ref="J14:R14" si="3">I14/I11*J11</f>
        <v>640.29644352392631</v>
      </c>
      <c r="K14" s="33">
        <f t="shared" si="3"/>
        <v>924.01069815859717</v>
      </c>
      <c r="L14" s="33">
        <f t="shared" si="3"/>
        <v>1272.0241187872909</v>
      </c>
      <c r="M14" s="33">
        <f t="shared" si="3"/>
        <v>1679.2480240364657</v>
      </c>
      <c r="N14" s="33">
        <f t="shared" si="3"/>
        <v>2136.2011893976132</v>
      </c>
      <c r="O14" s="33">
        <f t="shared" si="3"/>
        <v>2630.3046804635319</v>
      </c>
      <c r="P14" s="33">
        <f t="shared" si="3"/>
        <v>3147.4358953927594</v>
      </c>
      <c r="Q14" s="33">
        <f t="shared" si="3"/>
        <v>3673.4174504946045</v>
      </c>
      <c r="R14" s="33">
        <f t="shared" si="3"/>
        <v>4195.2159570443482</v>
      </c>
    </row>
    <row r="16" spans="2:18" x14ac:dyDescent="0.25">
      <c r="B16" s="16" t="s">
        <v>166</v>
      </c>
      <c r="C16" s="16"/>
      <c r="D16" s="44">
        <f>'p&amp;l'!D21</f>
        <v>201.6</v>
      </c>
      <c r="E16" s="44">
        <f>'p&amp;l'!E21</f>
        <v>175.21</v>
      </c>
      <c r="F16" s="44">
        <f>'p&amp;l'!F21</f>
        <v>260.92</v>
      </c>
      <c r="G16" s="44">
        <f>'p&amp;l'!G21</f>
        <v>289.27</v>
      </c>
      <c r="H16" s="44">
        <f>'p&amp;l'!H21</f>
        <v>218.56</v>
      </c>
      <c r="I16" s="45">
        <f>I11*I17</f>
        <v>1019.9693216247924</v>
      </c>
      <c r="J16" s="45">
        <f t="shared" ref="J16:R16" si="4">J11*J17</f>
        <v>1551.6712686394708</v>
      </c>
      <c r="K16" s="45">
        <f t="shared" si="4"/>
        <v>2239.2141433073843</v>
      </c>
      <c r="L16" s="45">
        <f t="shared" si="4"/>
        <v>3082.5772938483083</v>
      </c>
      <c r="M16" s="45">
        <f t="shared" si="4"/>
        <v>4069.4289936652149</v>
      </c>
      <c r="N16" s="45">
        <f t="shared" si="4"/>
        <v>5176.7927858213679</v>
      </c>
      <c r="O16" s="45">
        <f t="shared" si="4"/>
        <v>6374.1853351254413</v>
      </c>
      <c r="P16" s="45">
        <f t="shared" si="4"/>
        <v>7627.3824384954542</v>
      </c>
      <c r="Q16" s="45">
        <f t="shared" si="4"/>
        <v>8902.0271364951604</v>
      </c>
      <c r="R16" s="45">
        <f t="shared" si="4"/>
        <v>10166.534785758664</v>
      </c>
    </row>
    <row r="17" spans="2:18" x14ac:dyDescent="0.25">
      <c r="D17" s="193">
        <f>D16/D11</f>
        <v>7.774898185857089E-2</v>
      </c>
      <c r="E17" s="193">
        <f>E16/E11</f>
        <v>3.8952694741241703E-2</v>
      </c>
      <c r="F17" s="193">
        <f>F16/F11</f>
        <v>3.1657287897869694E-2</v>
      </c>
      <c r="G17" s="193">
        <f>G16/G11</f>
        <v>2.3375145756280146E-2</v>
      </c>
      <c r="H17" s="193">
        <f>H16/H11</f>
        <v>1.2755469777252006E-2</v>
      </c>
      <c r="I17" s="194">
        <f>AVERAGE(D17:H17)</f>
        <v>3.6897916006242884E-2</v>
      </c>
      <c r="J17" s="194">
        <f t="shared" ref="J17:P17" si="5">I17</f>
        <v>3.6897916006242884E-2</v>
      </c>
      <c r="K17" s="194">
        <f t="shared" si="5"/>
        <v>3.6897916006242884E-2</v>
      </c>
      <c r="L17" s="194">
        <f t="shared" si="5"/>
        <v>3.6897916006242884E-2</v>
      </c>
      <c r="M17" s="194">
        <f t="shared" si="5"/>
        <v>3.6897916006242884E-2</v>
      </c>
      <c r="N17" s="194">
        <f t="shared" si="5"/>
        <v>3.6897916006242884E-2</v>
      </c>
      <c r="O17" s="194">
        <f t="shared" si="5"/>
        <v>3.6897916006242884E-2</v>
      </c>
      <c r="P17" s="194">
        <f t="shared" si="5"/>
        <v>3.6897916006242884E-2</v>
      </c>
      <c r="Q17" s="194">
        <f>P17</f>
        <v>3.6897916006242884E-2</v>
      </c>
      <c r="R17" s="194">
        <f>Q17</f>
        <v>3.6897916006242884E-2</v>
      </c>
    </row>
    <row r="19" spans="2:18" x14ac:dyDescent="0.25">
      <c r="B19" s="42" t="s">
        <v>156</v>
      </c>
      <c r="C19" s="16"/>
      <c r="D19" s="44">
        <f>'p&amp;l'!D26</f>
        <v>-71.36</v>
      </c>
      <c r="E19" s="44">
        <f>'p&amp;l'!E26</f>
        <v>5.14</v>
      </c>
      <c r="F19" s="44">
        <f>'p&amp;l'!F26</f>
        <v>83.47</v>
      </c>
      <c r="G19" s="44">
        <f>'p&amp;l'!G26</f>
        <v>123.57</v>
      </c>
      <c r="H19" s="44">
        <f>'p&amp;l'!H26</f>
        <v>86.5</v>
      </c>
      <c r="I19" s="45">
        <f>I11*I20</f>
        <v>139.54913697681548</v>
      </c>
      <c r="J19" s="45">
        <f t="shared" ref="J19:O19" si="6">J11*J20</f>
        <v>212.29499929019752</v>
      </c>
      <c r="K19" s="45">
        <f t="shared" si="6"/>
        <v>306.36254893142188</v>
      </c>
      <c r="L19" s="45">
        <f t="shared" si="6"/>
        <v>421.74896038598905</v>
      </c>
      <c r="M19" s="45">
        <f t="shared" si="6"/>
        <v>556.76704388498717</v>
      </c>
      <c r="N19" s="45">
        <f t="shared" si="6"/>
        <v>708.27322964810287</v>
      </c>
      <c r="O19" s="45">
        <f t="shared" si="6"/>
        <v>872.09687937481522</v>
      </c>
      <c r="P19" s="45">
        <f>P11*P20</f>
        <v>1043.555540463313</v>
      </c>
      <c r="Q19" s="45">
        <f>Q11*Q20</f>
        <v>1217.9485969864054</v>
      </c>
      <c r="R19" s="45">
        <f>R11*R20</f>
        <v>1390.9547329692059</v>
      </c>
    </row>
    <row r="20" spans="2:18" x14ac:dyDescent="0.25">
      <c r="D20" s="193">
        <f>D19/D11</f>
        <v>-2.7520671356287794E-2</v>
      </c>
      <c r="E20" s="193">
        <f>E19/E11</f>
        <v>1.1427250212315639E-3</v>
      </c>
      <c r="F20" s="193">
        <f>F19/F11</f>
        <v>1.0127371688008521E-2</v>
      </c>
      <c r="G20" s="193">
        <f>G19/G11</f>
        <v>9.9853657866475539E-3</v>
      </c>
      <c r="H20" s="193">
        <f>H19/H11</f>
        <v>5.0482619680284526E-3</v>
      </c>
      <c r="I20" s="194">
        <f>H20</f>
        <v>5.0482619680284526E-3</v>
      </c>
      <c r="J20" s="194">
        <f t="shared" ref="J20:R20" si="7">I20</f>
        <v>5.0482619680284526E-3</v>
      </c>
      <c r="K20" s="194">
        <f t="shared" si="7"/>
        <v>5.0482619680284526E-3</v>
      </c>
      <c r="L20" s="194">
        <f t="shared" si="7"/>
        <v>5.0482619680284526E-3</v>
      </c>
      <c r="M20" s="194">
        <f t="shared" si="7"/>
        <v>5.0482619680284526E-3</v>
      </c>
      <c r="N20" s="194">
        <f t="shared" si="7"/>
        <v>5.0482619680284526E-3</v>
      </c>
      <c r="O20" s="194">
        <f t="shared" si="7"/>
        <v>5.0482619680284526E-3</v>
      </c>
      <c r="P20" s="194">
        <f t="shared" si="7"/>
        <v>5.0482619680284526E-3</v>
      </c>
      <c r="Q20" s="194">
        <f t="shared" si="7"/>
        <v>5.0482619680284526E-3</v>
      </c>
      <c r="R20" s="194">
        <f t="shared" si="7"/>
        <v>5.0482619680284526E-3</v>
      </c>
    </row>
    <row r="22" spans="2:18" x14ac:dyDescent="0.25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</row>
    <row r="25" spans="2:18" ht="15.75" thickBot="1" x14ac:dyDescent="0.3">
      <c r="B25" s="122" t="s">
        <v>168</v>
      </c>
      <c r="C25" s="122" t="s">
        <v>169</v>
      </c>
      <c r="D25" s="122"/>
      <c r="E25" s="122"/>
      <c r="F25" s="122"/>
      <c r="G25" s="122"/>
      <c r="H25" s="122"/>
      <c r="I25" s="122">
        <v>2025</v>
      </c>
      <c r="J25" s="122">
        <f>I25+1</f>
        <v>2026</v>
      </c>
      <c r="K25" s="122">
        <f t="shared" ref="K25:R25" si="8">J25+1</f>
        <v>2027</v>
      </c>
      <c r="L25" s="122">
        <f t="shared" si="8"/>
        <v>2028</v>
      </c>
      <c r="M25" s="122">
        <f t="shared" si="8"/>
        <v>2029</v>
      </c>
      <c r="N25" s="122">
        <f t="shared" si="8"/>
        <v>2030</v>
      </c>
      <c r="O25" s="122">
        <f t="shared" si="8"/>
        <v>2031</v>
      </c>
      <c r="P25" s="122">
        <f t="shared" si="8"/>
        <v>2032</v>
      </c>
      <c r="Q25" s="122">
        <f t="shared" si="8"/>
        <v>2033</v>
      </c>
      <c r="R25" s="122">
        <f t="shared" si="8"/>
        <v>2034</v>
      </c>
    </row>
    <row r="26" spans="2:18" x14ac:dyDescent="0.25">
      <c r="B26" s="188" t="s">
        <v>170</v>
      </c>
      <c r="C26" s="189">
        <f>AVERAGE(E12:H12)</f>
        <v>0.61328482054121913</v>
      </c>
      <c r="D26" s="183"/>
      <c r="E26" s="183"/>
      <c r="F26" s="183"/>
      <c r="G26" s="183"/>
      <c r="H26" s="183"/>
      <c r="I26" s="184">
        <f>C26</f>
        <v>0.61328482054121913</v>
      </c>
      <c r="J26" s="185">
        <f t="shared" ref="J26:R26" si="9">I26*(1-$C$29)</f>
        <v>0.52129209746003624</v>
      </c>
      <c r="K26" s="185">
        <f t="shared" si="9"/>
        <v>0.44309828284103081</v>
      </c>
      <c r="L26" s="185">
        <f t="shared" si="9"/>
        <v>0.37663354041487618</v>
      </c>
      <c r="M26" s="185">
        <f t="shared" si="9"/>
        <v>0.32013850935264476</v>
      </c>
      <c r="N26" s="185">
        <f t="shared" si="9"/>
        <v>0.27211773294974806</v>
      </c>
      <c r="O26" s="185">
        <f t="shared" si="9"/>
        <v>0.23130007300728583</v>
      </c>
      <c r="P26" s="185">
        <f t="shared" si="9"/>
        <v>0.19660506205619296</v>
      </c>
      <c r="Q26" s="185">
        <f t="shared" si="9"/>
        <v>0.16711430274776401</v>
      </c>
      <c r="R26" s="185">
        <f t="shared" si="9"/>
        <v>0.14204715733559942</v>
      </c>
    </row>
    <row r="27" spans="2:18" x14ac:dyDescent="0.25">
      <c r="B27" s="190" t="s">
        <v>173</v>
      </c>
      <c r="C27" s="191">
        <f>MAX(E12:H12)</f>
        <v>0.83236624114610414</v>
      </c>
      <c r="D27" s="174"/>
      <c r="E27" s="174"/>
      <c r="F27" s="174"/>
      <c r="G27" s="174"/>
      <c r="H27" s="174"/>
      <c r="I27" s="186">
        <f>C27</f>
        <v>0.83236624114610414</v>
      </c>
      <c r="J27" s="187">
        <f t="shared" ref="J27:O28" si="10">I27*(1-$C$29)</f>
        <v>0.70751130497418846</v>
      </c>
      <c r="K27" s="187">
        <f t="shared" si="10"/>
        <v>0.60138460922806014</v>
      </c>
      <c r="L27" s="187">
        <f t="shared" si="10"/>
        <v>0.51117691784385111</v>
      </c>
      <c r="M27" s="187">
        <f t="shared" si="10"/>
        <v>0.43450038016727344</v>
      </c>
      <c r="N27" s="187">
        <f t="shared" si="10"/>
        <v>0.36932532314218242</v>
      </c>
      <c r="O27" s="187">
        <f t="shared" si="10"/>
        <v>0.31392652467085502</v>
      </c>
      <c r="P27" s="187">
        <f t="shared" ref="P27:R28" si="11">O27*(1-$C$29)</f>
        <v>0.26683754597022674</v>
      </c>
      <c r="Q27" s="187">
        <f t="shared" si="11"/>
        <v>0.22681191407469273</v>
      </c>
      <c r="R27" s="187">
        <f t="shared" si="11"/>
        <v>0.19279012696348882</v>
      </c>
    </row>
    <row r="28" spans="2:18" x14ac:dyDescent="0.25">
      <c r="B28" s="190" t="s">
        <v>174</v>
      </c>
      <c r="C28" s="191">
        <f>MIN(E12:H12)</f>
        <v>0.38460264191591054</v>
      </c>
      <c r="D28" s="174"/>
      <c r="E28" s="174"/>
      <c r="F28" s="174"/>
      <c r="G28" s="174"/>
      <c r="H28" s="174"/>
      <c r="I28" s="186">
        <f>C28</f>
        <v>0.38460264191591054</v>
      </c>
      <c r="J28" s="187">
        <f t="shared" si="10"/>
        <v>0.32691224562852395</v>
      </c>
      <c r="K28" s="187">
        <f t="shared" si="10"/>
        <v>0.27787540878424533</v>
      </c>
      <c r="L28" s="187">
        <f t="shared" si="10"/>
        <v>0.23619409746660852</v>
      </c>
      <c r="M28" s="187">
        <f t="shared" si="10"/>
        <v>0.20076498284661723</v>
      </c>
      <c r="N28" s="187">
        <f t="shared" si="10"/>
        <v>0.17065023541962465</v>
      </c>
      <c r="O28" s="187">
        <f t="shared" si="10"/>
        <v>0.14505270010668095</v>
      </c>
      <c r="P28" s="187">
        <f t="shared" si="11"/>
        <v>0.1232947950906788</v>
      </c>
      <c r="Q28" s="187">
        <f t="shared" si="11"/>
        <v>0.10480057582707697</v>
      </c>
      <c r="R28" s="187">
        <f t="shared" si="11"/>
        <v>8.9080489453015416E-2</v>
      </c>
    </row>
    <row r="29" spans="2:18" x14ac:dyDescent="0.25">
      <c r="B29" s="181" t="s">
        <v>171</v>
      </c>
      <c r="C29" s="182">
        <v>0.15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388"/>
  <sheetViews>
    <sheetView showGridLines="0" topLeftCell="C1" workbookViewId="0">
      <pane ySplit="8" topLeftCell="A375" activePane="bottomLeft" state="frozen"/>
      <selection pane="bottomLeft" activeCell="B388" sqref="B388:R388"/>
    </sheetView>
  </sheetViews>
  <sheetFormatPr defaultRowHeight="15" x14ac:dyDescent="0.25"/>
  <cols>
    <col min="1" max="1" width="1.85546875" customWidth="1"/>
    <col min="2" max="2" width="37.5703125" bestFit="1" customWidth="1"/>
    <col min="9" max="18" width="11.140625" bestFit="1" customWidth="1"/>
  </cols>
  <sheetData>
    <row r="7" spans="1:18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1:18" ht="15.75" thickBot="1" x14ac:dyDescent="0.3">
      <c r="B8" s="170" t="s">
        <v>326</v>
      </c>
      <c r="C8" s="160"/>
      <c r="D8" s="159" t="s">
        <v>162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167</v>
      </c>
      <c r="J8" s="159" t="s">
        <v>167</v>
      </c>
      <c r="K8" s="159" t="s">
        <v>167</v>
      </c>
      <c r="L8" s="159" t="s">
        <v>167</v>
      </c>
      <c r="M8" s="159" t="s">
        <v>167</v>
      </c>
      <c r="N8" s="159" t="s">
        <v>167</v>
      </c>
      <c r="O8" s="159" t="s">
        <v>167</v>
      </c>
      <c r="P8" s="159" t="s">
        <v>167</v>
      </c>
      <c r="Q8" s="159" t="s">
        <v>167</v>
      </c>
      <c r="R8" s="159" t="s">
        <v>167</v>
      </c>
    </row>
    <row r="9" spans="1:18" x14ac:dyDescent="0.25"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25">
      <c r="B10" s="294" t="s">
        <v>208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</row>
    <row r="11" spans="1:18" x14ac:dyDescent="0.25">
      <c r="A11" t="s">
        <v>207</v>
      </c>
      <c r="B11" s="1" t="s">
        <v>189</v>
      </c>
    </row>
    <row r="12" spans="1:18" x14ac:dyDescent="0.25">
      <c r="B12" s="47" t="s">
        <v>191</v>
      </c>
      <c r="C12" s="5"/>
      <c r="D12" s="145">
        <v>63.32</v>
      </c>
      <c r="E12" s="145">
        <f>D18</f>
        <v>63.11</v>
      </c>
      <c r="F12" s="145">
        <f t="shared" ref="F12:R12" si="1">E18</f>
        <v>62.42</v>
      </c>
      <c r="G12" s="145">
        <f t="shared" si="1"/>
        <v>76.77</v>
      </c>
      <c r="H12" s="145">
        <f t="shared" si="1"/>
        <v>86.03</v>
      </c>
      <c r="I12" s="145">
        <f t="shared" si="1"/>
        <v>86.460000000000008</v>
      </c>
      <c r="J12" s="145">
        <f t="shared" si="1"/>
        <v>91.578000000000003</v>
      </c>
      <c r="K12" s="145">
        <f t="shared" si="1"/>
        <v>96.695999999999998</v>
      </c>
      <c r="L12" s="145">
        <f t="shared" si="1"/>
        <v>101.81399999999999</v>
      </c>
      <c r="M12" s="145">
        <f t="shared" si="1"/>
        <v>106.93199999999999</v>
      </c>
      <c r="N12" s="145">
        <f t="shared" si="1"/>
        <v>112.04999999999998</v>
      </c>
      <c r="O12" s="145">
        <f t="shared" si="1"/>
        <v>117.16799999999998</v>
      </c>
      <c r="P12" s="145">
        <f t="shared" si="1"/>
        <v>122.28599999999997</v>
      </c>
      <c r="Q12" s="145">
        <f t="shared" si="1"/>
        <v>127.40399999999997</v>
      </c>
      <c r="R12" s="145">
        <f t="shared" si="1"/>
        <v>132.52199999999996</v>
      </c>
    </row>
    <row r="13" spans="1:18" x14ac:dyDescent="0.25">
      <c r="B13" t="s">
        <v>190</v>
      </c>
      <c r="D13" s="144">
        <v>0.61</v>
      </c>
      <c r="E13" s="144">
        <v>0.94</v>
      </c>
      <c r="F13" s="144">
        <v>14.35</v>
      </c>
      <c r="G13" s="144">
        <v>9.26</v>
      </c>
      <c r="H13" s="144">
        <v>0.43</v>
      </c>
      <c r="I13" s="116">
        <f>AVERAGE(D13:H13)</f>
        <v>5.1179999999999994</v>
      </c>
      <c r="J13" s="116">
        <f>I13</f>
        <v>5.1179999999999994</v>
      </c>
      <c r="K13" s="116">
        <f t="shared" ref="K13:R13" si="2">J13</f>
        <v>5.1179999999999994</v>
      </c>
      <c r="L13" s="116">
        <f t="shared" si="2"/>
        <v>5.1179999999999994</v>
      </c>
      <c r="M13" s="116">
        <f t="shared" si="2"/>
        <v>5.1179999999999994</v>
      </c>
      <c r="N13" s="116">
        <f t="shared" si="2"/>
        <v>5.1179999999999994</v>
      </c>
      <c r="O13" s="116">
        <f t="shared" si="2"/>
        <v>5.1179999999999994</v>
      </c>
      <c r="P13" s="116">
        <f t="shared" si="2"/>
        <v>5.1179999999999994</v>
      </c>
      <c r="Q13" s="116">
        <f t="shared" si="2"/>
        <v>5.1179999999999994</v>
      </c>
      <c r="R13" s="116">
        <f t="shared" si="2"/>
        <v>5.1179999999999994</v>
      </c>
    </row>
    <row r="14" spans="1:18" x14ac:dyDescent="0.25">
      <c r="B14" t="s">
        <v>192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x14ac:dyDescent="0.25">
      <c r="B15" t="s">
        <v>193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</row>
    <row r="16" spans="1:18" x14ac:dyDescent="0.25">
      <c r="B16" t="s">
        <v>198</v>
      </c>
      <c r="D16" s="144">
        <v>-0.82</v>
      </c>
      <c r="E16" s="144">
        <v>-0.69</v>
      </c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</row>
    <row r="17" spans="1:18" x14ac:dyDescent="0.25">
      <c r="B17" t="s">
        <v>194</v>
      </c>
      <c r="D17" s="144"/>
      <c r="E17" s="144">
        <v>-0.94</v>
      </c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x14ac:dyDescent="0.25">
      <c r="B18" s="47" t="s">
        <v>195</v>
      </c>
      <c r="C18" s="5"/>
      <c r="D18" s="145">
        <f t="shared" ref="D18:R18" si="3">SUM(D12:D17)</f>
        <v>63.11</v>
      </c>
      <c r="E18" s="145">
        <f t="shared" si="3"/>
        <v>62.42</v>
      </c>
      <c r="F18" s="145">
        <f t="shared" si="3"/>
        <v>76.77</v>
      </c>
      <c r="G18" s="145">
        <f t="shared" si="3"/>
        <v>86.03</v>
      </c>
      <c r="H18" s="145">
        <f t="shared" si="3"/>
        <v>86.460000000000008</v>
      </c>
      <c r="I18" s="145">
        <f t="shared" si="3"/>
        <v>91.578000000000003</v>
      </c>
      <c r="J18" s="145">
        <f t="shared" si="3"/>
        <v>96.695999999999998</v>
      </c>
      <c r="K18" s="145">
        <f t="shared" si="3"/>
        <v>101.81399999999999</v>
      </c>
      <c r="L18" s="145">
        <f t="shared" si="3"/>
        <v>106.93199999999999</v>
      </c>
      <c r="M18" s="145">
        <f t="shared" si="3"/>
        <v>112.04999999999998</v>
      </c>
      <c r="N18" s="145">
        <f t="shared" si="3"/>
        <v>117.16799999999998</v>
      </c>
      <c r="O18" s="145">
        <f t="shared" si="3"/>
        <v>122.28599999999997</v>
      </c>
      <c r="P18" s="145">
        <f t="shared" si="3"/>
        <v>127.40399999999997</v>
      </c>
      <c r="Q18" s="145">
        <f t="shared" si="3"/>
        <v>132.52199999999996</v>
      </c>
      <c r="R18" s="145">
        <f t="shared" si="3"/>
        <v>137.63999999999996</v>
      </c>
    </row>
    <row r="19" spans="1:18" x14ac:dyDescent="0.25">
      <c r="B19" s="46" t="s">
        <v>196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</row>
    <row r="20" spans="1:18" x14ac:dyDescent="0.25">
      <c r="B20" s="46" t="s">
        <v>220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 x14ac:dyDescent="0.25">
      <c r="B21" t="s">
        <v>221</v>
      </c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 x14ac:dyDescent="0.25">
      <c r="B22" t="s">
        <v>198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 x14ac:dyDescent="0.25">
      <c r="B23" t="s">
        <v>194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 x14ac:dyDescent="0.25">
      <c r="B24" t="s">
        <v>193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</row>
    <row r="25" spans="1:18" x14ac:dyDescent="0.25">
      <c r="B25" t="s">
        <v>192</v>
      </c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</row>
    <row r="26" spans="1:18" x14ac:dyDescent="0.25">
      <c r="B26" s="47" t="s">
        <v>197</v>
      </c>
      <c r="C26" s="5"/>
      <c r="D26" s="145">
        <f t="shared" ref="D26:R26" si="4">SUM(D18:D25)</f>
        <v>63.11</v>
      </c>
      <c r="E26" s="145">
        <f t="shared" si="4"/>
        <v>62.42</v>
      </c>
      <c r="F26" s="145">
        <f t="shared" si="4"/>
        <v>76.77</v>
      </c>
      <c r="G26" s="145">
        <f t="shared" si="4"/>
        <v>86.03</v>
      </c>
      <c r="H26" s="145">
        <f t="shared" si="4"/>
        <v>86.460000000000008</v>
      </c>
      <c r="I26" s="145">
        <f t="shared" si="4"/>
        <v>91.578000000000003</v>
      </c>
      <c r="J26" s="145">
        <f t="shared" si="4"/>
        <v>96.695999999999998</v>
      </c>
      <c r="K26" s="145">
        <f t="shared" si="4"/>
        <v>101.81399999999999</v>
      </c>
      <c r="L26" s="145">
        <f t="shared" si="4"/>
        <v>106.93199999999999</v>
      </c>
      <c r="M26" s="145">
        <f t="shared" si="4"/>
        <v>112.04999999999998</v>
      </c>
      <c r="N26" s="145">
        <f t="shared" si="4"/>
        <v>117.16799999999998</v>
      </c>
      <c r="O26" s="145">
        <f t="shared" si="4"/>
        <v>122.28599999999997</v>
      </c>
      <c r="P26" s="145">
        <f t="shared" si="4"/>
        <v>127.40399999999997</v>
      </c>
      <c r="Q26" s="145">
        <f t="shared" si="4"/>
        <v>132.52199999999996</v>
      </c>
      <c r="R26" s="145">
        <f t="shared" si="4"/>
        <v>137.63999999999996</v>
      </c>
    </row>
    <row r="27" spans="1:18" x14ac:dyDescent="0.25"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</row>
    <row r="28" spans="1:18" x14ac:dyDescent="0.25">
      <c r="A28" t="s">
        <v>207</v>
      </c>
      <c r="B28" s="1" t="s">
        <v>199</v>
      </c>
      <c r="D28" s="116"/>
      <c r="E28" s="177"/>
      <c r="F28" s="177"/>
      <c r="G28" s="177"/>
      <c r="H28" s="177"/>
      <c r="I28" s="116"/>
      <c r="J28" s="116"/>
      <c r="K28" s="116"/>
      <c r="L28" s="116"/>
      <c r="M28" s="116"/>
      <c r="N28" s="116"/>
      <c r="O28" s="116"/>
      <c r="P28" s="116"/>
      <c r="Q28" s="116"/>
      <c r="R28" s="116"/>
    </row>
    <row r="29" spans="1:18" x14ac:dyDescent="0.25">
      <c r="B29" s="47" t="s">
        <v>191</v>
      </c>
      <c r="C29" s="5"/>
      <c r="D29" s="145">
        <v>157.51</v>
      </c>
      <c r="E29" s="145">
        <f>D35</f>
        <v>155.97</v>
      </c>
      <c r="F29" s="145">
        <f t="shared" ref="F29:R29" si="5">E35</f>
        <v>183.39</v>
      </c>
      <c r="G29" s="145">
        <f t="shared" si="5"/>
        <v>208.57</v>
      </c>
      <c r="H29" s="145">
        <f t="shared" si="5"/>
        <v>257.49</v>
      </c>
      <c r="I29" s="145">
        <f t="shared" si="5"/>
        <v>492.14000000000004</v>
      </c>
      <c r="J29" s="145">
        <f t="shared" si="5"/>
        <v>656.67100000000016</v>
      </c>
      <c r="K29" s="145">
        <f t="shared" si="5"/>
        <v>821.20200000000023</v>
      </c>
      <c r="L29" s="145">
        <f t="shared" si="5"/>
        <v>985.73300000000029</v>
      </c>
      <c r="M29" s="145">
        <f t="shared" si="5"/>
        <v>1150.2640000000001</v>
      </c>
      <c r="N29" s="145">
        <f t="shared" si="5"/>
        <v>1314.7950000000001</v>
      </c>
      <c r="O29" s="145">
        <f t="shared" si="5"/>
        <v>1479.326</v>
      </c>
      <c r="P29" s="145">
        <f t="shared" si="5"/>
        <v>1643.857</v>
      </c>
      <c r="Q29" s="145">
        <f t="shared" si="5"/>
        <v>1808.3879999999999</v>
      </c>
      <c r="R29" s="145">
        <f t="shared" si="5"/>
        <v>1972.9189999999999</v>
      </c>
    </row>
    <row r="30" spans="1:18" x14ac:dyDescent="0.25">
      <c r="B30" t="s">
        <v>190</v>
      </c>
      <c r="D30" s="144">
        <v>5.49</v>
      </c>
      <c r="E30" s="144">
        <v>43.94</v>
      </c>
      <c r="F30" s="144">
        <v>61.51</v>
      </c>
      <c r="G30" s="144">
        <v>102.37</v>
      </c>
      <c r="H30" s="144">
        <v>183.71</v>
      </c>
      <c r="I30" s="116">
        <f>AVERAGE(D30:H30)</f>
        <v>79.403999999999996</v>
      </c>
      <c r="J30" s="116">
        <f t="shared" ref="J30:R30" si="6">I30</f>
        <v>79.403999999999996</v>
      </c>
      <c r="K30" s="116">
        <f t="shared" si="6"/>
        <v>79.403999999999996</v>
      </c>
      <c r="L30" s="116">
        <f t="shared" si="6"/>
        <v>79.403999999999996</v>
      </c>
      <c r="M30" s="116">
        <f t="shared" si="6"/>
        <v>79.403999999999996</v>
      </c>
      <c r="N30" s="116">
        <f t="shared" si="6"/>
        <v>79.403999999999996</v>
      </c>
      <c r="O30" s="116">
        <f t="shared" si="6"/>
        <v>79.403999999999996</v>
      </c>
      <c r="P30" s="116">
        <f t="shared" si="6"/>
        <v>79.403999999999996</v>
      </c>
      <c r="Q30" s="116">
        <f t="shared" si="6"/>
        <v>79.403999999999996</v>
      </c>
      <c r="R30" s="116">
        <f t="shared" si="6"/>
        <v>79.403999999999996</v>
      </c>
    </row>
    <row r="31" spans="1:18" x14ac:dyDescent="0.25">
      <c r="B31" t="s">
        <v>192</v>
      </c>
      <c r="D31" s="144"/>
      <c r="E31" s="144"/>
      <c r="F31" s="144"/>
      <c r="G31" s="144"/>
      <c r="H31" s="144">
        <v>123.33</v>
      </c>
      <c r="I31" s="116">
        <f>AVERAGE(D31:H31)</f>
        <v>123.33</v>
      </c>
      <c r="J31" s="116">
        <f t="shared" ref="J31:R31" si="7">I31</f>
        <v>123.33</v>
      </c>
      <c r="K31" s="116">
        <f t="shared" si="7"/>
        <v>123.33</v>
      </c>
      <c r="L31" s="116">
        <f t="shared" si="7"/>
        <v>123.33</v>
      </c>
      <c r="M31" s="116">
        <f t="shared" si="7"/>
        <v>123.33</v>
      </c>
      <c r="N31" s="116">
        <f t="shared" si="7"/>
        <v>123.33</v>
      </c>
      <c r="O31" s="116">
        <f t="shared" si="7"/>
        <v>123.33</v>
      </c>
      <c r="P31" s="116">
        <f t="shared" si="7"/>
        <v>123.33</v>
      </c>
      <c r="Q31" s="116">
        <f t="shared" si="7"/>
        <v>123.33</v>
      </c>
      <c r="R31" s="116">
        <f t="shared" si="7"/>
        <v>123.33</v>
      </c>
    </row>
    <row r="32" spans="1:18" x14ac:dyDescent="0.25">
      <c r="B32" t="s">
        <v>193</v>
      </c>
      <c r="D32" s="144"/>
      <c r="E32" s="144"/>
      <c r="F32" s="144"/>
      <c r="G32" s="144"/>
      <c r="H32" s="144">
        <v>0.03</v>
      </c>
      <c r="I32" s="116">
        <f>AVERAGE(D32:H32)</f>
        <v>0.03</v>
      </c>
      <c r="J32" s="116">
        <f t="shared" ref="J32:R32" si="8">I32</f>
        <v>0.03</v>
      </c>
      <c r="K32" s="116">
        <f t="shared" si="8"/>
        <v>0.03</v>
      </c>
      <c r="L32" s="116">
        <f t="shared" si="8"/>
        <v>0.03</v>
      </c>
      <c r="M32" s="116">
        <f t="shared" si="8"/>
        <v>0.03</v>
      </c>
      <c r="N32" s="116">
        <f t="shared" si="8"/>
        <v>0.03</v>
      </c>
      <c r="O32" s="116">
        <f t="shared" si="8"/>
        <v>0.03</v>
      </c>
      <c r="P32" s="116">
        <f t="shared" si="8"/>
        <v>0.03</v>
      </c>
      <c r="Q32" s="116">
        <f t="shared" si="8"/>
        <v>0.03</v>
      </c>
      <c r="R32" s="116">
        <f t="shared" si="8"/>
        <v>0.03</v>
      </c>
    </row>
    <row r="33" spans="1:18" x14ac:dyDescent="0.25">
      <c r="B33" t="s">
        <v>198</v>
      </c>
      <c r="D33" s="144">
        <v>-1.65</v>
      </c>
      <c r="E33" s="144">
        <v>-1.96</v>
      </c>
      <c r="F33" s="144"/>
      <c r="G33" s="144"/>
      <c r="H33" s="144"/>
      <c r="I33" s="116">
        <f>AVERAGE(D33:H33)</f>
        <v>-1.8049999999999999</v>
      </c>
      <c r="J33" s="116">
        <f t="shared" ref="J33:R33" si="9">I33</f>
        <v>-1.8049999999999999</v>
      </c>
      <c r="K33" s="116">
        <f t="shared" si="9"/>
        <v>-1.8049999999999999</v>
      </c>
      <c r="L33" s="116">
        <f t="shared" si="9"/>
        <v>-1.8049999999999999</v>
      </c>
      <c r="M33" s="116">
        <f t="shared" si="9"/>
        <v>-1.8049999999999999</v>
      </c>
      <c r="N33" s="116">
        <f t="shared" si="9"/>
        <v>-1.8049999999999999</v>
      </c>
      <c r="O33" s="116">
        <f t="shared" si="9"/>
        <v>-1.8049999999999999</v>
      </c>
      <c r="P33" s="116">
        <f t="shared" si="9"/>
        <v>-1.8049999999999999</v>
      </c>
      <c r="Q33" s="116">
        <f t="shared" si="9"/>
        <v>-1.8049999999999999</v>
      </c>
      <c r="R33" s="116">
        <f t="shared" si="9"/>
        <v>-1.8049999999999999</v>
      </c>
    </row>
    <row r="34" spans="1:18" x14ac:dyDescent="0.25">
      <c r="B34" t="s">
        <v>194</v>
      </c>
      <c r="D34" s="144">
        <v>-5.38</v>
      </c>
      <c r="E34" s="144">
        <v>-14.56</v>
      </c>
      <c r="F34" s="144">
        <v>-36.33</v>
      </c>
      <c r="G34" s="144">
        <v>-53.45</v>
      </c>
      <c r="H34" s="144">
        <v>-72.42</v>
      </c>
      <c r="I34" s="116">
        <f>AVERAGE(D34:H34)</f>
        <v>-36.427999999999997</v>
      </c>
      <c r="J34" s="116">
        <f t="shared" ref="J34:R34" si="10">I34</f>
        <v>-36.427999999999997</v>
      </c>
      <c r="K34" s="116">
        <f t="shared" si="10"/>
        <v>-36.427999999999997</v>
      </c>
      <c r="L34" s="116">
        <f t="shared" si="10"/>
        <v>-36.427999999999997</v>
      </c>
      <c r="M34" s="116">
        <f t="shared" si="10"/>
        <v>-36.427999999999997</v>
      </c>
      <c r="N34" s="116">
        <f t="shared" si="10"/>
        <v>-36.427999999999997</v>
      </c>
      <c r="O34" s="116">
        <f t="shared" si="10"/>
        <v>-36.427999999999997</v>
      </c>
      <c r="P34" s="116">
        <f t="shared" si="10"/>
        <v>-36.427999999999997</v>
      </c>
      <c r="Q34" s="116">
        <f t="shared" si="10"/>
        <v>-36.427999999999997</v>
      </c>
      <c r="R34" s="116">
        <f t="shared" si="10"/>
        <v>-36.427999999999997</v>
      </c>
    </row>
    <row r="35" spans="1:18" s="1" customFormat="1" x14ac:dyDescent="0.25">
      <c r="A35"/>
      <c r="B35" s="47" t="s">
        <v>195</v>
      </c>
      <c r="C35" s="5"/>
      <c r="D35" s="145">
        <f t="shared" ref="D35:R35" si="11">SUM(D29:D34)</f>
        <v>155.97</v>
      </c>
      <c r="E35" s="145">
        <f t="shared" si="11"/>
        <v>183.39</v>
      </c>
      <c r="F35" s="145">
        <f t="shared" si="11"/>
        <v>208.57</v>
      </c>
      <c r="G35" s="145">
        <f t="shared" si="11"/>
        <v>257.49</v>
      </c>
      <c r="H35" s="145">
        <f t="shared" si="11"/>
        <v>492.14000000000004</v>
      </c>
      <c r="I35" s="145">
        <f t="shared" si="11"/>
        <v>656.67100000000016</v>
      </c>
      <c r="J35" s="145">
        <f t="shared" si="11"/>
        <v>821.20200000000023</v>
      </c>
      <c r="K35" s="145">
        <f t="shared" si="11"/>
        <v>985.73300000000029</v>
      </c>
      <c r="L35" s="145">
        <f t="shared" si="11"/>
        <v>1150.2640000000001</v>
      </c>
      <c r="M35" s="145">
        <f t="shared" si="11"/>
        <v>1314.7950000000001</v>
      </c>
      <c r="N35" s="145">
        <f t="shared" si="11"/>
        <v>1479.326</v>
      </c>
      <c r="O35" s="145">
        <f t="shared" si="11"/>
        <v>1643.857</v>
      </c>
      <c r="P35" s="145">
        <f t="shared" si="11"/>
        <v>1808.3879999999999</v>
      </c>
      <c r="Q35" s="145">
        <f t="shared" si="11"/>
        <v>1972.9189999999999</v>
      </c>
      <c r="R35" s="145">
        <f t="shared" si="11"/>
        <v>2137.4500000000003</v>
      </c>
    </row>
    <row r="36" spans="1:18" x14ac:dyDescent="0.25">
      <c r="B36" s="46" t="s">
        <v>196</v>
      </c>
      <c r="D36" s="144">
        <v>54.89</v>
      </c>
      <c r="E36" s="144">
        <v>65.77</v>
      </c>
      <c r="F36" s="144">
        <v>75.3</v>
      </c>
      <c r="G36" s="144">
        <v>119.19</v>
      </c>
      <c r="H36" s="144">
        <v>192.53</v>
      </c>
      <c r="I36" s="116">
        <f>SUM(H36:H42)-H37</f>
        <v>252.55</v>
      </c>
      <c r="J36" s="116">
        <f t="shared" ref="J36:R36" si="12">SUM(I36:I42)-I37</f>
        <v>304.35000000000002</v>
      </c>
      <c r="K36" s="116">
        <f t="shared" si="12"/>
        <v>356.15000000000003</v>
      </c>
      <c r="L36" s="116">
        <f t="shared" si="12"/>
        <v>407.95000000000005</v>
      </c>
      <c r="M36" s="116">
        <f t="shared" si="12"/>
        <v>459.75000000000006</v>
      </c>
      <c r="N36" s="116">
        <f t="shared" si="12"/>
        <v>511.55</v>
      </c>
      <c r="O36" s="116">
        <f t="shared" si="12"/>
        <v>563.35</v>
      </c>
      <c r="P36" s="116">
        <f t="shared" si="12"/>
        <v>615.15</v>
      </c>
      <c r="Q36" s="116">
        <f t="shared" si="12"/>
        <v>666.94999999999993</v>
      </c>
      <c r="R36" s="116">
        <f t="shared" si="12"/>
        <v>718.74999999999989</v>
      </c>
    </row>
    <row r="37" spans="1:18" x14ac:dyDescent="0.25">
      <c r="B37" s="46" t="s">
        <v>220</v>
      </c>
      <c r="D37" s="144">
        <v>0.51</v>
      </c>
      <c r="E37" s="144">
        <v>0.68</v>
      </c>
      <c r="F37" s="144">
        <v>0.71</v>
      </c>
      <c r="G37" s="144">
        <v>0.57999999999999996</v>
      </c>
      <c r="H37" s="144">
        <v>0.03</v>
      </c>
      <c r="I37" s="116">
        <f t="shared" ref="I37:I42" si="13">AVERAGE(D37:H37)</f>
        <v>0.502</v>
      </c>
      <c r="J37" s="116">
        <f t="shared" ref="J37:R37" si="14">I37</f>
        <v>0.502</v>
      </c>
      <c r="K37" s="116">
        <f t="shared" si="14"/>
        <v>0.502</v>
      </c>
      <c r="L37" s="116">
        <f t="shared" si="14"/>
        <v>0.502</v>
      </c>
      <c r="M37" s="116">
        <f t="shared" si="14"/>
        <v>0.502</v>
      </c>
      <c r="N37" s="116">
        <f t="shared" si="14"/>
        <v>0.502</v>
      </c>
      <c r="O37" s="116">
        <f t="shared" si="14"/>
        <v>0.502</v>
      </c>
      <c r="P37" s="116">
        <f t="shared" si="14"/>
        <v>0.502</v>
      </c>
      <c r="Q37" s="116">
        <f t="shared" si="14"/>
        <v>0.502</v>
      </c>
      <c r="R37" s="116">
        <f t="shared" si="14"/>
        <v>0.502</v>
      </c>
    </row>
    <row r="38" spans="1:18" x14ac:dyDescent="0.25">
      <c r="B38" t="s">
        <v>221</v>
      </c>
      <c r="D38" s="144">
        <v>10.68</v>
      </c>
      <c r="E38" s="144">
        <v>10.97</v>
      </c>
      <c r="F38" s="144">
        <v>52.99</v>
      </c>
      <c r="G38" s="144">
        <v>93</v>
      </c>
      <c r="H38" s="144">
        <v>88.86</v>
      </c>
      <c r="I38" s="116">
        <f t="shared" si="13"/>
        <v>51.3</v>
      </c>
      <c r="J38" s="116">
        <f t="shared" ref="J38:R38" si="15">I38</f>
        <v>51.3</v>
      </c>
      <c r="K38" s="116">
        <f t="shared" si="15"/>
        <v>51.3</v>
      </c>
      <c r="L38" s="116">
        <f t="shared" si="15"/>
        <v>51.3</v>
      </c>
      <c r="M38" s="116">
        <f t="shared" si="15"/>
        <v>51.3</v>
      </c>
      <c r="N38" s="116">
        <f t="shared" si="15"/>
        <v>51.3</v>
      </c>
      <c r="O38" s="116">
        <f t="shared" si="15"/>
        <v>51.3</v>
      </c>
      <c r="P38" s="116">
        <f t="shared" si="15"/>
        <v>51.3</v>
      </c>
      <c r="Q38" s="116">
        <f t="shared" si="15"/>
        <v>51.3</v>
      </c>
      <c r="R38" s="116">
        <f t="shared" si="15"/>
        <v>51.3</v>
      </c>
    </row>
    <row r="39" spans="1:18" x14ac:dyDescent="0.25">
      <c r="B39" t="s">
        <v>198</v>
      </c>
      <c r="D39" s="144">
        <v>-0.1</v>
      </c>
      <c r="E39" s="144">
        <v>-0.18</v>
      </c>
      <c r="F39" s="144"/>
      <c r="G39" s="144"/>
      <c r="H39" s="144"/>
      <c r="I39" s="116">
        <f t="shared" si="13"/>
        <v>-0.14000000000000001</v>
      </c>
      <c r="J39" s="116">
        <f t="shared" ref="J39:R39" si="16">I39</f>
        <v>-0.14000000000000001</v>
      </c>
      <c r="K39" s="116">
        <f t="shared" si="16"/>
        <v>-0.14000000000000001</v>
      </c>
      <c r="L39" s="116">
        <f t="shared" si="16"/>
        <v>-0.14000000000000001</v>
      </c>
      <c r="M39" s="116">
        <f t="shared" si="16"/>
        <v>-0.14000000000000001</v>
      </c>
      <c r="N39" s="116">
        <f t="shared" si="16"/>
        <v>-0.14000000000000001</v>
      </c>
      <c r="O39" s="116">
        <f t="shared" si="16"/>
        <v>-0.14000000000000001</v>
      </c>
      <c r="P39" s="116">
        <f t="shared" si="16"/>
        <v>-0.14000000000000001</v>
      </c>
      <c r="Q39" s="116">
        <f t="shared" si="16"/>
        <v>-0.14000000000000001</v>
      </c>
      <c r="R39" s="116">
        <f t="shared" si="16"/>
        <v>-0.14000000000000001</v>
      </c>
    </row>
    <row r="40" spans="1:18" x14ac:dyDescent="0.25">
      <c r="B40" t="s">
        <v>194</v>
      </c>
      <c r="D40" s="144">
        <v>0.3</v>
      </c>
      <c r="E40" s="144">
        <v>-1.26</v>
      </c>
      <c r="F40" s="144">
        <v>-9.1</v>
      </c>
      <c r="G40" s="144">
        <v>-19.66</v>
      </c>
      <c r="H40" s="144">
        <v>-44.28</v>
      </c>
      <c r="I40" s="116">
        <f t="shared" si="13"/>
        <v>-14.8</v>
      </c>
      <c r="J40" s="116">
        <f t="shared" ref="J40:R40" si="17">I40</f>
        <v>-14.8</v>
      </c>
      <c r="K40" s="116">
        <f t="shared" si="17"/>
        <v>-14.8</v>
      </c>
      <c r="L40" s="116">
        <f t="shared" si="17"/>
        <v>-14.8</v>
      </c>
      <c r="M40" s="116">
        <f t="shared" si="17"/>
        <v>-14.8</v>
      </c>
      <c r="N40" s="116">
        <f t="shared" si="17"/>
        <v>-14.8</v>
      </c>
      <c r="O40" s="116">
        <f t="shared" si="17"/>
        <v>-14.8</v>
      </c>
      <c r="P40" s="116">
        <f t="shared" si="17"/>
        <v>-14.8</v>
      </c>
      <c r="Q40" s="116">
        <f t="shared" si="17"/>
        <v>-14.8</v>
      </c>
      <c r="R40" s="116">
        <f t="shared" si="17"/>
        <v>-14.8</v>
      </c>
    </row>
    <row r="41" spans="1:18" x14ac:dyDescent="0.25">
      <c r="B41" t="s">
        <v>193</v>
      </c>
      <c r="D41" s="144"/>
      <c r="E41" s="144"/>
      <c r="F41" s="144"/>
      <c r="G41" s="144"/>
      <c r="H41" s="144">
        <v>0.01</v>
      </c>
      <c r="I41" s="116">
        <f t="shared" si="13"/>
        <v>0.01</v>
      </c>
      <c r="J41" s="116">
        <f t="shared" ref="J41:R41" si="18">I41</f>
        <v>0.01</v>
      </c>
      <c r="K41" s="116">
        <f t="shared" si="18"/>
        <v>0.01</v>
      </c>
      <c r="L41" s="116">
        <f t="shared" si="18"/>
        <v>0.01</v>
      </c>
      <c r="M41" s="116">
        <f t="shared" si="18"/>
        <v>0.01</v>
      </c>
      <c r="N41" s="116">
        <f t="shared" si="18"/>
        <v>0.01</v>
      </c>
      <c r="O41" s="116">
        <f t="shared" si="18"/>
        <v>0.01</v>
      </c>
      <c r="P41" s="116">
        <f t="shared" si="18"/>
        <v>0.01</v>
      </c>
      <c r="Q41" s="116">
        <f t="shared" si="18"/>
        <v>0.01</v>
      </c>
      <c r="R41" s="116">
        <f t="shared" si="18"/>
        <v>0.01</v>
      </c>
    </row>
    <row r="42" spans="1:18" x14ac:dyDescent="0.25">
      <c r="B42" t="s">
        <v>192</v>
      </c>
      <c r="D42" s="144"/>
      <c r="E42" s="144"/>
      <c r="F42" s="144"/>
      <c r="G42" s="144"/>
      <c r="H42" s="144">
        <v>15.43</v>
      </c>
      <c r="I42" s="116">
        <f t="shared" si="13"/>
        <v>15.43</v>
      </c>
      <c r="J42" s="116">
        <f t="shared" ref="J42:R42" si="19">I42</f>
        <v>15.43</v>
      </c>
      <c r="K42" s="116">
        <f t="shared" si="19"/>
        <v>15.43</v>
      </c>
      <c r="L42" s="116">
        <f t="shared" si="19"/>
        <v>15.43</v>
      </c>
      <c r="M42" s="116">
        <f t="shared" si="19"/>
        <v>15.43</v>
      </c>
      <c r="N42" s="116">
        <f t="shared" si="19"/>
        <v>15.43</v>
      </c>
      <c r="O42" s="116">
        <f t="shared" si="19"/>
        <v>15.43</v>
      </c>
      <c r="P42" s="116">
        <f t="shared" si="19"/>
        <v>15.43</v>
      </c>
      <c r="Q42" s="116">
        <f t="shared" si="19"/>
        <v>15.43</v>
      </c>
      <c r="R42" s="116">
        <f t="shared" si="19"/>
        <v>15.43</v>
      </c>
    </row>
    <row r="43" spans="1:18" x14ac:dyDescent="0.25">
      <c r="B43" s="47" t="s">
        <v>197</v>
      </c>
      <c r="C43" s="5"/>
      <c r="D43" s="145">
        <f t="shared" ref="D43:R43" si="20">D35-SUM(D36:D42)</f>
        <v>89.69</v>
      </c>
      <c r="E43" s="145">
        <f t="shared" si="20"/>
        <v>107.41</v>
      </c>
      <c r="F43" s="145">
        <f t="shared" si="20"/>
        <v>88.669999999999987</v>
      </c>
      <c r="G43" s="145">
        <f t="shared" si="20"/>
        <v>64.380000000000024</v>
      </c>
      <c r="H43" s="145">
        <f t="shared" si="20"/>
        <v>239.56000000000003</v>
      </c>
      <c r="I43" s="145">
        <f t="shared" si="20"/>
        <v>351.81900000000013</v>
      </c>
      <c r="J43" s="145">
        <f t="shared" si="20"/>
        <v>464.55000000000018</v>
      </c>
      <c r="K43" s="145">
        <f t="shared" si="20"/>
        <v>577.28100000000018</v>
      </c>
      <c r="L43" s="145">
        <f t="shared" si="20"/>
        <v>690.01200000000006</v>
      </c>
      <c r="M43" s="145">
        <f t="shared" si="20"/>
        <v>802.74300000000005</v>
      </c>
      <c r="N43" s="145">
        <f t="shared" si="20"/>
        <v>915.47400000000005</v>
      </c>
      <c r="O43" s="145">
        <f t="shared" si="20"/>
        <v>1028.2049999999999</v>
      </c>
      <c r="P43" s="145">
        <f t="shared" si="20"/>
        <v>1140.9360000000001</v>
      </c>
      <c r="Q43" s="145">
        <f t="shared" si="20"/>
        <v>1253.6669999999999</v>
      </c>
      <c r="R43" s="145">
        <f t="shared" si="20"/>
        <v>1366.3980000000006</v>
      </c>
    </row>
    <row r="44" spans="1:18" x14ac:dyDescent="0.25"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</row>
    <row r="45" spans="1:18" x14ac:dyDescent="0.25">
      <c r="A45" t="s">
        <v>207</v>
      </c>
      <c r="B45" s="1" t="s">
        <v>200</v>
      </c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</row>
    <row r="46" spans="1:18" x14ac:dyDescent="0.25">
      <c r="B46" s="47" t="s">
        <v>191</v>
      </c>
      <c r="C46" s="5"/>
      <c r="D46" s="145">
        <v>303.55</v>
      </c>
      <c r="E46" s="145">
        <f>D52</f>
        <v>315.93</v>
      </c>
      <c r="F46" s="145">
        <f t="shared" ref="F46:R46" si="21">E52</f>
        <v>316.74</v>
      </c>
      <c r="G46" s="145">
        <f t="shared" si="21"/>
        <v>320.94</v>
      </c>
      <c r="H46" s="145">
        <f t="shared" si="21"/>
        <v>326.33</v>
      </c>
      <c r="I46" s="145">
        <f t="shared" si="21"/>
        <v>486.43999999999994</v>
      </c>
      <c r="J46" s="145">
        <f t="shared" si="21"/>
        <v>520.42599999999993</v>
      </c>
      <c r="K46" s="145">
        <f t="shared" si="21"/>
        <v>554.41199999999992</v>
      </c>
      <c r="L46" s="145">
        <f t="shared" si="21"/>
        <v>588.39799999999991</v>
      </c>
      <c r="M46" s="145">
        <f t="shared" si="21"/>
        <v>622.3839999999999</v>
      </c>
      <c r="N46" s="145">
        <f t="shared" si="21"/>
        <v>656.36999999999989</v>
      </c>
      <c r="O46" s="145">
        <f t="shared" si="21"/>
        <v>690.35599999999988</v>
      </c>
      <c r="P46" s="145">
        <f t="shared" si="21"/>
        <v>724.34199999999987</v>
      </c>
      <c r="Q46" s="145">
        <f t="shared" si="21"/>
        <v>758.32799999999986</v>
      </c>
      <c r="R46" s="145">
        <f t="shared" si="21"/>
        <v>792.31399999999985</v>
      </c>
    </row>
    <row r="47" spans="1:18" x14ac:dyDescent="0.25">
      <c r="B47" t="s">
        <v>190</v>
      </c>
      <c r="D47" s="116">
        <v>12.38</v>
      </c>
      <c r="E47" s="116">
        <v>5.58</v>
      </c>
      <c r="F47" s="116">
        <v>4.2</v>
      </c>
      <c r="G47" s="116">
        <v>5.39</v>
      </c>
      <c r="H47" s="116">
        <v>163.98</v>
      </c>
      <c r="I47" s="116">
        <f>AVERAGE(D47:H47)</f>
        <v>38.305999999999997</v>
      </c>
      <c r="J47" s="116">
        <f t="shared" ref="J47:R47" si="22">I47</f>
        <v>38.305999999999997</v>
      </c>
      <c r="K47" s="116">
        <f t="shared" si="22"/>
        <v>38.305999999999997</v>
      </c>
      <c r="L47" s="116">
        <f t="shared" si="22"/>
        <v>38.305999999999997</v>
      </c>
      <c r="M47" s="116">
        <f t="shared" si="22"/>
        <v>38.305999999999997</v>
      </c>
      <c r="N47" s="116">
        <f t="shared" si="22"/>
        <v>38.305999999999997</v>
      </c>
      <c r="O47" s="116">
        <f t="shared" si="22"/>
        <v>38.305999999999997</v>
      </c>
      <c r="P47" s="116">
        <f t="shared" si="22"/>
        <v>38.305999999999997</v>
      </c>
      <c r="Q47" s="116">
        <f t="shared" si="22"/>
        <v>38.305999999999997</v>
      </c>
      <c r="R47" s="116">
        <f t="shared" si="22"/>
        <v>38.305999999999997</v>
      </c>
    </row>
    <row r="48" spans="1:18" x14ac:dyDescent="0.25">
      <c r="B48" t="s">
        <v>192</v>
      </c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</row>
    <row r="49" spans="1:18" x14ac:dyDescent="0.25">
      <c r="B49" t="s">
        <v>193</v>
      </c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</row>
    <row r="50" spans="1:18" x14ac:dyDescent="0.25">
      <c r="B50" t="s">
        <v>198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</row>
    <row r="51" spans="1:18" x14ac:dyDescent="0.25">
      <c r="B51" t="s">
        <v>194</v>
      </c>
      <c r="D51" s="116"/>
      <c r="E51" s="116">
        <v>-4.7699999999999996</v>
      </c>
      <c r="F51" s="116"/>
      <c r="G51" s="116"/>
      <c r="H51" s="116">
        <v>-3.87</v>
      </c>
      <c r="I51" s="116">
        <f>AVERAGE(D51:H51)</f>
        <v>-4.32</v>
      </c>
      <c r="J51" s="116">
        <f t="shared" ref="J51:R51" si="23">I51</f>
        <v>-4.32</v>
      </c>
      <c r="K51" s="116">
        <f t="shared" si="23"/>
        <v>-4.32</v>
      </c>
      <c r="L51" s="116">
        <f t="shared" si="23"/>
        <v>-4.32</v>
      </c>
      <c r="M51" s="116">
        <f t="shared" si="23"/>
        <v>-4.32</v>
      </c>
      <c r="N51" s="116">
        <f t="shared" si="23"/>
        <v>-4.32</v>
      </c>
      <c r="O51" s="116">
        <f t="shared" si="23"/>
        <v>-4.32</v>
      </c>
      <c r="P51" s="116">
        <f t="shared" si="23"/>
        <v>-4.32</v>
      </c>
      <c r="Q51" s="116">
        <f t="shared" si="23"/>
        <v>-4.32</v>
      </c>
      <c r="R51" s="116">
        <f t="shared" si="23"/>
        <v>-4.32</v>
      </c>
    </row>
    <row r="52" spans="1:18" x14ac:dyDescent="0.25">
      <c r="B52" s="47" t="s">
        <v>195</v>
      </c>
      <c r="C52" s="5"/>
      <c r="D52" s="145">
        <f t="shared" ref="D52:R52" si="24">SUM(D46:D51)</f>
        <v>315.93</v>
      </c>
      <c r="E52" s="145">
        <f t="shared" si="24"/>
        <v>316.74</v>
      </c>
      <c r="F52" s="145">
        <f t="shared" si="24"/>
        <v>320.94</v>
      </c>
      <c r="G52" s="145">
        <f t="shared" si="24"/>
        <v>326.33</v>
      </c>
      <c r="H52" s="145">
        <f t="shared" si="24"/>
        <v>486.43999999999994</v>
      </c>
      <c r="I52" s="145">
        <f t="shared" si="24"/>
        <v>520.42599999999993</v>
      </c>
      <c r="J52" s="145">
        <f t="shared" si="24"/>
        <v>554.41199999999992</v>
      </c>
      <c r="K52" s="145">
        <f t="shared" si="24"/>
        <v>588.39799999999991</v>
      </c>
      <c r="L52" s="145">
        <f t="shared" si="24"/>
        <v>622.3839999999999</v>
      </c>
      <c r="M52" s="145">
        <f t="shared" si="24"/>
        <v>656.36999999999989</v>
      </c>
      <c r="N52" s="145">
        <f t="shared" si="24"/>
        <v>690.35599999999988</v>
      </c>
      <c r="O52" s="145">
        <f t="shared" si="24"/>
        <v>724.34199999999987</v>
      </c>
      <c r="P52" s="145">
        <f t="shared" si="24"/>
        <v>758.32799999999986</v>
      </c>
      <c r="Q52" s="145">
        <f t="shared" si="24"/>
        <v>792.31399999999985</v>
      </c>
      <c r="R52" s="145">
        <f t="shared" si="24"/>
        <v>826.29999999999984</v>
      </c>
    </row>
    <row r="53" spans="1:18" x14ac:dyDescent="0.25">
      <c r="B53" s="46" t="s">
        <v>196</v>
      </c>
      <c r="D53" s="116">
        <v>33.74</v>
      </c>
      <c r="E53" s="116">
        <v>39.04</v>
      </c>
      <c r="F53" s="116">
        <v>44.4</v>
      </c>
      <c r="G53" s="116">
        <v>45.64</v>
      </c>
      <c r="H53" s="116">
        <v>51.27</v>
      </c>
      <c r="I53" s="116">
        <f t="shared" ref="I53:R53" si="25">SUM(H53:H59)-H54</f>
        <v>57.06</v>
      </c>
      <c r="J53" s="116">
        <f t="shared" si="25"/>
        <v>61.589333333333336</v>
      </c>
      <c r="K53" s="116">
        <f t="shared" si="25"/>
        <v>66.118666666666655</v>
      </c>
      <c r="L53" s="116">
        <f t="shared" si="25"/>
        <v>70.647999999999982</v>
      </c>
      <c r="M53" s="116">
        <f t="shared" si="25"/>
        <v>75.177333333333308</v>
      </c>
      <c r="N53" s="116">
        <f t="shared" si="25"/>
        <v>79.706666666666635</v>
      </c>
      <c r="O53" s="116">
        <f t="shared" si="25"/>
        <v>84.235999999999962</v>
      </c>
      <c r="P53" s="116">
        <f t="shared" si="25"/>
        <v>88.765333333333288</v>
      </c>
      <c r="Q53" s="116">
        <f t="shared" si="25"/>
        <v>93.294666666666615</v>
      </c>
      <c r="R53" s="116">
        <f t="shared" si="25"/>
        <v>97.823999999999941</v>
      </c>
    </row>
    <row r="54" spans="1:18" x14ac:dyDescent="0.25">
      <c r="B54" s="46" t="s">
        <v>220</v>
      </c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</row>
    <row r="55" spans="1:18" x14ac:dyDescent="0.25">
      <c r="B55" t="s">
        <v>221</v>
      </c>
      <c r="D55" s="116">
        <v>5.3</v>
      </c>
      <c r="E55" s="116">
        <v>5.64</v>
      </c>
      <c r="F55" s="116">
        <v>1.25</v>
      </c>
      <c r="G55" s="116">
        <v>5.63</v>
      </c>
      <c r="H55" s="116">
        <v>6.51</v>
      </c>
      <c r="I55" s="116">
        <f>AVERAGE(D55:H55)</f>
        <v>4.8659999999999997</v>
      </c>
      <c r="J55" s="116">
        <f t="shared" ref="J55:R55" si="26">I55</f>
        <v>4.8659999999999997</v>
      </c>
      <c r="K55" s="116">
        <f t="shared" si="26"/>
        <v>4.8659999999999997</v>
      </c>
      <c r="L55" s="116">
        <f t="shared" si="26"/>
        <v>4.8659999999999997</v>
      </c>
      <c r="M55" s="116">
        <f t="shared" si="26"/>
        <v>4.8659999999999997</v>
      </c>
      <c r="N55" s="116">
        <f t="shared" si="26"/>
        <v>4.8659999999999997</v>
      </c>
      <c r="O55" s="116">
        <f t="shared" si="26"/>
        <v>4.8659999999999997</v>
      </c>
      <c r="P55" s="116">
        <f t="shared" si="26"/>
        <v>4.8659999999999997</v>
      </c>
      <c r="Q55" s="116">
        <f t="shared" si="26"/>
        <v>4.8659999999999997</v>
      </c>
      <c r="R55" s="116">
        <f t="shared" si="26"/>
        <v>4.8659999999999997</v>
      </c>
    </row>
    <row r="56" spans="1:18" x14ac:dyDescent="0.25">
      <c r="B56" t="s">
        <v>198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</row>
    <row r="57" spans="1:18" x14ac:dyDescent="0.25">
      <c r="B57" t="s">
        <v>194</v>
      </c>
      <c r="D57" s="116"/>
      <c r="E57" s="116">
        <v>-0.28000000000000003</v>
      </c>
      <c r="F57" s="116">
        <v>-0.01</v>
      </c>
      <c r="G57" s="116"/>
      <c r="H57" s="116">
        <v>-0.72</v>
      </c>
      <c r="I57" s="116">
        <f>AVERAGE(D57:H57)</f>
        <v>-0.33666666666666667</v>
      </c>
      <c r="J57" s="116">
        <f t="shared" ref="J57:R57" si="27">I57</f>
        <v>-0.33666666666666667</v>
      </c>
      <c r="K57" s="116">
        <f t="shared" si="27"/>
        <v>-0.33666666666666667</v>
      </c>
      <c r="L57" s="116">
        <f t="shared" si="27"/>
        <v>-0.33666666666666667</v>
      </c>
      <c r="M57" s="116">
        <f t="shared" si="27"/>
        <v>-0.33666666666666667</v>
      </c>
      <c r="N57" s="116">
        <f t="shared" si="27"/>
        <v>-0.33666666666666667</v>
      </c>
      <c r="O57" s="116">
        <f t="shared" si="27"/>
        <v>-0.33666666666666667</v>
      </c>
      <c r="P57" s="116">
        <f t="shared" si="27"/>
        <v>-0.33666666666666667</v>
      </c>
      <c r="Q57" s="116">
        <f t="shared" si="27"/>
        <v>-0.33666666666666667</v>
      </c>
      <c r="R57" s="116">
        <f t="shared" si="27"/>
        <v>-0.33666666666666667</v>
      </c>
    </row>
    <row r="58" spans="1:18" x14ac:dyDescent="0.25">
      <c r="B58" t="s">
        <v>193</v>
      </c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</row>
    <row r="59" spans="1:18" x14ac:dyDescent="0.25">
      <c r="B59" t="s">
        <v>192</v>
      </c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</row>
    <row r="60" spans="1:18" x14ac:dyDescent="0.25">
      <c r="B60" s="47" t="s">
        <v>197</v>
      </c>
      <c r="C60" s="5"/>
      <c r="D60" s="145">
        <f t="shared" ref="D60:R60" si="28">D52-SUM(D53:D59)</f>
        <v>276.89</v>
      </c>
      <c r="E60" s="145">
        <f t="shared" si="28"/>
        <v>272.34000000000003</v>
      </c>
      <c r="F60" s="145">
        <f t="shared" si="28"/>
        <v>275.3</v>
      </c>
      <c r="G60" s="145">
        <f t="shared" si="28"/>
        <v>275.06</v>
      </c>
      <c r="H60" s="145">
        <f t="shared" si="28"/>
        <v>429.37999999999994</v>
      </c>
      <c r="I60" s="145">
        <f t="shared" si="28"/>
        <v>458.83666666666659</v>
      </c>
      <c r="J60" s="145">
        <f t="shared" si="28"/>
        <v>488.29333333333329</v>
      </c>
      <c r="K60" s="145">
        <f t="shared" si="28"/>
        <v>517.74999999999989</v>
      </c>
      <c r="L60" s="145">
        <f t="shared" si="28"/>
        <v>547.20666666666659</v>
      </c>
      <c r="M60" s="145">
        <f t="shared" si="28"/>
        <v>576.6633333333333</v>
      </c>
      <c r="N60" s="145">
        <f t="shared" si="28"/>
        <v>606.11999999999989</v>
      </c>
      <c r="O60" s="145">
        <f t="shared" si="28"/>
        <v>635.5766666666666</v>
      </c>
      <c r="P60" s="145">
        <f t="shared" si="28"/>
        <v>665.0333333333333</v>
      </c>
      <c r="Q60" s="145">
        <f t="shared" si="28"/>
        <v>694.4899999999999</v>
      </c>
      <c r="R60" s="145">
        <f t="shared" si="28"/>
        <v>723.9466666666666</v>
      </c>
    </row>
    <row r="61" spans="1:18" x14ac:dyDescent="0.25"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</row>
    <row r="62" spans="1:18" x14ac:dyDescent="0.25">
      <c r="A62" t="s">
        <v>207</v>
      </c>
      <c r="B62" s="1" t="s">
        <v>201</v>
      </c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</row>
    <row r="63" spans="1:18" x14ac:dyDescent="0.25">
      <c r="B63" s="47" t="s">
        <v>191</v>
      </c>
      <c r="C63" s="5"/>
      <c r="D63" s="145">
        <v>157.91999999999999</v>
      </c>
      <c r="E63" s="145">
        <f>D69</f>
        <v>168.25</v>
      </c>
      <c r="F63" s="145">
        <f t="shared" ref="F63:R63" si="29">E69</f>
        <v>220.56</v>
      </c>
      <c r="G63" s="145">
        <f t="shared" si="29"/>
        <v>287.45999999999998</v>
      </c>
      <c r="H63" s="145">
        <f t="shared" si="29"/>
        <v>436.78</v>
      </c>
      <c r="I63" s="145">
        <f t="shared" si="29"/>
        <v>825.17</v>
      </c>
      <c r="J63" s="145">
        <f t="shared" si="29"/>
        <v>987.2249999999998</v>
      </c>
      <c r="K63" s="145">
        <f t="shared" si="29"/>
        <v>1149.2799999999997</v>
      </c>
      <c r="L63" s="145">
        <f t="shared" si="29"/>
        <v>1311.3349999999996</v>
      </c>
      <c r="M63" s="145">
        <f t="shared" si="29"/>
        <v>1473.3899999999994</v>
      </c>
      <c r="N63" s="145">
        <f t="shared" si="29"/>
        <v>1635.4449999999993</v>
      </c>
      <c r="O63" s="145">
        <f t="shared" si="29"/>
        <v>1797.4999999999991</v>
      </c>
      <c r="P63" s="145">
        <f t="shared" si="29"/>
        <v>1959.5549999999989</v>
      </c>
      <c r="Q63" s="145">
        <f t="shared" si="29"/>
        <v>2121.6099999999997</v>
      </c>
      <c r="R63" s="145">
        <f t="shared" si="29"/>
        <v>2283.6650000000004</v>
      </c>
    </row>
    <row r="64" spans="1:18" x14ac:dyDescent="0.25">
      <c r="B64" t="s">
        <v>190</v>
      </c>
      <c r="D64" s="116">
        <v>21.82</v>
      </c>
      <c r="E64" s="116">
        <v>76.680000000000007</v>
      </c>
      <c r="F64" s="116">
        <v>120.58</v>
      </c>
      <c r="G64" s="116">
        <v>253.17</v>
      </c>
      <c r="H64" s="116">
        <v>486.47</v>
      </c>
      <c r="I64" s="116">
        <f>AVERAGE(D64:H64)</f>
        <v>191.744</v>
      </c>
      <c r="J64" s="116">
        <f t="shared" ref="J64:R64" si="30">I64</f>
        <v>191.744</v>
      </c>
      <c r="K64" s="116">
        <f t="shared" si="30"/>
        <v>191.744</v>
      </c>
      <c r="L64" s="116">
        <f t="shared" si="30"/>
        <v>191.744</v>
      </c>
      <c r="M64" s="116">
        <f t="shared" si="30"/>
        <v>191.744</v>
      </c>
      <c r="N64" s="116">
        <f t="shared" si="30"/>
        <v>191.744</v>
      </c>
      <c r="O64" s="116">
        <f t="shared" si="30"/>
        <v>191.744</v>
      </c>
      <c r="P64" s="116">
        <f t="shared" si="30"/>
        <v>191.744</v>
      </c>
      <c r="Q64" s="116">
        <f t="shared" si="30"/>
        <v>191.744</v>
      </c>
      <c r="R64" s="116">
        <f t="shared" si="30"/>
        <v>191.744</v>
      </c>
    </row>
    <row r="65" spans="1:18" x14ac:dyDescent="0.25">
      <c r="B65" t="s">
        <v>192</v>
      </c>
      <c r="D65" s="116"/>
      <c r="E65" s="116"/>
      <c r="F65" s="116"/>
      <c r="G65" s="116"/>
      <c r="H65" s="116">
        <v>37.049999999999997</v>
      </c>
      <c r="I65" s="116">
        <f>AVERAGE(D65:H65)</f>
        <v>37.049999999999997</v>
      </c>
      <c r="J65" s="116">
        <f t="shared" ref="J65:R65" si="31">I65</f>
        <v>37.049999999999997</v>
      </c>
      <c r="K65" s="116">
        <f t="shared" si="31"/>
        <v>37.049999999999997</v>
      </c>
      <c r="L65" s="116">
        <f t="shared" si="31"/>
        <v>37.049999999999997</v>
      </c>
      <c r="M65" s="116">
        <f t="shared" si="31"/>
        <v>37.049999999999997</v>
      </c>
      <c r="N65" s="116">
        <f t="shared" si="31"/>
        <v>37.049999999999997</v>
      </c>
      <c r="O65" s="116">
        <f t="shared" si="31"/>
        <v>37.049999999999997</v>
      </c>
      <c r="P65" s="116">
        <f t="shared" si="31"/>
        <v>37.049999999999997</v>
      </c>
      <c r="Q65" s="116">
        <f t="shared" si="31"/>
        <v>37.049999999999997</v>
      </c>
      <c r="R65" s="116">
        <f t="shared" si="31"/>
        <v>37.049999999999997</v>
      </c>
    </row>
    <row r="66" spans="1:18" x14ac:dyDescent="0.25">
      <c r="B66" t="s">
        <v>193</v>
      </c>
      <c r="D66" s="116"/>
      <c r="E66" s="116"/>
      <c r="F66" s="116"/>
      <c r="G66" s="116"/>
      <c r="H66" s="116">
        <v>0.03</v>
      </c>
      <c r="I66" s="116">
        <f>AVERAGE(D66:H66)</f>
        <v>0.03</v>
      </c>
      <c r="J66" s="116">
        <f t="shared" ref="J66:R66" si="32">I66</f>
        <v>0.03</v>
      </c>
      <c r="K66" s="116">
        <f t="shared" si="32"/>
        <v>0.03</v>
      </c>
      <c r="L66" s="116">
        <f t="shared" si="32"/>
        <v>0.03</v>
      </c>
      <c r="M66" s="116">
        <f t="shared" si="32"/>
        <v>0.03</v>
      </c>
      <c r="N66" s="116">
        <f t="shared" si="32"/>
        <v>0.03</v>
      </c>
      <c r="O66" s="116">
        <f t="shared" si="32"/>
        <v>0.03</v>
      </c>
      <c r="P66" s="116">
        <f t="shared" si="32"/>
        <v>0.03</v>
      </c>
      <c r="Q66" s="116">
        <f t="shared" si="32"/>
        <v>0.03</v>
      </c>
      <c r="R66" s="116">
        <f t="shared" si="32"/>
        <v>0.03</v>
      </c>
    </row>
    <row r="67" spans="1:18" x14ac:dyDescent="0.25">
      <c r="B67" t="s">
        <v>198</v>
      </c>
      <c r="D67" s="116">
        <v>-1.07</v>
      </c>
      <c r="E67" s="116">
        <v>-2.46</v>
      </c>
      <c r="F67" s="116"/>
      <c r="G67" s="116"/>
      <c r="H67" s="116"/>
      <c r="I67" s="116">
        <f>AVERAGE(D67:H67)</f>
        <v>-1.7650000000000001</v>
      </c>
      <c r="J67" s="116">
        <f t="shared" ref="J67:R67" si="33">I67</f>
        <v>-1.7650000000000001</v>
      </c>
      <c r="K67" s="116">
        <f t="shared" si="33"/>
        <v>-1.7650000000000001</v>
      </c>
      <c r="L67" s="116">
        <f t="shared" si="33"/>
        <v>-1.7650000000000001</v>
      </c>
      <c r="M67" s="116">
        <f t="shared" si="33"/>
        <v>-1.7650000000000001</v>
      </c>
      <c r="N67" s="116">
        <f t="shared" si="33"/>
        <v>-1.7650000000000001</v>
      </c>
      <c r="O67" s="116">
        <f t="shared" si="33"/>
        <v>-1.7650000000000001</v>
      </c>
      <c r="P67" s="116">
        <f t="shared" si="33"/>
        <v>-1.7650000000000001</v>
      </c>
      <c r="Q67" s="116">
        <f t="shared" si="33"/>
        <v>-1.7650000000000001</v>
      </c>
      <c r="R67" s="116">
        <f t="shared" si="33"/>
        <v>-1.7650000000000001</v>
      </c>
    </row>
    <row r="68" spans="1:18" x14ac:dyDescent="0.25">
      <c r="B68" t="s">
        <v>194</v>
      </c>
      <c r="D68" s="116">
        <v>-10.42</v>
      </c>
      <c r="E68" s="116">
        <v>-21.91</v>
      </c>
      <c r="F68" s="116">
        <v>-53.68</v>
      </c>
      <c r="G68" s="116">
        <v>-103.85</v>
      </c>
      <c r="H68" s="116">
        <v>-135.16</v>
      </c>
      <c r="I68" s="116">
        <f>AVERAGE(D68:H68)</f>
        <v>-65.003999999999991</v>
      </c>
      <c r="J68" s="116">
        <f t="shared" ref="J68:R68" si="34">I68</f>
        <v>-65.003999999999991</v>
      </c>
      <c r="K68" s="116">
        <f t="shared" si="34"/>
        <v>-65.003999999999991</v>
      </c>
      <c r="L68" s="116">
        <f t="shared" si="34"/>
        <v>-65.003999999999991</v>
      </c>
      <c r="M68" s="116">
        <f t="shared" si="34"/>
        <v>-65.003999999999991</v>
      </c>
      <c r="N68" s="116">
        <f t="shared" si="34"/>
        <v>-65.003999999999991</v>
      </c>
      <c r="O68" s="116">
        <f t="shared" si="34"/>
        <v>-65.003999999999991</v>
      </c>
      <c r="P68" s="116">
        <f t="shared" si="34"/>
        <v>-65.003999999999991</v>
      </c>
      <c r="Q68" s="116">
        <f t="shared" si="34"/>
        <v>-65.003999999999991</v>
      </c>
      <c r="R68" s="116">
        <f t="shared" si="34"/>
        <v>-65.003999999999991</v>
      </c>
    </row>
    <row r="69" spans="1:18" x14ac:dyDescent="0.25">
      <c r="B69" s="47" t="s">
        <v>195</v>
      </c>
      <c r="C69" s="9"/>
      <c r="D69" s="145">
        <f t="shared" ref="D69:R69" si="35">SUM(D63:D68)</f>
        <v>168.25</v>
      </c>
      <c r="E69" s="145">
        <f t="shared" si="35"/>
        <v>220.56</v>
      </c>
      <c r="F69" s="145">
        <f t="shared" si="35"/>
        <v>287.45999999999998</v>
      </c>
      <c r="G69" s="145">
        <f t="shared" si="35"/>
        <v>436.78</v>
      </c>
      <c r="H69" s="145">
        <f t="shared" si="35"/>
        <v>825.17</v>
      </c>
      <c r="I69" s="145">
        <f t="shared" si="35"/>
        <v>987.2249999999998</v>
      </c>
      <c r="J69" s="145">
        <f t="shared" si="35"/>
        <v>1149.2799999999997</v>
      </c>
      <c r="K69" s="145">
        <f t="shared" si="35"/>
        <v>1311.3349999999996</v>
      </c>
      <c r="L69" s="145">
        <f t="shared" si="35"/>
        <v>1473.3899999999994</v>
      </c>
      <c r="M69" s="145">
        <f t="shared" si="35"/>
        <v>1635.4449999999993</v>
      </c>
      <c r="N69" s="145">
        <f t="shared" si="35"/>
        <v>1797.4999999999991</v>
      </c>
      <c r="O69" s="145">
        <f t="shared" si="35"/>
        <v>1959.5549999999989</v>
      </c>
      <c r="P69" s="145">
        <f t="shared" si="35"/>
        <v>2121.6099999999997</v>
      </c>
      <c r="Q69" s="145">
        <f t="shared" si="35"/>
        <v>2283.6650000000004</v>
      </c>
      <c r="R69" s="145">
        <f t="shared" si="35"/>
        <v>2445.7200000000012</v>
      </c>
    </row>
    <row r="70" spans="1:18" x14ac:dyDescent="0.25">
      <c r="B70" s="46" t="s">
        <v>196</v>
      </c>
      <c r="D70" s="116">
        <v>71.33</v>
      </c>
      <c r="E70" s="116">
        <v>82.73</v>
      </c>
      <c r="F70" s="116">
        <v>97.57</v>
      </c>
      <c r="G70" s="116">
        <v>118.27</v>
      </c>
      <c r="H70" s="116">
        <v>124.41</v>
      </c>
      <c r="I70" s="116">
        <f t="shared" ref="I70:R70" si="36">SUM(H70:H76)-H71</f>
        <v>173.78</v>
      </c>
      <c r="J70" s="116">
        <f t="shared" si="36"/>
        <v>208.60299999999998</v>
      </c>
      <c r="K70" s="116">
        <f t="shared" si="36"/>
        <v>243.42599999999996</v>
      </c>
      <c r="L70" s="116">
        <f t="shared" si="36"/>
        <v>278.24899999999997</v>
      </c>
      <c r="M70" s="116">
        <f t="shared" si="36"/>
        <v>313.07199999999995</v>
      </c>
      <c r="N70" s="116">
        <f t="shared" si="36"/>
        <v>347.89499999999992</v>
      </c>
      <c r="O70" s="116">
        <f t="shared" si="36"/>
        <v>382.7179999999999</v>
      </c>
      <c r="P70" s="116">
        <f t="shared" si="36"/>
        <v>417.54099999999988</v>
      </c>
      <c r="Q70" s="116">
        <f t="shared" si="36"/>
        <v>452.36399999999986</v>
      </c>
      <c r="R70" s="116">
        <f t="shared" si="36"/>
        <v>487.18699999999984</v>
      </c>
    </row>
    <row r="71" spans="1:18" x14ac:dyDescent="0.25">
      <c r="B71" s="46" t="s">
        <v>220</v>
      </c>
      <c r="D71" s="116">
        <v>0.35</v>
      </c>
      <c r="E71" s="116">
        <v>0.28999999999999998</v>
      </c>
      <c r="F71" s="116">
        <v>0.63</v>
      </c>
      <c r="G71" s="116">
        <v>0.33</v>
      </c>
      <c r="H71" s="116">
        <v>1.87</v>
      </c>
      <c r="I71" s="116">
        <f t="shared" ref="I71:I76" si="37">AVERAGE(D71:H71)</f>
        <v>0.69400000000000006</v>
      </c>
      <c r="J71" s="116">
        <f t="shared" ref="J71:R71" si="38">I71</f>
        <v>0.69400000000000006</v>
      </c>
      <c r="K71" s="116">
        <f t="shared" si="38"/>
        <v>0.69400000000000006</v>
      </c>
      <c r="L71" s="116">
        <f t="shared" si="38"/>
        <v>0.69400000000000006</v>
      </c>
      <c r="M71" s="116">
        <f t="shared" si="38"/>
        <v>0.69400000000000006</v>
      </c>
      <c r="N71" s="116">
        <f t="shared" si="38"/>
        <v>0.69400000000000006</v>
      </c>
      <c r="O71" s="116">
        <f t="shared" si="38"/>
        <v>0.69400000000000006</v>
      </c>
      <c r="P71" s="116">
        <f t="shared" si="38"/>
        <v>0.69400000000000006</v>
      </c>
      <c r="Q71" s="116">
        <f t="shared" si="38"/>
        <v>0.69400000000000006</v>
      </c>
      <c r="R71" s="116">
        <f t="shared" si="38"/>
        <v>0.69400000000000006</v>
      </c>
    </row>
    <row r="72" spans="1:18" x14ac:dyDescent="0.25">
      <c r="B72" t="s">
        <v>221</v>
      </c>
      <c r="D72" s="116">
        <v>14.47</v>
      </c>
      <c r="E72" s="116">
        <v>19.32</v>
      </c>
      <c r="F72" s="116">
        <v>26.58</v>
      </c>
      <c r="G72" s="116">
        <v>36.979999999999997</v>
      </c>
      <c r="H72" s="116">
        <v>61.19</v>
      </c>
      <c r="I72" s="116">
        <f t="shared" si="37"/>
        <v>31.707999999999998</v>
      </c>
      <c r="J72" s="116">
        <f t="shared" ref="J72:R72" si="39">I72</f>
        <v>31.707999999999998</v>
      </c>
      <c r="K72" s="116">
        <f t="shared" si="39"/>
        <v>31.707999999999998</v>
      </c>
      <c r="L72" s="116">
        <f t="shared" si="39"/>
        <v>31.707999999999998</v>
      </c>
      <c r="M72" s="116">
        <f t="shared" si="39"/>
        <v>31.707999999999998</v>
      </c>
      <c r="N72" s="116">
        <f t="shared" si="39"/>
        <v>31.707999999999998</v>
      </c>
      <c r="O72" s="116">
        <f t="shared" si="39"/>
        <v>31.707999999999998</v>
      </c>
      <c r="P72" s="116">
        <f t="shared" si="39"/>
        <v>31.707999999999998</v>
      </c>
      <c r="Q72" s="116">
        <f t="shared" si="39"/>
        <v>31.707999999999998</v>
      </c>
      <c r="R72" s="116">
        <f t="shared" si="39"/>
        <v>31.707999999999998</v>
      </c>
    </row>
    <row r="73" spans="1:18" x14ac:dyDescent="0.25">
      <c r="B73" t="s">
        <v>198</v>
      </c>
      <c r="D73" s="116">
        <v>-0.18</v>
      </c>
      <c r="E73" s="116">
        <v>-0.55000000000000004</v>
      </c>
      <c r="F73" s="116"/>
      <c r="G73" s="116"/>
      <c r="H73" s="116"/>
      <c r="I73" s="116">
        <f t="shared" si="37"/>
        <v>-0.36499999999999999</v>
      </c>
      <c r="J73" s="116">
        <f t="shared" ref="J73:R73" si="40">I73</f>
        <v>-0.36499999999999999</v>
      </c>
      <c r="K73" s="116">
        <f t="shared" si="40"/>
        <v>-0.36499999999999999</v>
      </c>
      <c r="L73" s="116">
        <f t="shared" si="40"/>
        <v>-0.36499999999999999</v>
      </c>
      <c r="M73" s="116">
        <f t="shared" si="40"/>
        <v>-0.36499999999999999</v>
      </c>
      <c r="N73" s="116">
        <f t="shared" si="40"/>
        <v>-0.36499999999999999</v>
      </c>
      <c r="O73" s="116">
        <f t="shared" si="40"/>
        <v>-0.36499999999999999</v>
      </c>
      <c r="P73" s="116">
        <f t="shared" si="40"/>
        <v>-0.36499999999999999</v>
      </c>
      <c r="Q73" s="116">
        <f t="shared" si="40"/>
        <v>-0.36499999999999999</v>
      </c>
      <c r="R73" s="116">
        <f t="shared" si="40"/>
        <v>-0.36499999999999999</v>
      </c>
    </row>
    <row r="74" spans="1:18" x14ac:dyDescent="0.25">
      <c r="B74" t="s">
        <v>194</v>
      </c>
      <c r="D74" s="116">
        <v>-2.89</v>
      </c>
      <c r="E74" s="116">
        <v>-3.93</v>
      </c>
      <c r="F74" s="116">
        <v>-5.88</v>
      </c>
      <c r="G74" s="116">
        <v>-30.84</v>
      </c>
      <c r="H74" s="116">
        <v>-30.01</v>
      </c>
      <c r="I74" s="116">
        <f t="shared" si="37"/>
        <v>-14.709999999999999</v>
      </c>
      <c r="J74" s="116">
        <f t="shared" ref="J74:R74" si="41">I74</f>
        <v>-14.709999999999999</v>
      </c>
      <c r="K74" s="116">
        <f t="shared" si="41"/>
        <v>-14.709999999999999</v>
      </c>
      <c r="L74" s="116">
        <f t="shared" si="41"/>
        <v>-14.709999999999999</v>
      </c>
      <c r="M74" s="116">
        <f t="shared" si="41"/>
        <v>-14.709999999999999</v>
      </c>
      <c r="N74" s="116">
        <f t="shared" si="41"/>
        <v>-14.709999999999999</v>
      </c>
      <c r="O74" s="116">
        <f t="shared" si="41"/>
        <v>-14.709999999999999</v>
      </c>
      <c r="P74" s="116">
        <f t="shared" si="41"/>
        <v>-14.709999999999999</v>
      </c>
      <c r="Q74" s="116">
        <f t="shared" si="41"/>
        <v>-14.709999999999999</v>
      </c>
      <c r="R74" s="116">
        <f t="shared" si="41"/>
        <v>-14.709999999999999</v>
      </c>
    </row>
    <row r="75" spans="1:18" x14ac:dyDescent="0.25">
      <c r="B75" t="s">
        <v>193</v>
      </c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 x14ac:dyDescent="0.25">
      <c r="B76" t="s">
        <v>192</v>
      </c>
      <c r="D76" s="116"/>
      <c r="E76" s="116"/>
      <c r="F76" s="116"/>
      <c r="G76" s="116"/>
      <c r="H76" s="116">
        <v>18.190000000000001</v>
      </c>
      <c r="I76" s="116">
        <f t="shared" si="37"/>
        <v>18.190000000000001</v>
      </c>
      <c r="J76" s="116">
        <f t="shared" ref="J76:R76" si="42">I76</f>
        <v>18.190000000000001</v>
      </c>
      <c r="K76" s="116">
        <f t="shared" si="42"/>
        <v>18.190000000000001</v>
      </c>
      <c r="L76" s="116">
        <f t="shared" si="42"/>
        <v>18.190000000000001</v>
      </c>
      <c r="M76" s="116">
        <f t="shared" si="42"/>
        <v>18.190000000000001</v>
      </c>
      <c r="N76" s="116">
        <f t="shared" si="42"/>
        <v>18.190000000000001</v>
      </c>
      <c r="O76" s="116">
        <f t="shared" si="42"/>
        <v>18.190000000000001</v>
      </c>
      <c r="P76" s="116">
        <f t="shared" si="42"/>
        <v>18.190000000000001</v>
      </c>
      <c r="Q76" s="116">
        <f t="shared" si="42"/>
        <v>18.190000000000001</v>
      </c>
      <c r="R76" s="116">
        <f t="shared" si="42"/>
        <v>18.190000000000001</v>
      </c>
    </row>
    <row r="77" spans="1:18" x14ac:dyDescent="0.25">
      <c r="B77" s="47" t="s">
        <v>197</v>
      </c>
      <c r="C77" s="9"/>
      <c r="D77" s="145">
        <f t="shared" ref="D77:R77" si="43">D69-SUM(D70:D76)</f>
        <v>85.170000000000016</v>
      </c>
      <c r="E77" s="145">
        <f t="shared" si="43"/>
        <v>122.7</v>
      </c>
      <c r="F77" s="145">
        <f t="shared" si="43"/>
        <v>168.56</v>
      </c>
      <c r="G77" s="145">
        <f t="shared" si="43"/>
        <v>312.03999999999996</v>
      </c>
      <c r="H77" s="145">
        <f t="shared" si="43"/>
        <v>649.52</v>
      </c>
      <c r="I77" s="145">
        <f t="shared" si="43"/>
        <v>777.92799999999988</v>
      </c>
      <c r="J77" s="145">
        <f t="shared" si="43"/>
        <v>905.15999999999985</v>
      </c>
      <c r="K77" s="145">
        <f t="shared" si="43"/>
        <v>1032.3919999999996</v>
      </c>
      <c r="L77" s="145">
        <f t="shared" si="43"/>
        <v>1159.6239999999993</v>
      </c>
      <c r="M77" s="145">
        <f t="shared" si="43"/>
        <v>1286.8559999999993</v>
      </c>
      <c r="N77" s="145">
        <f t="shared" si="43"/>
        <v>1414.0879999999993</v>
      </c>
      <c r="O77" s="145">
        <f t="shared" si="43"/>
        <v>1541.319999999999</v>
      </c>
      <c r="P77" s="145">
        <f t="shared" si="43"/>
        <v>1668.5519999999997</v>
      </c>
      <c r="Q77" s="145">
        <f t="shared" si="43"/>
        <v>1795.7840000000006</v>
      </c>
      <c r="R77" s="145">
        <f t="shared" si="43"/>
        <v>1923.0160000000014</v>
      </c>
    </row>
    <row r="78" spans="1:18" x14ac:dyDescent="0.25"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 x14ac:dyDescent="0.25">
      <c r="A79" t="s">
        <v>207</v>
      </c>
      <c r="B79" s="1" t="s">
        <v>202</v>
      </c>
      <c r="D79" s="116"/>
      <c r="E79" s="177"/>
      <c r="F79" s="177"/>
      <c r="G79" s="177"/>
      <c r="H79" s="177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 x14ac:dyDescent="0.25">
      <c r="B80" s="47" t="s">
        <v>191</v>
      </c>
      <c r="C80" s="5"/>
      <c r="D80" s="145">
        <v>183.24</v>
      </c>
      <c r="E80" s="145">
        <f>D86</f>
        <v>191.89000000000001</v>
      </c>
      <c r="F80" s="145">
        <f t="shared" ref="F80:R80" si="44">E86</f>
        <v>224.96000000000006</v>
      </c>
      <c r="G80" s="145">
        <f t="shared" si="44"/>
        <v>328.42000000000007</v>
      </c>
      <c r="H80" s="145">
        <f t="shared" si="44"/>
        <v>485.8900000000001</v>
      </c>
      <c r="I80" s="145">
        <f t="shared" si="44"/>
        <v>757.97000000000025</v>
      </c>
      <c r="J80" s="145">
        <f t="shared" si="44"/>
        <v>888.53100000000029</v>
      </c>
      <c r="K80" s="145">
        <f t="shared" si="44"/>
        <v>1019.0920000000002</v>
      </c>
      <c r="L80" s="145">
        <f t="shared" si="44"/>
        <v>1149.6530000000002</v>
      </c>
      <c r="M80" s="145">
        <f t="shared" si="44"/>
        <v>1280.2140000000004</v>
      </c>
      <c r="N80" s="145">
        <f t="shared" si="44"/>
        <v>1410.7750000000005</v>
      </c>
      <c r="O80" s="145">
        <f t="shared" si="44"/>
        <v>1541.3360000000007</v>
      </c>
      <c r="P80" s="145">
        <f t="shared" si="44"/>
        <v>1671.8970000000008</v>
      </c>
      <c r="Q80" s="145">
        <f t="shared" si="44"/>
        <v>1802.458000000001</v>
      </c>
      <c r="R80" s="145">
        <f t="shared" si="44"/>
        <v>1933.0190000000011</v>
      </c>
    </row>
    <row r="81" spans="1:18" x14ac:dyDescent="0.25">
      <c r="B81" t="s">
        <v>190</v>
      </c>
      <c r="D81" s="116">
        <v>24.96</v>
      </c>
      <c r="E81" s="116">
        <v>80.69</v>
      </c>
      <c r="F81" s="116">
        <v>166.02</v>
      </c>
      <c r="G81" s="116">
        <v>265.94</v>
      </c>
      <c r="H81" s="116">
        <v>386.86</v>
      </c>
      <c r="I81" s="116">
        <f>AVERAGE(D81:H81)</f>
        <v>184.89400000000001</v>
      </c>
      <c r="J81" s="116">
        <f t="shared" ref="J81:R81" si="45">I81</f>
        <v>184.89400000000001</v>
      </c>
      <c r="K81" s="116">
        <f t="shared" si="45"/>
        <v>184.89400000000001</v>
      </c>
      <c r="L81" s="116">
        <f t="shared" si="45"/>
        <v>184.89400000000001</v>
      </c>
      <c r="M81" s="116">
        <f t="shared" si="45"/>
        <v>184.89400000000001</v>
      </c>
      <c r="N81" s="116">
        <f t="shared" si="45"/>
        <v>184.89400000000001</v>
      </c>
      <c r="O81" s="116">
        <f t="shared" si="45"/>
        <v>184.89400000000001</v>
      </c>
      <c r="P81" s="116">
        <f t="shared" si="45"/>
        <v>184.89400000000001</v>
      </c>
      <c r="Q81" s="116">
        <f t="shared" si="45"/>
        <v>184.89400000000001</v>
      </c>
      <c r="R81" s="116">
        <f t="shared" si="45"/>
        <v>184.89400000000001</v>
      </c>
    </row>
    <row r="82" spans="1:18" x14ac:dyDescent="0.25">
      <c r="B82" t="s">
        <v>192</v>
      </c>
      <c r="D82" s="116"/>
      <c r="E82" s="116"/>
      <c r="F82" s="116"/>
      <c r="G82" s="116"/>
      <c r="H82" s="116">
        <v>20.72</v>
      </c>
      <c r="I82" s="116">
        <f>AVERAGE(D82:H82)</f>
        <v>20.72</v>
      </c>
      <c r="J82" s="116">
        <f t="shared" ref="J82:R82" si="46">I82</f>
        <v>20.72</v>
      </c>
      <c r="K82" s="116">
        <f t="shared" si="46"/>
        <v>20.72</v>
      </c>
      <c r="L82" s="116">
        <f t="shared" si="46"/>
        <v>20.72</v>
      </c>
      <c r="M82" s="116">
        <f t="shared" si="46"/>
        <v>20.72</v>
      </c>
      <c r="N82" s="116">
        <f t="shared" si="46"/>
        <v>20.72</v>
      </c>
      <c r="O82" s="116">
        <f t="shared" si="46"/>
        <v>20.72</v>
      </c>
      <c r="P82" s="116">
        <f t="shared" si="46"/>
        <v>20.72</v>
      </c>
      <c r="Q82" s="116">
        <f t="shared" si="46"/>
        <v>20.72</v>
      </c>
      <c r="R82" s="116">
        <f t="shared" si="46"/>
        <v>20.72</v>
      </c>
    </row>
    <row r="83" spans="1:18" x14ac:dyDescent="0.25">
      <c r="B83" t="s">
        <v>193</v>
      </c>
      <c r="D83" s="116"/>
      <c r="E83" s="116"/>
      <c r="F83" s="116"/>
      <c r="G83" s="116"/>
      <c r="H83" s="116">
        <v>7.0000000000000007E-2</v>
      </c>
      <c r="I83" s="116">
        <f>AVERAGE(D83:H83)</f>
        <v>7.0000000000000007E-2</v>
      </c>
      <c r="J83" s="116">
        <f t="shared" ref="J83:R83" si="47">I83</f>
        <v>7.0000000000000007E-2</v>
      </c>
      <c r="K83" s="116">
        <f t="shared" si="47"/>
        <v>7.0000000000000007E-2</v>
      </c>
      <c r="L83" s="116">
        <f t="shared" si="47"/>
        <v>7.0000000000000007E-2</v>
      </c>
      <c r="M83" s="116">
        <f t="shared" si="47"/>
        <v>7.0000000000000007E-2</v>
      </c>
      <c r="N83" s="116">
        <f t="shared" si="47"/>
        <v>7.0000000000000007E-2</v>
      </c>
      <c r="O83" s="116">
        <f t="shared" si="47"/>
        <v>7.0000000000000007E-2</v>
      </c>
      <c r="P83" s="116">
        <f t="shared" si="47"/>
        <v>7.0000000000000007E-2</v>
      </c>
      <c r="Q83" s="116">
        <f t="shared" si="47"/>
        <v>7.0000000000000007E-2</v>
      </c>
      <c r="R83" s="116">
        <f t="shared" si="47"/>
        <v>7.0000000000000007E-2</v>
      </c>
    </row>
    <row r="84" spans="1:18" x14ac:dyDescent="0.25">
      <c r="B84" t="s">
        <v>198</v>
      </c>
      <c r="D84" s="116">
        <v>-1.05</v>
      </c>
      <c r="E84" s="116">
        <v>-2.34</v>
      </c>
      <c r="F84" s="116"/>
      <c r="G84" s="116"/>
      <c r="H84" s="116"/>
      <c r="I84" s="116">
        <f>AVERAGE(D84:H84)</f>
        <v>-1.6949999999999998</v>
      </c>
      <c r="J84" s="116">
        <f t="shared" ref="J84:R84" si="48">I84</f>
        <v>-1.6949999999999998</v>
      </c>
      <c r="K84" s="116">
        <f t="shared" si="48"/>
        <v>-1.6949999999999998</v>
      </c>
      <c r="L84" s="116">
        <f t="shared" si="48"/>
        <v>-1.6949999999999998</v>
      </c>
      <c r="M84" s="116">
        <f t="shared" si="48"/>
        <v>-1.6949999999999998</v>
      </c>
      <c r="N84" s="116">
        <f t="shared" si="48"/>
        <v>-1.6949999999999998</v>
      </c>
      <c r="O84" s="116">
        <f t="shared" si="48"/>
        <v>-1.6949999999999998</v>
      </c>
      <c r="P84" s="116">
        <f t="shared" si="48"/>
        <v>-1.6949999999999998</v>
      </c>
      <c r="Q84" s="116">
        <f t="shared" si="48"/>
        <v>-1.6949999999999998</v>
      </c>
      <c r="R84" s="116">
        <f t="shared" si="48"/>
        <v>-1.6949999999999998</v>
      </c>
    </row>
    <row r="85" spans="1:18" x14ac:dyDescent="0.25">
      <c r="B85" t="s">
        <v>194</v>
      </c>
      <c r="D85" s="116">
        <v>-15.26</v>
      </c>
      <c r="E85" s="116">
        <v>-45.28</v>
      </c>
      <c r="F85" s="116">
        <v>-62.56</v>
      </c>
      <c r="G85" s="116">
        <v>-108.47</v>
      </c>
      <c r="H85" s="116">
        <v>-135.57</v>
      </c>
      <c r="I85" s="116">
        <f>AVERAGE(D85:H85)</f>
        <v>-73.427999999999997</v>
      </c>
      <c r="J85" s="116">
        <f t="shared" ref="J85:R85" si="49">I85</f>
        <v>-73.427999999999997</v>
      </c>
      <c r="K85" s="116">
        <f t="shared" si="49"/>
        <v>-73.427999999999997</v>
      </c>
      <c r="L85" s="116">
        <f t="shared" si="49"/>
        <v>-73.427999999999997</v>
      </c>
      <c r="M85" s="116">
        <f t="shared" si="49"/>
        <v>-73.427999999999997</v>
      </c>
      <c r="N85" s="116">
        <f t="shared" si="49"/>
        <v>-73.427999999999997</v>
      </c>
      <c r="O85" s="116">
        <f t="shared" si="49"/>
        <v>-73.427999999999997</v>
      </c>
      <c r="P85" s="116">
        <f t="shared" si="49"/>
        <v>-73.427999999999997</v>
      </c>
      <c r="Q85" s="116">
        <f t="shared" si="49"/>
        <v>-73.427999999999997</v>
      </c>
      <c r="R85" s="116">
        <f t="shared" si="49"/>
        <v>-73.427999999999997</v>
      </c>
    </row>
    <row r="86" spans="1:18" x14ac:dyDescent="0.25">
      <c r="B86" s="47" t="s">
        <v>195</v>
      </c>
      <c r="C86" s="9"/>
      <c r="D86" s="145">
        <f t="shared" ref="D86:R86" si="50">SUM(D80:D85)</f>
        <v>191.89000000000001</v>
      </c>
      <c r="E86" s="145">
        <f t="shared" si="50"/>
        <v>224.96000000000006</v>
      </c>
      <c r="F86" s="145">
        <f t="shared" si="50"/>
        <v>328.42000000000007</v>
      </c>
      <c r="G86" s="145">
        <f t="shared" si="50"/>
        <v>485.8900000000001</v>
      </c>
      <c r="H86" s="145">
        <f t="shared" si="50"/>
        <v>757.97000000000025</v>
      </c>
      <c r="I86" s="145">
        <f t="shared" si="50"/>
        <v>888.53100000000029</v>
      </c>
      <c r="J86" s="145">
        <f t="shared" si="50"/>
        <v>1019.0920000000002</v>
      </c>
      <c r="K86" s="145">
        <f t="shared" si="50"/>
        <v>1149.6530000000002</v>
      </c>
      <c r="L86" s="145">
        <f t="shared" si="50"/>
        <v>1280.2140000000004</v>
      </c>
      <c r="M86" s="145">
        <f t="shared" si="50"/>
        <v>1410.7750000000005</v>
      </c>
      <c r="N86" s="145">
        <f t="shared" si="50"/>
        <v>1541.3360000000007</v>
      </c>
      <c r="O86" s="145">
        <f t="shared" si="50"/>
        <v>1671.8970000000008</v>
      </c>
      <c r="P86" s="145">
        <f t="shared" si="50"/>
        <v>1802.458000000001</v>
      </c>
      <c r="Q86" s="145">
        <f t="shared" si="50"/>
        <v>1933.0190000000011</v>
      </c>
      <c r="R86" s="145">
        <f t="shared" si="50"/>
        <v>2063.5800000000013</v>
      </c>
    </row>
    <row r="87" spans="1:18" x14ac:dyDescent="0.25">
      <c r="B87" s="46" t="s">
        <v>196</v>
      </c>
      <c r="D87" s="116">
        <v>77.900000000000006</v>
      </c>
      <c r="E87" s="116">
        <v>88.91</v>
      </c>
      <c r="F87" s="116">
        <v>94.41</v>
      </c>
      <c r="G87" s="116">
        <v>120.6</v>
      </c>
      <c r="H87" s="116">
        <v>145.65</v>
      </c>
      <c r="I87" s="116">
        <f t="shared" ref="I87:R87" si="51">SUM(H87:H93)-H88</f>
        <v>206.85999999999999</v>
      </c>
      <c r="J87" s="116">
        <f t="shared" si="51"/>
        <v>242.81999999999996</v>
      </c>
      <c r="K87" s="116">
        <f t="shared" si="51"/>
        <v>278.77999999999997</v>
      </c>
      <c r="L87" s="116">
        <f t="shared" si="51"/>
        <v>314.73999999999995</v>
      </c>
      <c r="M87" s="116">
        <f t="shared" si="51"/>
        <v>350.69999999999993</v>
      </c>
      <c r="N87" s="116">
        <f t="shared" si="51"/>
        <v>386.65999999999991</v>
      </c>
      <c r="O87" s="116">
        <f t="shared" si="51"/>
        <v>422.61999999999989</v>
      </c>
      <c r="P87" s="116">
        <f t="shared" si="51"/>
        <v>458.57999999999987</v>
      </c>
      <c r="Q87" s="116">
        <f t="shared" si="51"/>
        <v>494.53999999999985</v>
      </c>
      <c r="R87" s="116">
        <f t="shared" si="51"/>
        <v>530.49999999999977</v>
      </c>
    </row>
    <row r="88" spans="1:18" x14ac:dyDescent="0.25">
      <c r="B88" s="46" t="s">
        <v>220</v>
      </c>
      <c r="D88" s="116">
        <v>0.57999999999999996</v>
      </c>
      <c r="E88" s="116">
        <v>0.49</v>
      </c>
      <c r="F88" s="116">
        <v>0.56999999999999995</v>
      </c>
      <c r="G88" s="116">
        <v>0.39</v>
      </c>
      <c r="H88" s="116">
        <v>1.54</v>
      </c>
      <c r="I88" s="116">
        <f t="shared" ref="I88:I93" si="52">AVERAGE(D88:H88)</f>
        <v>0.71399999999999997</v>
      </c>
      <c r="J88" s="116">
        <f t="shared" ref="J88:R88" si="53">I88</f>
        <v>0.71399999999999997</v>
      </c>
      <c r="K88" s="116">
        <f t="shared" si="53"/>
        <v>0.71399999999999997</v>
      </c>
      <c r="L88" s="116">
        <f t="shared" si="53"/>
        <v>0.71399999999999997</v>
      </c>
      <c r="M88" s="116">
        <f t="shared" si="53"/>
        <v>0.71399999999999997</v>
      </c>
      <c r="N88" s="116">
        <f t="shared" si="53"/>
        <v>0.71399999999999997</v>
      </c>
      <c r="O88" s="116">
        <f t="shared" si="53"/>
        <v>0.71399999999999997</v>
      </c>
      <c r="P88" s="116">
        <f t="shared" si="53"/>
        <v>0.71399999999999997</v>
      </c>
      <c r="Q88" s="116">
        <f t="shared" si="53"/>
        <v>0.71399999999999997</v>
      </c>
      <c r="R88" s="116">
        <f t="shared" si="53"/>
        <v>0.71399999999999997</v>
      </c>
    </row>
    <row r="89" spans="1:18" x14ac:dyDescent="0.25">
      <c r="B89" t="s">
        <v>221</v>
      </c>
      <c r="D89" s="116">
        <v>17.59</v>
      </c>
      <c r="E89" s="116">
        <v>20.68</v>
      </c>
      <c r="F89" s="116">
        <v>43.9</v>
      </c>
      <c r="G89" s="116">
        <v>62.41</v>
      </c>
      <c r="H89" s="116">
        <v>95.82</v>
      </c>
      <c r="I89" s="116">
        <f t="shared" si="52"/>
        <v>48.08</v>
      </c>
      <c r="J89" s="116">
        <f t="shared" ref="J89:R89" si="54">I89</f>
        <v>48.08</v>
      </c>
      <c r="K89" s="116">
        <f t="shared" si="54"/>
        <v>48.08</v>
      </c>
      <c r="L89" s="116">
        <f t="shared" si="54"/>
        <v>48.08</v>
      </c>
      <c r="M89" s="116">
        <f t="shared" si="54"/>
        <v>48.08</v>
      </c>
      <c r="N89" s="116">
        <f t="shared" si="54"/>
        <v>48.08</v>
      </c>
      <c r="O89" s="116">
        <f t="shared" si="54"/>
        <v>48.08</v>
      </c>
      <c r="P89" s="116">
        <f t="shared" si="54"/>
        <v>48.08</v>
      </c>
      <c r="Q89" s="116">
        <f t="shared" si="54"/>
        <v>48.08</v>
      </c>
      <c r="R89" s="116">
        <f t="shared" si="54"/>
        <v>48.08</v>
      </c>
    </row>
    <row r="90" spans="1:18" x14ac:dyDescent="0.25">
      <c r="B90" t="s">
        <v>198</v>
      </c>
      <c r="D90" s="116">
        <v>-0.14000000000000001</v>
      </c>
      <c r="E90" s="116">
        <v>-0.57999999999999996</v>
      </c>
      <c r="F90" s="116"/>
      <c r="G90" s="116"/>
      <c r="H90" s="116"/>
      <c r="I90" s="116">
        <f t="shared" si="52"/>
        <v>-0.36</v>
      </c>
      <c r="J90" s="116">
        <f t="shared" ref="J90:R90" si="55">I90</f>
        <v>-0.36</v>
      </c>
      <c r="K90" s="116">
        <f t="shared" si="55"/>
        <v>-0.36</v>
      </c>
      <c r="L90" s="116">
        <f t="shared" si="55"/>
        <v>-0.36</v>
      </c>
      <c r="M90" s="116">
        <f t="shared" si="55"/>
        <v>-0.36</v>
      </c>
      <c r="N90" s="116">
        <f t="shared" si="55"/>
        <v>-0.36</v>
      </c>
      <c r="O90" s="116">
        <f t="shared" si="55"/>
        <v>-0.36</v>
      </c>
      <c r="P90" s="116">
        <f t="shared" si="55"/>
        <v>-0.36</v>
      </c>
      <c r="Q90" s="116">
        <f t="shared" si="55"/>
        <v>-0.36</v>
      </c>
      <c r="R90" s="116">
        <f t="shared" si="55"/>
        <v>-0.36</v>
      </c>
    </row>
    <row r="91" spans="1:18" x14ac:dyDescent="0.25">
      <c r="B91" t="s">
        <v>194</v>
      </c>
      <c r="D91" s="116">
        <v>-6.44</v>
      </c>
      <c r="E91" s="116">
        <v>-14.6</v>
      </c>
      <c r="F91" s="116">
        <v>-17.71</v>
      </c>
      <c r="G91" s="116">
        <v>-37.36</v>
      </c>
      <c r="H91" s="116">
        <v>-47.59</v>
      </c>
      <c r="I91" s="116">
        <f t="shared" si="52"/>
        <v>-24.740000000000002</v>
      </c>
      <c r="J91" s="116">
        <f t="shared" ref="J91:R91" si="56">I91</f>
        <v>-24.740000000000002</v>
      </c>
      <c r="K91" s="116">
        <f t="shared" si="56"/>
        <v>-24.740000000000002</v>
      </c>
      <c r="L91" s="116">
        <f t="shared" si="56"/>
        <v>-24.740000000000002</v>
      </c>
      <c r="M91" s="116">
        <f t="shared" si="56"/>
        <v>-24.740000000000002</v>
      </c>
      <c r="N91" s="116">
        <f t="shared" si="56"/>
        <v>-24.740000000000002</v>
      </c>
      <c r="O91" s="116">
        <f t="shared" si="56"/>
        <v>-24.740000000000002</v>
      </c>
      <c r="P91" s="116">
        <f t="shared" si="56"/>
        <v>-24.740000000000002</v>
      </c>
      <c r="Q91" s="116">
        <f t="shared" si="56"/>
        <v>-24.740000000000002</v>
      </c>
      <c r="R91" s="116">
        <f t="shared" si="56"/>
        <v>-24.740000000000002</v>
      </c>
    </row>
    <row r="92" spans="1:18" x14ac:dyDescent="0.25">
      <c r="B92" t="s">
        <v>193</v>
      </c>
      <c r="D92" s="116"/>
      <c r="E92" s="116"/>
      <c r="F92" s="116"/>
      <c r="G92" s="116"/>
      <c r="H92" s="116">
        <v>0.01</v>
      </c>
      <c r="I92" s="116">
        <f t="shared" si="52"/>
        <v>0.01</v>
      </c>
      <c r="J92" s="116">
        <f t="shared" ref="J92:R92" si="57">I92</f>
        <v>0.01</v>
      </c>
      <c r="K92" s="116">
        <f t="shared" si="57"/>
        <v>0.01</v>
      </c>
      <c r="L92" s="116">
        <f t="shared" si="57"/>
        <v>0.01</v>
      </c>
      <c r="M92" s="116">
        <f t="shared" si="57"/>
        <v>0.01</v>
      </c>
      <c r="N92" s="116">
        <f t="shared" si="57"/>
        <v>0.01</v>
      </c>
      <c r="O92" s="116">
        <f t="shared" si="57"/>
        <v>0.01</v>
      </c>
      <c r="P92" s="116">
        <f t="shared" si="57"/>
        <v>0.01</v>
      </c>
      <c r="Q92" s="116">
        <f t="shared" si="57"/>
        <v>0.01</v>
      </c>
      <c r="R92" s="116">
        <f t="shared" si="57"/>
        <v>0.01</v>
      </c>
    </row>
    <row r="93" spans="1:18" x14ac:dyDescent="0.25">
      <c r="B93" t="s">
        <v>192</v>
      </c>
      <c r="D93" s="116"/>
      <c r="E93" s="116"/>
      <c r="F93" s="116"/>
      <c r="G93" s="116"/>
      <c r="H93" s="116">
        <v>12.97</v>
      </c>
      <c r="I93" s="116">
        <f t="shared" si="52"/>
        <v>12.97</v>
      </c>
      <c r="J93" s="116">
        <f t="shared" ref="J93:R93" si="58">I93</f>
        <v>12.97</v>
      </c>
      <c r="K93" s="116">
        <f t="shared" si="58"/>
        <v>12.97</v>
      </c>
      <c r="L93" s="116">
        <f t="shared" si="58"/>
        <v>12.97</v>
      </c>
      <c r="M93" s="116">
        <f t="shared" si="58"/>
        <v>12.97</v>
      </c>
      <c r="N93" s="116">
        <f t="shared" si="58"/>
        <v>12.97</v>
      </c>
      <c r="O93" s="116">
        <f t="shared" si="58"/>
        <v>12.97</v>
      </c>
      <c r="P93" s="116">
        <f t="shared" si="58"/>
        <v>12.97</v>
      </c>
      <c r="Q93" s="116">
        <f t="shared" si="58"/>
        <v>12.97</v>
      </c>
      <c r="R93" s="116">
        <f t="shared" si="58"/>
        <v>12.97</v>
      </c>
    </row>
    <row r="94" spans="1:18" x14ac:dyDescent="0.25">
      <c r="B94" s="47" t="s">
        <v>197</v>
      </c>
      <c r="C94" s="9"/>
      <c r="D94" s="145">
        <f t="shared" ref="D94:R94" si="59">D86-SUM(D87:D93)</f>
        <v>102.4</v>
      </c>
      <c r="E94" s="145">
        <f t="shared" si="59"/>
        <v>130.06000000000006</v>
      </c>
      <c r="F94" s="145">
        <f t="shared" si="59"/>
        <v>207.25000000000009</v>
      </c>
      <c r="G94" s="145">
        <f t="shared" si="59"/>
        <v>339.85000000000014</v>
      </c>
      <c r="H94" s="145">
        <f t="shared" si="59"/>
        <v>549.57000000000028</v>
      </c>
      <c r="I94" s="145">
        <f t="shared" si="59"/>
        <v>644.9970000000003</v>
      </c>
      <c r="J94" s="145">
        <f t="shared" si="59"/>
        <v>739.59800000000018</v>
      </c>
      <c r="K94" s="145">
        <f t="shared" si="59"/>
        <v>834.1990000000003</v>
      </c>
      <c r="L94" s="145">
        <f t="shared" si="59"/>
        <v>928.80000000000041</v>
      </c>
      <c r="M94" s="145">
        <f t="shared" si="59"/>
        <v>1023.4010000000006</v>
      </c>
      <c r="N94" s="145">
        <f t="shared" si="59"/>
        <v>1118.0020000000009</v>
      </c>
      <c r="O94" s="145">
        <f t="shared" si="59"/>
        <v>1212.603000000001</v>
      </c>
      <c r="P94" s="145">
        <f t="shared" si="59"/>
        <v>1307.2040000000011</v>
      </c>
      <c r="Q94" s="145">
        <f t="shared" si="59"/>
        <v>1401.8050000000012</v>
      </c>
      <c r="R94" s="145">
        <f t="shared" si="59"/>
        <v>1496.4060000000013</v>
      </c>
    </row>
    <row r="95" spans="1:18" x14ac:dyDescent="0.25"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</row>
    <row r="96" spans="1:18" x14ac:dyDescent="0.25">
      <c r="A96" t="s">
        <v>207</v>
      </c>
      <c r="B96" s="1" t="s">
        <v>203</v>
      </c>
      <c r="D96" s="116"/>
      <c r="E96" s="177"/>
      <c r="F96" s="177"/>
      <c r="G96" s="177"/>
      <c r="H96" s="177"/>
      <c r="I96" s="116"/>
      <c r="J96" s="116"/>
      <c r="K96" s="116"/>
      <c r="L96" s="116"/>
      <c r="M96" s="116"/>
      <c r="N96" s="116"/>
      <c r="O96" s="116"/>
      <c r="P96" s="116"/>
      <c r="Q96" s="116"/>
      <c r="R96" s="116"/>
    </row>
    <row r="97" spans="2:18" x14ac:dyDescent="0.25">
      <c r="B97" s="47" t="s">
        <v>191</v>
      </c>
      <c r="C97" s="5"/>
      <c r="D97" s="145">
        <v>28.74</v>
      </c>
      <c r="E97" s="145">
        <f>D103</f>
        <v>30.39</v>
      </c>
      <c r="F97" s="145">
        <f t="shared" ref="F97:R97" si="60">E103</f>
        <v>32.909999999999997</v>
      </c>
      <c r="G97" s="145">
        <f t="shared" si="60"/>
        <v>39.299999999999997</v>
      </c>
      <c r="H97" s="145">
        <f t="shared" si="60"/>
        <v>43.93</v>
      </c>
      <c r="I97" s="145">
        <f t="shared" si="60"/>
        <v>56.45</v>
      </c>
      <c r="J97" s="145">
        <f t="shared" si="60"/>
        <v>61.971000000000011</v>
      </c>
      <c r="K97" s="145">
        <f t="shared" si="60"/>
        <v>67.492000000000019</v>
      </c>
      <c r="L97" s="145">
        <f t="shared" si="60"/>
        <v>73.013000000000034</v>
      </c>
      <c r="M97" s="145">
        <f t="shared" si="60"/>
        <v>78.534000000000049</v>
      </c>
      <c r="N97" s="145">
        <f t="shared" si="60"/>
        <v>84.055000000000064</v>
      </c>
      <c r="O97" s="145">
        <f t="shared" si="60"/>
        <v>89.576000000000079</v>
      </c>
      <c r="P97" s="145">
        <f t="shared" si="60"/>
        <v>95.097000000000094</v>
      </c>
      <c r="Q97" s="145">
        <f t="shared" si="60"/>
        <v>100.61800000000011</v>
      </c>
      <c r="R97" s="145">
        <f t="shared" si="60"/>
        <v>106.13900000000012</v>
      </c>
    </row>
    <row r="98" spans="2:18" x14ac:dyDescent="0.25">
      <c r="B98" t="s">
        <v>190</v>
      </c>
      <c r="D98" s="116">
        <v>2.96</v>
      </c>
      <c r="E98" s="116">
        <v>6</v>
      </c>
      <c r="F98" s="116">
        <v>10.86</v>
      </c>
      <c r="G98" s="116">
        <v>13.56</v>
      </c>
      <c r="H98" s="116">
        <v>21.1</v>
      </c>
      <c r="I98" s="116">
        <f>AVERAGE(D98:H98)</f>
        <v>10.896000000000001</v>
      </c>
      <c r="J98" s="116">
        <f t="shared" ref="J98:R98" si="61">I98</f>
        <v>10.896000000000001</v>
      </c>
      <c r="K98" s="116">
        <f t="shared" si="61"/>
        <v>10.896000000000001</v>
      </c>
      <c r="L98" s="116">
        <f t="shared" si="61"/>
        <v>10.896000000000001</v>
      </c>
      <c r="M98" s="116">
        <f t="shared" si="61"/>
        <v>10.896000000000001</v>
      </c>
      <c r="N98" s="116">
        <f t="shared" si="61"/>
        <v>10.896000000000001</v>
      </c>
      <c r="O98" s="116">
        <f t="shared" si="61"/>
        <v>10.896000000000001</v>
      </c>
      <c r="P98" s="116">
        <f t="shared" si="61"/>
        <v>10.896000000000001</v>
      </c>
      <c r="Q98" s="116">
        <f t="shared" si="61"/>
        <v>10.896000000000001</v>
      </c>
      <c r="R98" s="116">
        <f t="shared" si="61"/>
        <v>10.896000000000001</v>
      </c>
    </row>
    <row r="99" spans="2:18" x14ac:dyDescent="0.25">
      <c r="B99" t="s">
        <v>192</v>
      </c>
      <c r="D99" s="116"/>
      <c r="E99" s="116"/>
      <c r="F99" s="116"/>
      <c r="G99" s="116"/>
      <c r="H99" s="116">
        <v>0.06</v>
      </c>
      <c r="I99" s="116">
        <f>AVERAGE(D99:H99)</f>
        <v>0.06</v>
      </c>
      <c r="J99" s="116">
        <f t="shared" ref="J99:R99" si="62">I99</f>
        <v>0.06</v>
      </c>
      <c r="K99" s="116">
        <f t="shared" si="62"/>
        <v>0.06</v>
      </c>
      <c r="L99" s="116">
        <f t="shared" si="62"/>
        <v>0.06</v>
      </c>
      <c r="M99" s="116">
        <f t="shared" si="62"/>
        <v>0.06</v>
      </c>
      <c r="N99" s="116">
        <f t="shared" si="62"/>
        <v>0.06</v>
      </c>
      <c r="O99" s="116">
        <f t="shared" si="62"/>
        <v>0.06</v>
      </c>
      <c r="P99" s="116">
        <f t="shared" si="62"/>
        <v>0.06</v>
      </c>
      <c r="Q99" s="116">
        <f t="shared" si="62"/>
        <v>0.06</v>
      </c>
      <c r="R99" s="116">
        <f t="shared" si="62"/>
        <v>0.06</v>
      </c>
    </row>
    <row r="100" spans="2:18" x14ac:dyDescent="0.25">
      <c r="B100" t="s">
        <v>193</v>
      </c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2:18" x14ac:dyDescent="0.25">
      <c r="B101" t="s">
        <v>198</v>
      </c>
      <c r="D101" s="116">
        <v>-0.09</v>
      </c>
      <c r="E101" s="116">
        <v>-0.14000000000000001</v>
      </c>
      <c r="F101" s="116"/>
      <c r="G101" s="116"/>
      <c r="H101" s="116"/>
      <c r="I101" s="116">
        <f>AVERAGE(D101:H101)</f>
        <v>-0.115</v>
      </c>
      <c r="J101" s="116">
        <f t="shared" ref="J101:R101" si="63">I101</f>
        <v>-0.115</v>
      </c>
      <c r="K101" s="116">
        <f t="shared" si="63"/>
        <v>-0.115</v>
      </c>
      <c r="L101" s="116">
        <f t="shared" si="63"/>
        <v>-0.115</v>
      </c>
      <c r="M101" s="116">
        <f t="shared" si="63"/>
        <v>-0.115</v>
      </c>
      <c r="N101" s="116">
        <f t="shared" si="63"/>
        <v>-0.115</v>
      </c>
      <c r="O101" s="116">
        <f t="shared" si="63"/>
        <v>-0.115</v>
      </c>
      <c r="P101" s="116">
        <f t="shared" si="63"/>
        <v>-0.115</v>
      </c>
      <c r="Q101" s="116">
        <f t="shared" si="63"/>
        <v>-0.115</v>
      </c>
      <c r="R101" s="116">
        <f t="shared" si="63"/>
        <v>-0.115</v>
      </c>
    </row>
    <row r="102" spans="2:18" x14ac:dyDescent="0.25">
      <c r="B102" t="s">
        <v>194</v>
      </c>
      <c r="D102" s="116">
        <v>-1.22</v>
      </c>
      <c r="E102" s="116">
        <v>-3.34</v>
      </c>
      <c r="F102" s="116">
        <v>-4.47</v>
      </c>
      <c r="G102" s="116">
        <v>-8.93</v>
      </c>
      <c r="H102" s="116">
        <v>-8.64</v>
      </c>
      <c r="I102" s="116">
        <f>AVERAGE(D102:H102)</f>
        <v>-5.32</v>
      </c>
      <c r="J102" s="116">
        <f t="shared" ref="J102:R102" si="64">I102</f>
        <v>-5.32</v>
      </c>
      <c r="K102" s="116">
        <f t="shared" si="64"/>
        <v>-5.32</v>
      </c>
      <c r="L102" s="116">
        <f t="shared" si="64"/>
        <v>-5.32</v>
      </c>
      <c r="M102" s="116">
        <f t="shared" si="64"/>
        <v>-5.32</v>
      </c>
      <c r="N102" s="116">
        <f t="shared" si="64"/>
        <v>-5.32</v>
      </c>
      <c r="O102" s="116">
        <f t="shared" si="64"/>
        <v>-5.32</v>
      </c>
      <c r="P102" s="116">
        <f t="shared" si="64"/>
        <v>-5.32</v>
      </c>
      <c r="Q102" s="116">
        <f t="shared" si="64"/>
        <v>-5.32</v>
      </c>
      <c r="R102" s="116">
        <f t="shared" si="64"/>
        <v>-5.32</v>
      </c>
    </row>
    <row r="103" spans="2:18" x14ac:dyDescent="0.25">
      <c r="B103" s="47" t="s">
        <v>195</v>
      </c>
      <c r="C103" s="9"/>
      <c r="D103" s="145">
        <f t="shared" ref="D103:R103" si="65">SUM(D97:D102)</f>
        <v>30.39</v>
      </c>
      <c r="E103" s="145">
        <f t="shared" si="65"/>
        <v>32.909999999999997</v>
      </c>
      <c r="F103" s="145">
        <f t="shared" si="65"/>
        <v>39.299999999999997</v>
      </c>
      <c r="G103" s="145">
        <f t="shared" si="65"/>
        <v>43.93</v>
      </c>
      <c r="H103" s="145">
        <f t="shared" si="65"/>
        <v>56.45</v>
      </c>
      <c r="I103" s="145">
        <f t="shared" si="65"/>
        <v>61.971000000000011</v>
      </c>
      <c r="J103" s="145">
        <f t="shared" si="65"/>
        <v>67.492000000000019</v>
      </c>
      <c r="K103" s="145">
        <f t="shared" si="65"/>
        <v>73.013000000000034</v>
      </c>
      <c r="L103" s="145">
        <f t="shared" si="65"/>
        <v>78.534000000000049</v>
      </c>
      <c r="M103" s="145">
        <f t="shared" si="65"/>
        <v>84.055000000000064</v>
      </c>
      <c r="N103" s="145">
        <f t="shared" si="65"/>
        <v>89.576000000000079</v>
      </c>
      <c r="O103" s="145">
        <f t="shared" si="65"/>
        <v>95.097000000000094</v>
      </c>
      <c r="P103" s="145">
        <f t="shared" si="65"/>
        <v>100.61800000000011</v>
      </c>
      <c r="Q103" s="145">
        <f t="shared" si="65"/>
        <v>106.13900000000012</v>
      </c>
      <c r="R103" s="145">
        <f t="shared" si="65"/>
        <v>111.66000000000014</v>
      </c>
    </row>
    <row r="104" spans="2:18" x14ac:dyDescent="0.25">
      <c r="B104" s="46" t="s">
        <v>196</v>
      </c>
      <c r="D104" s="116">
        <v>15.8</v>
      </c>
      <c r="E104" s="116">
        <v>19.649999999999999</v>
      </c>
      <c r="F104" s="116">
        <v>21.85</v>
      </c>
      <c r="G104" s="116">
        <v>24.5</v>
      </c>
      <c r="H104" s="116">
        <v>25.64</v>
      </c>
      <c r="I104" s="116">
        <f t="shared" ref="I104:R104" si="66">SUM(H104:H110)-H105</f>
        <v>29.009999999999994</v>
      </c>
      <c r="J104" s="116">
        <f t="shared" si="66"/>
        <v>30.792499999999993</v>
      </c>
      <c r="K104" s="116">
        <f t="shared" si="66"/>
        <v>32.574999999999996</v>
      </c>
      <c r="L104" s="116">
        <f t="shared" si="66"/>
        <v>34.357500000000002</v>
      </c>
      <c r="M104" s="116">
        <f t="shared" si="66"/>
        <v>36.140000000000008</v>
      </c>
      <c r="N104" s="116">
        <f t="shared" si="66"/>
        <v>37.922500000000014</v>
      </c>
      <c r="O104" s="116">
        <f t="shared" si="66"/>
        <v>39.70500000000002</v>
      </c>
      <c r="P104" s="116">
        <f t="shared" si="66"/>
        <v>41.487500000000026</v>
      </c>
      <c r="Q104" s="116">
        <f t="shared" si="66"/>
        <v>43.270000000000032</v>
      </c>
      <c r="R104" s="116">
        <f t="shared" si="66"/>
        <v>45.052500000000038</v>
      </c>
    </row>
    <row r="105" spans="2:18" x14ac:dyDescent="0.25">
      <c r="B105" s="46" t="s">
        <v>220</v>
      </c>
      <c r="D105" s="116">
        <v>0.03</v>
      </c>
      <c r="E105" s="116">
        <v>0.05</v>
      </c>
      <c r="F105" s="116">
        <v>0.02</v>
      </c>
      <c r="G105" s="116">
        <v>0.02</v>
      </c>
      <c r="H105" s="116">
        <v>0.05</v>
      </c>
      <c r="I105" s="116">
        <f t="shared" ref="I105:I110" si="67">AVERAGE(D105:H105)</f>
        <v>3.4000000000000002E-2</v>
      </c>
      <c r="J105" s="116">
        <f t="shared" ref="J105:R105" si="68">I105</f>
        <v>3.4000000000000002E-2</v>
      </c>
      <c r="K105" s="116">
        <f t="shared" si="68"/>
        <v>3.4000000000000002E-2</v>
      </c>
      <c r="L105" s="116">
        <f t="shared" si="68"/>
        <v>3.4000000000000002E-2</v>
      </c>
      <c r="M105" s="116">
        <f t="shared" si="68"/>
        <v>3.4000000000000002E-2</v>
      </c>
      <c r="N105" s="116">
        <f t="shared" si="68"/>
        <v>3.4000000000000002E-2</v>
      </c>
      <c r="O105" s="116">
        <f t="shared" si="68"/>
        <v>3.4000000000000002E-2</v>
      </c>
      <c r="P105" s="116">
        <f t="shared" si="68"/>
        <v>3.4000000000000002E-2</v>
      </c>
      <c r="Q105" s="116">
        <f t="shared" si="68"/>
        <v>3.4000000000000002E-2</v>
      </c>
      <c r="R105" s="116">
        <f t="shared" si="68"/>
        <v>3.4000000000000002E-2</v>
      </c>
    </row>
    <row r="106" spans="2:18" x14ac:dyDescent="0.25">
      <c r="B106" t="s">
        <v>221</v>
      </c>
      <c r="D106" s="116">
        <v>4.54</v>
      </c>
      <c r="E106" s="116">
        <v>4.2300000000000004</v>
      </c>
      <c r="F106" s="116">
        <v>4.63</v>
      </c>
      <c r="G106" s="116">
        <v>6.34</v>
      </c>
      <c r="H106" s="116">
        <v>8.11</v>
      </c>
      <c r="I106" s="116">
        <f t="shared" si="67"/>
        <v>5.5699999999999994</v>
      </c>
      <c r="J106" s="116">
        <f t="shared" ref="J106:R106" si="69">I106</f>
        <v>5.5699999999999994</v>
      </c>
      <c r="K106" s="116">
        <f t="shared" si="69"/>
        <v>5.5699999999999994</v>
      </c>
      <c r="L106" s="116">
        <f t="shared" si="69"/>
        <v>5.5699999999999994</v>
      </c>
      <c r="M106" s="116">
        <f t="shared" si="69"/>
        <v>5.5699999999999994</v>
      </c>
      <c r="N106" s="116">
        <f t="shared" si="69"/>
        <v>5.5699999999999994</v>
      </c>
      <c r="O106" s="116">
        <f t="shared" si="69"/>
        <v>5.5699999999999994</v>
      </c>
      <c r="P106" s="116">
        <f t="shared" si="69"/>
        <v>5.5699999999999994</v>
      </c>
      <c r="Q106" s="116">
        <f t="shared" si="69"/>
        <v>5.5699999999999994</v>
      </c>
      <c r="R106" s="116">
        <f t="shared" si="69"/>
        <v>5.5699999999999994</v>
      </c>
    </row>
    <row r="107" spans="2:18" x14ac:dyDescent="0.25">
      <c r="B107" t="s">
        <v>198</v>
      </c>
      <c r="D107" s="116">
        <v>-0.03</v>
      </c>
      <c r="E107" s="116">
        <v>-0.06</v>
      </c>
      <c r="F107" s="116">
        <v>-1.98</v>
      </c>
      <c r="G107" s="116"/>
      <c r="H107" s="116"/>
      <c r="I107" s="116">
        <f t="shared" si="67"/>
        <v>-0.69</v>
      </c>
      <c r="J107" s="116">
        <f t="shared" ref="J107:R107" si="70">I107</f>
        <v>-0.69</v>
      </c>
      <c r="K107" s="116">
        <f t="shared" si="70"/>
        <v>-0.69</v>
      </c>
      <c r="L107" s="116">
        <f t="shared" si="70"/>
        <v>-0.69</v>
      </c>
      <c r="M107" s="116">
        <f t="shared" si="70"/>
        <v>-0.69</v>
      </c>
      <c r="N107" s="116">
        <f t="shared" si="70"/>
        <v>-0.69</v>
      </c>
      <c r="O107" s="116">
        <f t="shared" si="70"/>
        <v>-0.69</v>
      </c>
      <c r="P107" s="116">
        <f t="shared" si="70"/>
        <v>-0.69</v>
      </c>
      <c r="Q107" s="116">
        <f t="shared" si="70"/>
        <v>-0.69</v>
      </c>
      <c r="R107" s="116">
        <f t="shared" si="70"/>
        <v>-0.69</v>
      </c>
    </row>
    <row r="108" spans="2:18" x14ac:dyDescent="0.25">
      <c r="B108" t="s">
        <v>194</v>
      </c>
      <c r="D108" s="116">
        <v>-0.66</v>
      </c>
      <c r="E108" s="116">
        <v>-1.97</v>
      </c>
      <c r="F108" s="116"/>
      <c r="G108" s="116">
        <v>-5.2</v>
      </c>
      <c r="H108" s="116">
        <v>-4.8</v>
      </c>
      <c r="I108" s="116">
        <f t="shared" si="67"/>
        <v>-3.1574999999999998</v>
      </c>
      <c r="J108" s="116">
        <f t="shared" ref="J108:R108" si="71">I108</f>
        <v>-3.1574999999999998</v>
      </c>
      <c r="K108" s="116">
        <f t="shared" si="71"/>
        <v>-3.1574999999999998</v>
      </c>
      <c r="L108" s="116">
        <f t="shared" si="71"/>
        <v>-3.1574999999999998</v>
      </c>
      <c r="M108" s="116">
        <f t="shared" si="71"/>
        <v>-3.1574999999999998</v>
      </c>
      <c r="N108" s="116">
        <f t="shared" si="71"/>
        <v>-3.1574999999999998</v>
      </c>
      <c r="O108" s="116">
        <f t="shared" si="71"/>
        <v>-3.1574999999999998</v>
      </c>
      <c r="P108" s="116">
        <f t="shared" si="71"/>
        <v>-3.1574999999999998</v>
      </c>
      <c r="Q108" s="116">
        <f t="shared" si="71"/>
        <v>-3.1574999999999998</v>
      </c>
      <c r="R108" s="116">
        <f t="shared" si="71"/>
        <v>-3.1574999999999998</v>
      </c>
    </row>
    <row r="109" spans="2:18" x14ac:dyDescent="0.25">
      <c r="B109" t="s">
        <v>193</v>
      </c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2:18" x14ac:dyDescent="0.25">
      <c r="B110" t="s">
        <v>192</v>
      </c>
      <c r="D110" s="116"/>
      <c r="E110" s="116"/>
      <c r="F110" s="116"/>
      <c r="G110" s="116"/>
      <c r="H110" s="116">
        <v>0.06</v>
      </c>
      <c r="I110" s="116">
        <f t="shared" si="67"/>
        <v>0.06</v>
      </c>
      <c r="J110" s="116">
        <f t="shared" ref="J110:R110" si="72">I110</f>
        <v>0.06</v>
      </c>
      <c r="K110" s="116">
        <f t="shared" si="72"/>
        <v>0.06</v>
      </c>
      <c r="L110" s="116">
        <f t="shared" si="72"/>
        <v>0.06</v>
      </c>
      <c r="M110" s="116">
        <f t="shared" si="72"/>
        <v>0.06</v>
      </c>
      <c r="N110" s="116">
        <f t="shared" si="72"/>
        <v>0.06</v>
      </c>
      <c r="O110" s="116">
        <f t="shared" si="72"/>
        <v>0.06</v>
      </c>
      <c r="P110" s="116">
        <f t="shared" si="72"/>
        <v>0.06</v>
      </c>
      <c r="Q110" s="116">
        <f t="shared" si="72"/>
        <v>0.06</v>
      </c>
      <c r="R110" s="116">
        <f t="shared" si="72"/>
        <v>0.06</v>
      </c>
    </row>
    <row r="111" spans="2:18" x14ac:dyDescent="0.25">
      <c r="B111" s="47" t="s">
        <v>197</v>
      </c>
      <c r="C111" s="9"/>
      <c r="D111" s="145">
        <f t="shared" ref="D111:R111" si="73">D103-SUM(D104:D110)</f>
        <v>10.71</v>
      </c>
      <c r="E111" s="145">
        <f t="shared" si="73"/>
        <v>11.009999999999994</v>
      </c>
      <c r="F111" s="145">
        <f t="shared" si="73"/>
        <v>14.779999999999998</v>
      </c>
      <c r="G111" s="145">
        <f t="shared" si="73"/>
        <v>18.27</v>
      </c>
      <c r="H111" s="145">
        <f t="shared" si="73"/>
        <v>27.390000000000008</v>
      </c>
      <c r="I111" s="145">
        <f t="shared" si="73"/>
        <v>31.144500000000019</v>
      </c>
      <c r="J111" s="145">
        <f t="shared" si="73"/>
        <v>34.883000000000024</v>
      </c>
      <c r="K111" s="145">
        <f t="shared" si="73"/>
        <v>38.621500000000033</v>
      </c>
      <c r="L111" s="145">
        <f t="shared" si="73"/>
        <v>42.360000000000042</v>
      </c>
      <c r="M111" s="145">
        <f t="shared" si="73"/>
        <v>46.098500000000051</v>
      </c>
      <c r="N111" s="145">
        <f t="shared" si="73"/>
        <v>49.83700000000006</v>
      </c>
      <c r="O111" s="145">
        <f t="shared" si="73"/>
        <v>53.575500000000069</v>
      </c>
      <c r="P111" s="145">
        <f t="shared" si="73"/>
        <v>57.314000000000078</v>
      </c>
      <c r="Q111" s="145">
        <f t="shared" si="73"/>
        <v>61.052500000000087</v>
      </c>
      <c r="R111" s="145">
        <f t="shared" si="73"/>
        <v>64.791000000000096</v>
      </c>
    </row>
    <row r="112" spans="2:18" x14ac:dyDescent="0.25"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 x14ac:dyDescent="0.25">
      <c r="A113" t="s">
        <v>207</v>
      </c>
      <c r="B113" s="1" t="s">
        <v>204</v>
      </c>
      <c r="D113" s="116"/>
      <c r="E113" s="177"/>
      <c r="F113" s="177"/>
      <c r="G113" s="177"/>
      <c r="H113" s="177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 x14ac:dyDescent="0.25">
      <c r="B114" s="47" t="s">
        <v>191</v>
      </c>
      <c r="C114" s="9"/>
      <c r="D114" s="145">
        <v>58.1</v>
      </c>
      <c r="E114" s="145">
        <f>D120</f>
        <v>59.32</v>
      </c>
      <c r="F114" s="145">
        <f t="shared" ref="F114:R114" si="74">E120</f>
        <v>70.059999999999988</v>
      </c>
      <c r="G114" s="145">
        <f t="shared" si="74"/>
        <v>97.559999999999988</v>
      </c>
      <c r="H114" s="145">
        <f t="shared" si="74"/>
        <v>111.94</v>
      </c>
      <c r="I114" s="145">
        <f t="shared" si="74"/>
        <v>175.04</v>
      </c>
      <c r="J114" s="145">
        <f t="shared" si="74"/>
        <v>204.02599999999998</v>
      </c>
      <c r="K114" s="145">
        <f t="shared" si="74"/>
        <v>233.01199999999997</v>
      </c>
      <c r="L114" s="145">
        <f t="shared" si="74"/>
        <v>261.99799999999999</v>
      </c>
      <c r="M114" s="145">
        <f t="shared" si="74"/>
        <v>290.98399999999998</v>
      </c>
      <c r="N114" s="145">
        <f t="shared" si="74"/>
        <v>319.96999999999997</v>
      </c>
      <c r="O114" s="145">
        <f t="shared" si="74"/>
        <v>348.95599999999996</v>
      </c>
      <c r="P114" s="145">
        <f t="shared" si="74"/>
        <v>377.94199999999995</v>
      </c>
      <c r="Q114" s="145">
        <f t="shared" si="74"/>
        <v>406.92799999999994</v>
      </c>
      <c r="R114" s="145">
        <f t="shared" si="74"/>
        <v>435.91399999999993</v>
      </c>
    </row>
    <row r="115" spans="1:18" x14ac:dyDescent="0.25">
      <c r="B115" t="s">
        <v>190</v>
      </c>
      <c r="D115" s="116">
        <v>5.86</v>
      </c>
      <c r="E115" s="116">
        <v>16.46</v>
      </c>
      <c r="F115" s="116">
        <v>39.53</v>
      </c>
      <c r="G115" s="116">
        <v>39.31</v>
      </c>
      <c r="H115" s="116">
        <v>74.349999999999994</v>
      </c>
      <c r="I115" s="116">
        <f>AVERAGE(D115:H115)</f>
        <v>35.101999999999997</v>
      </c>
      <c r="J115" s="116">
        <f t="shared" ref="J115:R115" si="75">I115</f>
        <v>35.101999999999997</v>
      </c>
      <c r="K115" s="116">
        <f t="shared" si="75"/>
        <v>35.101999999999997</v>
      </c>
      <c r="L115" s="116">
        <f t="shared" si="75"/>
        <v>35.101999999999997</v>
      </c>
      <c r="M115" s="116">
        <f t="shared" si="75"/>
        <v>35.101999999999997</v>
      </c>
      <c r="N115" s="116">
        <f t="shared" si="75"/>
        <v>35.101999999999997</v>
      </c>
      <c r="O115" s="116">
        <f t="shared" si="75"/>
        <v>35.101999999999997</v>
      </c>
      <c r="P115" s="116">
        <f t="shared" si="75"/>
        <v>35.101999999999997</v>
      </c>
      <c r="Q115" s="116">
        <f t="shared" si="75"/>
        <v>35.101999999999997</v>
      </c>
      <c r="R115" s="116">
        <f t="shared" si="75"/>
        <v>35.101999999999997</v>
      </c>
    </row>
    <row r="116" spans="1:18" x14ac:dyDescent="0.25">
      <c r="B116" t="s">
        <v>192</v>
      </c>
      <c r="D116" s="116"/>
      <c r="E116" s="116"/>
      <c r="F116" s="116"/>
      <c r="G116" s="116"/>
      <c r="H116" s="116">
        <v>7.19</v>
      </c>
      <c r="I116" s="116">
        <f>AVERAGE(D116:H116)</f>
        <v>7.19</v>
      </c>
      <c r="J116" s="116">
        <f t="shared" ref="J116:R116" si="76">I116</f>
        <v>7.19</v>
      </c>
      <c r="K116" s="116">
        <f t="shared" si="76"/>
        <v>7.19</v>
      </c>
      <c r="L116" s="116">
        <f t="shared" si="76"/>
        <v>7.19</v>
      </c>
      <c r="M116" s="116">
        <f t="shared" si="76"/>
        <v>7.19</v>
      </c>
      <c r="N116" s="116">
        <f t="shared" si="76"/>
        <v>7.19</v>
      </c>
      <c r="O116" s="116">
        <f t="shared" si="76"/>
        <v>7.19</v>
      </c>
      <c r="P116" s="116">
        <f t="shared" si="76"/>
        <v>7.19</v>
      </c>
      <c r="Q116" s="116">
        <f t="shared" si="76"/>
        <v>7.19</v>
      </c>
      <c r="R116" s="116">
        <f t="shared" si="76"/>
        <v>7.19</v>
      </c>
    </row>
    <row r="117" spans="1:18" x14ac:dyDescent="0.25">
      <c r="B117" t="s">
        <v>193</v>
      </c>
      <c r="D117" s="116"/>
      <c r="E117" s="116"/>
      <c r="F117" s="116"/>
      <c r="G117" s="116"/>
      <c r="H117" s="116">
        <v>0.01</v>
      </c>
      <c r="I117" s="116">
        <f>AVERAGE(D117:H117)</f>
        <v>0.01</v>
      </c>
      <c r="J117" s="116">
        <f t="shared" ref="J117:R117" si="77">I117</f>
        <v>0.01</v>
      </c>
      <c r="K117" s="116">
        <f t="shared" si="77"/>
        <v>0.01</v>
      </c>
      <c r="L117" s="116">
        <f t="shared" si="77"/>
        <v>0.01</v>
      </c>
      <c r="M117" s="116">
        <f t="shared" si="77"/>
        <v>0.01</v>
      </c>
      <c r="N117" s="116">
        <f t="shared" si="77"/>
        <v>0.01</v>
      </c>
      <c r="O117" s="116">
        <f t="shared" si="77"/>
        <v>0.01</v>
      </c>
      <c r="P117" s="116">
        <f t="shared" si="77"/>
        <v>0.01</v>
      </c>
      <c r="Q117" s="116">
        <f t="shared" si="77"/>
        <v>0.01</v>
      </c>
      <c r="R117" s="116">
        <f t="shared" si="77"/>
        <v>0.01</v>
      </c>
    </row>
    <row r="118" spans="1:18" x14ac:dyDescent="0.25">
      <c r="B118" t="s">
        <v>198</v>
      </c>
      <c r="D118" s="116">
        <v>-0.11</v>
      </c>
      <c r="E118" s="116">
        <v>-0.43</v>
      </c>
      <c r="F118" s="116"/>
      <c r="G118" s="116"/>
      <c r="H118" s="116"/>
      <c r="I118" s="116">
        <f>AVERAGE(D118:H118)</f>
        <v>-0.27</v>
      </c>
      <c r="J118" s="116">
        <f t="shared" ref="J118:R118" si="78">I118</f>
        <v>-0.27</v>
      </c>
      <c r="K118" s="116">
        <f t="shared" si="78"/>
        <v>-0.27</v>
      </c>
      <c r="L118" s="116">
        <f t="shared" si="78"/>
        <v>-0.27</v>
      </c>
      <c r="M118" s="116">
        <f t="shared" si="78"/>
        <v>-0.27</v>
      </c>
      <c r="N118" s="116">
        <f t="shared" si="78"/>
        <v>-0.27</v>
      </c>
      <c r="O118" s="116">
        <f t="shared" si="78"/>
        <v>-0.27</v>
      </c>
      <c r="P118" s="116">
        <f t="shared" si="78"/>
        <v>-0.27</v>
      </c>
      <c r="Q118" s="116">
        <f t="shared" si="78"/>
        <v>-0.27</v>
      </c>
      <c r="R118" s="116">
        <f t="shared" si="78"/>
        <v>-0.27</v>
      </c>
    </row>
    <row r="119" spans="1:18" x14ac:dyDescent="0.25">
      <c r="B119" t="s">
        <v>194</v>
      </c>
      <c r="D119" s="116">
        <v>-4.53</v>
      </c>
      <c r="E119" s="116">
        <v>-5.29</v>
      </c>
      <c r="F119" s="116">
        <v>-12.03</v>
      </c>
      <c r="G119" s="116">
        <v>-24.93</v>
      </c>
      <c r="H119" s="116">
        <v>-18.45</v>
      </c>
      <c r="I119" s="116">
        <f>AVERAGE(D119:H119)</f>
        <v>-13.046000000000001</v>
      </c>
      <c r="J119" s="116">
        <f t="shared" ref="J119:R119" si="79">I119</f>
        <v>-13.046000000000001</v>
      </c>
      <c r="K119" s="116">
        <f t="shared" si="79"/>
        <v>-13.046000000000001</v>
      </c>
      <c r="L119" s="116">
        <f t="shared" si="79"/>
        <v>-13.046000000000001</v>
      </c>
      <c r="M119" s="116">
        <f t="shared" si="79"/>
        <v>-13.046000000000001</v>
      </c>
      <c r="N119" s="116">
        <f t="shared" si="79"/>
        <v>-13.046000000000001</v>
      </c>
      <c r="O119" s="116">
        <f t="shared" si="79"/>
        <v>-13.046000000000001</v>
      </c>
      <c r="P119" s="116">
        <f t="shared" si="79"/>
        <v>-13.046000000000001</v>
      </c>
      <c r="Q119" s="116">
        <f t="shared" si="79"/>
        <v>-13.046000000000001</v>
      </c>
      <c r="R119" s="116">
        <f t="shared" si="79"/>
        <v>-13.046000000000001</v>
      </c>
    </row>
    <row r="120" spans="1:18" x14ac:dyDescent="0.25">
      <c r="B120" s="47" t="s">
        <v>195</v>
      </c>
      <c r="C120" s="9"/>
      <c r="D120" s="145">
        <f t="shared" ref="D120:R120" si="80">SUM(D114:D119)</f>
        <v>59.32</v>
      </c>
      <c r="E120" s="145">
        <f t="shared" si="80"/>
        <v>70.059999999999988</v>
      </c>
      <c r="F120" s="145">
        <f t="shared" si="80"/>
        <v>97.559999999999988</v>
      </c>
      <c r="G120" s="145">
        <f t="shared" si="80"/>
        <v>111.94</v>
      </c>
      <c r="H120" s="145">
        <f t="shared" si="80"/>
        <v>175.04</v>
      </c>
      <c r="I120" s="145">
        <f t="shared" si="80"/>
        <v>204.02599999999998</v>
      </c>
      <c r="J120" s="145">
        <f t="shared" si="80"/>
        <v>233.01199999999997</v>
      </c>
      <c r="K120" s="145">
        <f t="shared" si="80"/>
        <v>261.99799999999999</v>
      </c>
      <c r="L120" s="145">
        <f t="shared" si="80"/>
        <v>290.98399999999998</v>
      </c>
      <c r="M120" s="145">
        <f t="shared" si="80"/>
        <v>319.96999999999997</v>
      </c>
      <c r="N120" s="145">
        <f t="shared" si="80"/>
        <v>348.95599999999996</v>
      </c>
      <c r="O120" s="145">
        <f t="shared" si="80"/>
        <v>377.94199999999995</v>
      </c>
      <c r="P120" s="145">
        <f t="shared" si="80"/>
        <v>406.92799999999994</v>
      </c>
      <c r="Q120" s="145">
        <f t="shared" si="80"/>
        <v>435.91399999999993</v>
      </c>
      <c r="R120" s="145">
        <f t="shared" si="80"/>
        <v>464.89999999999992</v>
      </c>
    </row>
    <row r="121" spans="1:18" x14ac:dyDescent="0.25">
      <c r="B121" s="46" t="s">
        <v>196</v>
      </c>
      <c r="D121" s="116">
        <v>44.53</v>
      </c>
      <c r="E121" s="116">
        <v>47.36</v>
      </c>
      <c r="F121" s="116">
        <v>51.46</v>
      </c>
      <c r="G121" s="116">
        <v>58.63</v>
      </c>
      <c r="H121" s="116">
        <v>62.48</v>
      </c>
      <c r="I121" s="116">
        <f t="shared" ref="I121:R121" si="81">SUM(H121:H127)-H122</f>
        <v>90.250000000000014</v>
      </c>
      <c r="J121" s="116">
        <f t="shared" si="81"/>
        <v>104.80900000000001</v>
      </c>
      <c r="K121" s="116">
        <f t="shared" si="81"/>
        <v>119.36800000000001</v>
      </c>
      <c r="L121" s="116">
        <f t="shared" si="81"/>
        <v>133.92700000000002</v>
      </c>
      <c r="M121" s="116">
        <f t="shared" si="81"/>
        <v>148.48600000000002</v>
      </c>
      <c r="N121" s="116">
        <f t="shared" si="81"/>
        <v>163.04500000000002</v>
      </c>
      <c r="O121" s="116">
        <f t="shared" si="81"/>
        <v>177.60400000000001</v>
      </c>
      <c r="P121" s="116">
        <f t="shared" si="81"/>
        <v>192.16300000000001</v>
      </c>
      <c r="Q121" s="116">
        <f t="shared" si="81"/>
        <v>206.72200000000001</v>
      </c>
      <c r="R121" s="116">
        <f t="shared" si="81"/>
        <v>221.28100000000001</v>
      </c>
    </row>
    <row r="122" spans="1:18" x14ac:dyDescent="0.25">
      <c r="B122" s="46" t="s">
        <v>220</v>
      </c>
      <c r="D122" s="116">
        <v>0.01</v>
      </c>
      <c r="E122" s="116">
        <v>0.02</v>
      </c>
      <c r="F122" s="116">
        <v>0.03</v>
      </c>
      <c r="G122" s="116">
        <v>0.05</v>
      </c>
      <c r="H122" s="116">
        <v>0.24</v>
      </c>
      <c r="I122" s="116">
        <f t="shared" ref="I122:I127" si="82">AVERAGE(D122:H122)</f>
        <v>6.9999999999999993E-2</v>
      </c>
      <c r="J122" s="116">
        <f t="shared" ref="J122:R122" si="83">I122</f>
        <v>6.9999999999999993E-2</v>
      </c>
      <c r="K122" s="116">
        <f t="shared" si="83"/>
        <v>6.9999999999999993E-2</v>
      </c>
      <c r="L122" s="116">
        <f t="shared" si="83"/>
        <v>6.9999999999999993E-2</v>
      </c>
      <c r="M122" s="116">
        <f t="shared" si="83"/>
        <v>6.9999999999999993E-2</v>
      </c>
      <c r="N122" s="116">
        <f t="shared" si="83"/>
        <v>6.9999999999999993E-2</v>
      </c>
      <c r="O122" s="116">
        <f t="shared" si="83"/>
        <v>6.9999999999999993E-2</v>
      </c>
      <c r="P122" s="116">
        <f t="shared" si="83"/>
        <v>6.9999999999999993E-2</v>
      </c>
      <c r="Q122" s="116">
        <f t="shared" si="83"/>
        <v>6.9999999999999993E-2</v>
      </c>
      <c r="R122" s="116">
        <f t="shared" si="83"/>
        <v>6.9999999999999993E-2</v>
      </c>
    </row>
    <row r="123" spans="1:18" x14ac:dyDescent="0.25">
      <c r="B123" t="s">
        <v>221</v>
      </c>
      <c r="D123" s="116">
        <v>6.69</v>
      </c>
      <c r="E123" s="116">
        <v>7.6</v>
      </c>
      <c r="F123" s="116">
        <v>13.4</v>
      </c>
      <c r="G123" s="116">
        <v>20.45</v>
      </c>
      <c r="H123" s="116">
        <v>30.15</v>
      </c>
      <c r="I123" s="116">
        <f t="shared" si="82"/>
        <v>15.657999999999998</v>
      </c>
      <c r="J123" s="116">
        <f t="shared" ref="J123:R123" si="84">I123</f>
        <v>15.657999999999998</v>
      </c>
      <c r="K123" s="116">
        <f t="shared" si="84"/>
        <v>15.657999999999998</v>
      </c>
      <c r="L123" s="116">
        <f t="shared" si="84"/>
        <v>15.657999999999998</v>
      </c>
      <c r="M123" s="116">
        <f t="shared" si="84"/>
        <v>15.657999999999998</v>
      </c>
      <c r="N123" s="116">
        <f t="shared" si="84"/>
        <v>15.657999999999998</v>
      </c>
      <c r="O123" s="116">
        <f t="shared" si="84"/>
        <v>15.657999999999998</v>
      </c>
      <c r="P123" s="116">
        <f t="shared" si="84"/>
        <v>15.657999999999998</v>
      </c>
      <c r="Q123" s="116">
        <f t="shared" si="84"/>
        <v>15.657999999999998</v>
      </c>
      <c r="R123" s="116">
        <f t="shared" si="84"/>
        <v>15.657999999999998</v>
      </c>
    </row>
    <row r="124" spans="1:18" x14ac:dyDescent="0.25">
      <c r="B124" t="s">
        <v>198</v>
      </c>
      <c r="D124" s="116">
        <v>-0.01</v>
      </c>
      <c r="E124" s="116">
        <v>-0.26</v>
      </c>
      <c r="F124" s="116"/>
      <c r="G124" s="116"/>
      <c r="H124" s="116"/>
      <c r="I124" s="116">
        <f t="shared" si="82"/>
        <v>-0.13500000000000001</v>
      </c>
      <c r="J124" s="116">
        <f t="shared" ref="J124:R124" si="85">I124</f>
        <v>-0.13500000000000001</v>
      </c>
      <c r="K124" s="116">
        <f t="shared" si="85"/>
        <v>-0.13500000000000001</v>
      </c>
      <c r="L124" s="116">
        <f t="shared" si="85"/>
        <v>-0.13500000000000001</v>
      </c>
      <c r="M124" s="116">
        <f t="shared" si="85"/>
        <v>-0.13500000000000001</v>
      </c>
      <c r="N124" s="116">
        <f t="shared" si="85"/>
        <v>-0.13500000000000001</v>
      </c>
      <c r="O124" s="116">
        <f t="shared" si="85"/>
        <v>-0.13500000000000001</v>
      </c>
      <c r="P124" s="116">
        <f t="shared" si="85"/>
        <v>-0.13500000000000001</v>
      </c>
      <c r="Q124" s="116">
        <f t="shared" si="85"/>
        <v>-0.13500000000000001</v>
      </c>
      <c r="R124" s="116">
        <f t="shared" si="85"/>
        <v>-0.13500000000000001</v>
      </c>
    </row>
    <row r="125" spans="1:18" x14ac:dyDescent="0.25">
      <c r="B125" t="s">
        <v>194</v>
      </c>
      <c r="D125" s="116">
        <v>-3.85</v>
      </c>
      <c r="E125" s="116">
        <v>-3.24</v>
      </c>
      <c r="F125" s="116">
        <v>-6.23</v>
      </c>
      <c r="G125" s="116">
        <v>-16.600000000000001</v>
      </c>
      <c r="H125" s="116">
        <v>-9.25</v>
      </c>
      <c r="I125" s="116">
        <f t="shared" si="82"/>
        <v>-7.8340000000000005</v>
      </c>
      <c r="J125" s="116">
        <f t="shared" ref="J125:R125" si="86">I125</f>
        <v>-7.8340000000000005</v>
      </c>
      <c r="K125" s="116">
        <f t="shared" si="86"/>
        <v>-7.8340000000000005</v>
      </c>
      <c r="L125" s="116">
        <f t="shared" si="86"/>
        <v>-7.8340000000000005</v>
      </c>
      <c r="M125" s="116">
        <f t="shared" si="86"/>
        <v>-7.8340000000000005</v>
      </c>
      <c r="N125" s="116">
        <f t="shared" si="86"/>
        <v>-7.8340000000000005</v>
      </c>
      <c r="O125" s="116">
        <f t="shared" si="86"/>
        <v>-7.8340000000000005</v>
      </c>
      <c r="P125" s="116">
        <f t="shared" si="86"/>
        <v>-7.8340000000000005</v>
      </c>
      <c r="Q125" s="116">
        <f t="shared" si="86"/>
        <v>-7.8340000000000005</v>
      </c>
      <c r="R125" s="116">
        <f t="shared" si="86"/>
        <v>-7.8340000000000005</v>
      </c>
    </row>
    <row r="126" spans="1:18" x14ac:dyDescent="0.25">
      <c r="B126" t="s">
        <v>193</v>
      </c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 x14ac:dyDescent="0.25">
      <c r="B127" t="s">
        <v>192</v>
      </c>
      <c r="D127" s="116"/>
      <c r="E127" s="116"/>
      <c r="F127" s="116"/>
      <c r="G127" s="116"/>
      <c r="H127" s="116">
        <v>6.87</v>
      </c>
      <c r="I127" s="116">
        <f t="shared" si="82"/>
        <v>6.87</v>
      </c>
      <c r="J127" s="116">
        <f t="shared" ref="J127:R127" si="87">I127</f>
        <v>6.87</v>
      </c>
      <c r="K127" s="116">
        <f t="shared" si="87"/>
        <v>6.87</v>
      </c>
      <c r="L127" s="116">
        <f t="shared" si="87"/>
        <v>6.87</v>
      </c>
      <c r="M127" s="116">
        <f t="shared" si="87"/>
        <v>6.87</v>
      </c>
      <c r="N127" s="116">
        <f t="shared" si="87"/>
        <v>6.87</v>
      </c>
      <c r="O127" s="116">
        <f t="shared" si="87"/>
        <v>6.87</v>
      </c>
      <c r="P127" s="116">
        <f t="shared" si="87"/>
        <v>6.87</v>
      </c>
      <c r="Q127" s="116">
        <f t="shared" si="87"/>
        <v>6.87</v>
      </c>
      <c r="R127" s="116">
        <f t="shared" si="87"/>
        <v>6.87</v>
      </c>
    </row>
    <row r="128" spans="1:18" x14ac:dyDescent="0.25">
      <c r="B128" s="47" t="s">
        <v>197</v>
      </c>
      <c r="C128" s="9"/>
      <c r="D128" s="145">
        <f t="shared" ref="D128:R128" si="88">D120-SUM(D121:D127)</f>
        <v>11.950000000000003</v>
      </c>
      <c r="E128" s="145">
        <f t="shared" si="88"/>
        <v>18.579999999999984</v>
      </c>
      <c r="F128" s="145">
        <f t="shared" si="88"/>
        <v>38.899999999999991</v>
      </c>
      <c r="G128" s="145">
        <f t="shared" si="88"/>
        <v>49.410000000000004</v>
      </c>
      <c r="H128" s="145">
        <f t="shared" si="88"/>
        <v>84.549999999999983</v>
      </c>
      <c r="I128" s="145">
        <f t="shared" si="88"/>
        <v>99.146999999999977</v>
      </c>
      <c r="J128" s="145">
        <f t="shared" si="88"/>
        <v>113.57399999999997</v>
      </c>
      <c r="K128" s="145">
        <f t="shared" si="88"/>
        <v>128.00099999999998</v>
      </c>
      <c r="L128" s="145">
        <f t="shared" si="88"/>
        <v>142.42799999999997</v>
      </c>
      <c r="M128" s="145">
        <f t="shared" si="88"/>
        <v>156.85499999999996</v>
      </c>
      <c r="N128" s="145">
        <f t="shared" si="88"/>
        <v>171.28199999999995</v>
      </c>
      <c r="O128" s="145">
        <f t="shared" si="88"/>
        <v>185.70899999999995</v>
      </c>
      <c r="P128" s="145">
        <f t="shared" si="88"/>
        <v>200.13599999999994</v>
      </c>
      <c r="Q128" s="145">
        <f t="shared" si="88"/>
        <v>214.56299999999993</v>
      </c>
      <c r="R128" s="145">
        <f t="shared" si="88"/>
        <v>228.98999999999992</v>
      </c>
    </row>
    <row r="129" spans="1:18" x14ac:dyDescent="0.25"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 x14ac:dyDescent="0.25">
      <c r="A130" t="s">
        <v>207</v>
      </c>
      <c r="B130" s="1" t="s">
        <v>205</v>
      </c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 x14ac:dyDescent="0.25">
      <c r="B131" s="47" t="s">
        <v>191</v>
      </c>
      <c r="C131" s="5"/>
      <c r="D131" s="145">
        <v>1.1000000000000001</v>
      </c>
      <c r="E131" s="145">
        <f>D137</f>
        <v>1.1000000000000001</v>
      </c>
      <c r="F131" s="145">
        <f t="shared" ref="F131:R131" si="89">E137</f>
        <v>1.1000000000000001</v>
      </c>
      <c r="G131" s="145">
        <f t="shared" si="89"/>
        <v>1.67</v>
      </c>
      <c r="H131" s="145">
        <f t="shared" si="89"/>
        <v>2.0299999999999998</v>
      </c>
      <c r="I131" s="145">
        <f t="shared" si="89"/>
        <v>2.5499999999999998</v>
      </c>
      <c r="J131" s="145">
        <f t="shared" si="89"/>
        <v>3.2133333333333334</v>
      </c>
      <c r="K131" s="145">
        <f t="shared" si="89"/>
        <v>3.8766666666666669</v>
      </c>
      <c r="L131" s="145">
        <f t="shared" si="89"/>
        <v>4.5400000000000009</v>
      </c>
      <c r="M131" s="145">
        <f t="shared" si="89"/>
        <v>5.2033333333333349</v>
      </c>
      <c r="N131" s="145">
        <f t="shared" si="89"/>
        <v>5.8666666666666689</v>
      </c>
      <c r="O131" s="145">
        <f t="shared" si="89"/>
        <v>6.5300000000000029</v>
      </c>
      <c r="P131" s="145">
        <f t="shared" si="89"/>
        <v>7.1933333333333369</v>
      </c>
      <c r="Q131" s="145">
        <f t="shared" si="89"/>
        <v>7.8566666666666709</v>
      </c>
      <c r="R131" s="145">
        <f t="shared" si="89"/>
        <v>8.5200000000000031</v>
      </c>
    </row>
    <row r="132" spans="1:18" x14ac:dyDescent="0.25">
      <c r="B132" t="s">
        <v>190</v>
      </c>
      <c r="D132" s="116"/>
      <c r="E132" s="116"/>
      <c r="F132" s="116">
        <v>0.7</v>
      </c>
      <c r="G132" s="116">
        <v>0.48</v>
      </c>
      <c r="H132" s="116">
        <v>0.61</v>
      </c>
      <c r="I132" s="116">
        <f>AVERAGE(D132:H132)</f>
        <v>0.59666666666666668</v>
      </c>
      <c r="J132" s="116">
        <f t="shared" ref="J132:R132" si="90">I132</f>
        <v>0.59666666666666668</v>
      </c>
      <c r="K132" s="116">
        <f t="shared" si="90"/>
        <v>0.59666666666666668</v>
      </c>
      <c r="L132" s="116">
        <f t="shared" si="90"/>
        <v>0.59666666666666668</v>
      </c>
      <c r="M132" s="116">
        <f t="shared" si="90"/>
        <v>0.59666666666666668</v>
      </c>
      <c r="N132" s="116">
        <f t="shared" si="90"/>
        <v>0.59666666666666668</v>
      </c>
      <c r="O132" s="116">
        <f t="shared" si="90"/>
        <v>0.59666666666666668</v>
      </c>
      <c r="P132" s="116">
        <f t="shared" si="90"/>
        <v>0.59666666666666668</v>
      </c>
      <c r="Q132" s="116">
        <f t="shared" si="90"/>
        <v>0.59666666666666668</v>
      </c>
      <c r="R132" s="116">
        <f t="shared" si="90"/>
        <v>0.59666666666666668</v>
      </c>
    </row>
    <row r="133" spans="1:18" x14ac:dyDescent="0.25">
      <c r="B133" t="s">
        <v>192</v>
      </c>
      <c r="D133" s="116"/>
      <c r="E133" s="116"/>
      <c r="F133" s="116"/>
      <c r="G133" s="116"/>
      <c r="H133" s="116">
        <v>0.27</v>
      </c>
      <c r="I133" s="116">
        <f>AVERAGE(D133:H133)</f>
        <v>0.27</v>
      </c>
      <c r="J133" s="116">
        <f t="shared" ref="J133:R133" si="91">I133</f>
        <v>0.27</v>
      </c>
      <c r="K133" s="116">
        <f t="shared" si="91"/>
        <v>0.27</v>
      </c>
      <c r="L133" s="116">
        <f t="shared" si="91"/>
        <v>0.27</v>
      </c>
      <c r="M133" s="116">
        <f t="shared" si="91"/>
        <v>0.27</v>
      </c>
      <c r="N133" s="116">
        <f t="shared" si="91"/>
        <v>0.27</v>
      </c>
      <c r="O133" s="116">
        <f t="shared" si="91"/>
        <v>0.27</v>
      </c>
      <c r="P133" s="116">
        <f t="shared" si="91"/>
        <v>0.27</v>
      </c>
      <c r="Q133" s="116">
        <f t="shared" si="91"/>
        <v>0.27</v>
      </c>
      <c r="R133" s="116">
        <f t="shared" si="91"/>
        <v>0.27</v>
      </c>
    </row>
    <row r="134" spans="1:18" x14ac:dyDescent="0.25">
      <c r="B134" t="s">
        <v>193</v>
      </c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 x14ac:dyDescent="0.25">
      <c r="B135" t="s">
        <v>198</v>
      </c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</row>
    <row r="136" spans="1:18" x14ac:dyDescent="0.25">
      <c r="B136" t="s">
        <v>194</v>
      </c>
      <c r="D136" s="116"/>
      <c r="E136" s="116"/>
      <c r="F136" s="116">
        <v>-0.13</v>
      </c>
      <c r="G136" s="116">
        <v>-0.12</v>
      </c>
      <c r="H136" s="116">
        <v>-0.36</v>
      </c>
      <c r="I136" s="116">
        <f>AVERAGE(D136:H136)</f>
        <v>-0.20333333333333334</v>
      </c>
      <c r="J136" s="116">
        <f t="shared" ref="J136:R136" si="92">I136</f>
        <v>-0.20333333333333334</v>
      </c>
      <c r="K136" s="116">
        <f t="shared" si="92"/>
        <v>-0.20333333333333334</v>
      </c>
      <c r="L136" s="116">
        <f t="shared" si="92"/>
        <v>-0.20333333333333334</v>
      </c>
      <c r="M136" s="116">
        <f t="shared" si="92"/>
        <v>-0.20333333333333334</v>
      </c>
      <c r="N136" s="116">
        <f t="shared" si="92"/>
        <v>-0.20333333333333334</v>
      </c>
      <c r="O136" s="116">
        <f t="shared" si="92"/>
        <v>-0.20333333333333334</v>
      </c>
      <c r="P136" s="116">
        <f t="shared" si="92"/>
        <v>-0.20333333333333334</v>
      </c>
      <c r="Q136" s="116">
        <f t="shared" si="92"/>
        <v>-0.20333333333333334</v>
      </c>
      <c r="R136" s="116">
        <f t="shared" si="92"/>
        <v>-0.20333333333333334</v>
      </c>
    </row>
    <row r="137" spans="1:18" x14ac:dyDescent="0.25">
      <c r="B137" s="47" t="s">
        <v>195</v>
      </c>
      <c r="C137" s="9"/>
      <c r="D137" s="145">
        <f t="shared" ref="D137:R137" si="93">SUM(D131:D136)</f>
        <v>1.1000000000000001</v>
      </c>
      <c r="E137" s="145">
        <f t="shared" si="93"/>
        <v>1.1000000000000001</v>
      </c>
      <c r="F137" s="145">
        <f t="shared" si="93"/>
        <v>1.67</v>
      </c>
      <c r="G137" s="145">
        <f t="shared" si="93"/>
        <v>2.0299999999999998</v>
      </c>
      <c r="H137" s="145">
        <f t="shared" si="93"/>
        <v>2.5499999999999998</v>
      </c>
      <c r="I137" s="145">
        <f t="shared" si="93"/>
        <v>3.2133333333333334</v>
      </c>
      <c r="J137" s="145">
        <f t="shared" si="93"/>
        <v>3.8766666666666669</v>
      </c>
      <c r="K137" s="145">
        <f t="shared" si="93"/>
        <v>4.5400000000000009</v>
      </c>
      <c r="L137" s="145">
        <f t="shared" si="93"/>
        <v>5.2033333333333349</v>
      </c>
      <c r="M137" s="145">
        <f t="shared" si="93"/>
        <v>5.8666666666666689</v>
      </c>
      <c r="N137" s="145">
        <f t="shared" si="93"/>
        <v>6.5300000000000029</v>
      </c>
      <c r="O137" s="145">
        <f t="shared" si="93"/>
        <v>7.1933333333333369</v>
      </c>
      <c r="P137" s="145">
        <f t="shared" si="93"/>
        <v>7.8566666666666709</v>
      </c>
      <c r="Q137" s="145">
        <f t="shared" si="93"/>
        <v>8.5200000000000031</v>
      </c>
      <c r="R137" s="145">
        <f t="shared" si="93"/>
        <v>9.1833333333333371</v>
      </c>
    </row>
    <row r="138" spans="1:18" x14ac:dyDescent="0.25">
      <c r="B138" s="46" t="s">
        <v>196</v>
      </c>
      <c r="D138" s="116">
        <v>0.44</v>
      </c>
      <c r="E138" s="116">
        <v>0.56999999999999995</v>
      </c>
      <c r="F138" s="116">
        <v>0.68</v>
      </c>
      <c r="G138" s="116">
        <v>0.72</v>
      </c>
      <c r="H138" s="116">
        <v>0.75</v>
      </c>
      <c r="I138" s="116">
        <f t="shared" ref="I138:R138" si="94">SUM(H138:H144)-H139</f>
        <v>0.74</v>
      </c>
      <c r="J138" s="116">
        <f t="shared" si="94"/>
        <v>0.81866666666666665</v>
      </c>
      <c r="K138" s="116">
        <f t="shared" si="94"/>
        <v>0.89733333333333332</v>
      </c>
      <c r="L138" s="116">
        <f t="shared" si="94"/>
        <v>0.97599999999999987</v>
      </c>
      <c r="M138" s="116">
        <f t="shared" si="94"/>
        <v>1.0546666666666666</v>
      </c>
      <c r="N138" s="116">
        <f t="shared" si="94"/>
        <v>1.1333333333333333</v>
      </c>
      <c r="O138" s="116">
        <f t="shared" si="94"/>
        <v>1.2120000000000002</v>
      </c>
      <c r="P138" s="116">
        <f t="shared" si="94"/>
        <v>1.2906666666666671</v>
      </c>
      <c r="Q138" s="116">
        <f t="shared" si="94"/>
        <v>1.369333333333334</v>
      </c>
      <c r="R138" s="116">
        <f t="shared" si="94"/>
        <v>1.4480000000000008</v>
      </c>
    </row>
    <row r="139" spans="1:18" x14ac:dyDescent="0.25">
      <c r="B139" s="46" t="s">
        <v>220</v>
      </c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</row>
    <row r="140" spans="1:18" x14ac:dyDescent="0.25">
      <c r="B140" t="s">
        <v>221</v>
      </c>
      <c r="D140" s="116">
        <v>0.13</v>
      </c>
      <c r="E140" s="116">
        <v>0.11</v>
      </c>
      <c r="F140" s="116">
        <v>0.12</v>
      </c>
      <c r="G140" s="116">
        <v>0.13</v>
      </c>
      <c r="H140" s="116">
        <v>0.17</v>
      </c>
      <c r="I140" s="116">
        <f t="shared" ref="I140:I144" si="95">AVERAGE(D140:H140)</f>
        <v>0.13200000000000001</v>
      </c>
      <c r="J140" s="116">
        <f t="shared" ref="J140:R140" si="96">I140</f>
        <v>0.13200000000000001</v>
      </c>
      <c r="K140" s="116">
        <f t="shared" si="96"/>
        <v>0.13200000000000001</v>
      </c>
      <c r="L140" s="116">
        <f t="shared" si="96"/>
        <v>0.13200000000000001</v>
      </c>
      <c r="M140" s="116">
        <f t="shared" si="96"/>
        <v>0.13200000000000001</v>
      </c>
      <c r="N140" s="116">
        <f t="shared" si="96"/>
        <v>0.13200000000000001</v>
      </c>
      <c r="O140" s="116">
        <f t="shared" si="96"/>
        <v>0.13200000000000001</v>
      </c>
      <c r="P140" s="116">
        <f t="shared" si="96"/>
        <v>0.13200000000000001</v>
      </c>
      <c r="Q140" s="116">
        <f t="shared" si="96"/>
        <v>0.13200000000000001</v>
      </c>
      <c r="R140" s="116">
        <f t="shared" si="96"/>
        <v>0.13200000000000001</v>
      </c>
    </row>
    <row r="141" spans="1:18" x14ac:dyDescent="0.25">
      <c r="B141" t="s">
        <v>198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</row>
    <row r="142" spans="1:18" x14ac:dyDescent="0.25">
      <c r="B142" t="s">
        <v>194</v>
      </c>
      <c r="D142" s="116"/>
      <c r="E142" s="116"/>
      <c r="F142" s="116">
        <v>-0.08</v>
      </c>
      <c r="G142" s="116">
        <v>-0.1</v>
      </c>
      <c r="H142" s="116">
        <v>-0.28000000000000003</v>
      </c>
      <c r="I142" s="116">
        <f t="shared" si="95"/>
        <v>-0.15333333333333335</v>
      </c>
      <c r="J142" s="116">
        <f t="shared" ref="J142:R142" si="97">I142</f>
        <v>-0.15333333333333335</v>
      </c>
      <c r="K142" s="116">
        <f t="shared" si="97"/>
        <v>-0.15333333333333335</v>
      </c>
      <c r="L142" s="116">
        <f t="shared" si="97"/>
        <v>-0.15333333333333335</v>
      </c>
      <c r="M142" s="116">
        <f t="shared" si="97"/>
        <v>-0.15333333333333335</v>
      </c>
      <c r="N142" s="116">
        <f t="shared" si="97"/>
        <v>-0.15333333333333335</v>
      </c>
      <c r="O142" s="116">
        <f t="shared" si="97"/>
        <v>-0.15333333333333335</v>
      </c>
      <c r="P142" s="116">
        <f t="shared" si="97"/>
        <v>-0.15333333333333335</v>
      </c>
      <c r="Q142" s="116">
        <f t="shared" si="97"/>
        <v>-0.15333333333333335</v>
      </c>
      <c r="R142" s="116">
        <f t="shared" si="97"/>
        <v>-0.15333333333333335</v>
      </c>
    </row>
    <row r="143" spans="1:18" x14ac:dyDescent="0.25">
      <c r="B143" t="s">
        <v>193</v>
      </c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</row>
    <row r="144" spans="1:18" x14ac:dyDescent="0.25">
      <c r="B144" t="s">
        <v>192</v>
      </c>
      <c r="D144" s="116"/>
      <c r="E144" s="116"/>
      <c r="F144" s="116"/>
      <c r="G144" s="116"/>
      <c r="H144" s="116">
        <v>0.1</v>
      </c>
      <c r="I144" s="116">
        <f t="shared" si="95"/>
        <v>0.1</v>
      </c>
      <c r="J144" s="116">
        <f t="shared" ref="J144:R144" si="98">I144</f>
        <v>0.1</v>
      </c>
      <c r="K144" s="116">
        <f t="shared" si="98"/>
        <v>0.1</v>
      </c>
      <c r="L144" s="116">
        <f t="shared" si="98"/>
        <v>0.1</v>
      </c>
      <c r="M144" s="116">
        <f t="shared" si="98"/>
        <v>0.1</v>
      </c>
      <c r="N144" s="116">
        <f t="shared" si="98"/>
        <v>0.1</v>
      </c>
      <c r="O144" s="116">
        <f t="shared" si="98"/>
        <v>0.1</v>
      </c>
      <c r="P144" s="116">
        <f t="shared" si="98"/>
        <v>0.1</v>
      </c>
      <c r="Q144" s="116">
        <f t="shared" si="98"/>
        <v>0.1</v>
      </c>
      <c r="R144" s="116">
        <f t="shared" si="98"/>
        <v>0.1</v>
      </c>
    </row>
    <row r="145" spans="1:18" x14ac:dyDescent="0.25">
      <c r="B145" s="47" t="s">
        <v>197</v>
      </c>
      <c r="C145" s="9"/>
      <c r="D145" s="145">
        <f t="shared" ref="D145:R145" si="99">D137-SUM(D138:D144)</f>
        <v>0.53</v>
      </c>
      <c r="E145" s="145">
        <f t="shared" si="99"/>
        <v>0.42000000000000015</v>
      </c>
      <c r="F145" s="145">
        <f t="shared" si="99"/>
        <v>0.94999999999999984</v>
      </c>
      <c r="G145" s="145">
        <f t="shared" si="99"/>
        <v>1.2799999999999998</v>
      </c>
      <c r="H145" s="145">
        <f t="shared" si="99"/>
        <v>1.8099999999999998</v>
      </c>
      <c r="I145" s="145">
        <f t="shared" si="99"/>
        <v>2.3946666666666667</v>
      </c>
      <c r="J145" s="145">
        <f t="shared" si="99"/>
        <v>2.9793333333333338</v>
      </c>
      <c r="K145" s="145">
        <f t="shared" si="99"/>
        <v>3.5640000000000009</v>
      </c>
      <c r="L145" s="145">
        <f t="shared" si="99"/>
        <v>4.1486666666666681</v>
      </c>
      <c r="M145" s="145">
        <f t="shared" si="99"/>
        <v>4.7333333333333361</v>
      </c>
      <c r="N145" s="145">
        <f t="shared" si="99"/>
        <v>5.3180000000000032</v>
      </c>
      <c r="O145" s="145">
        <f t="shared" si="99"/>
        <v>5.9026666666666703</v>
      </c>
      <c r="P145" s="145">
        <f t="shared" si="99"/>
        <v>6.4873333333333374</v>
      </c>
      <c r="Q145" s="145">
        <f t="shared" si="99"/>
        <v>7.0720000000000027</v>
      </c>
      <c r="R145" s="145">
        <f t="shared" si="99"/>
        <v>7.6566666666666698</v>
      </c>
    </row>
    <row r="146" spans="1:18" x14ac:dyDescent="0.25"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</row>
    <row r="147" spans="1:18" x14ac:dyDescent="0.25"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</row>
    <row r="148" spans="1:18" x14ac:dyDescent="0.25">
      <c r="A148" t="s">
        <v>207</v>
      </c>
      <c r="B148" s="48" t="s">
        <v>206</v>
      </c>
      <c r="C148" s="49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</row>
    <row r="149" spans="1:18" x14ac:dyDescent="0.25"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</row>
    <row r="150" spans="1:18" x14ac:dyDescent="0.25">
      <c r="B150" s="47" t="s">
        <v>191</v>
      </c>
      <c r="C150" s="43"/>
      <c r="D150" s="145">
        <f t="shared" ref="D150:H164" si="100">D12+D29+D46+D63+D80+D97+D114+D131</f>
        <v>953.48</v>
      </c>
      <c r="E150" s="145">
        <f t="shared" si="100"/>
        <v>985.96</v>
      </c>
      <c r="F150" s="145">
        <f t="shared" si="100"/>
        <v>1112.1399999999999</v>
      </c>
      <c r="G150" s="145">
        <f t="shared" si="100"/>
        <v>1360.69</v>
      </c>
      <c r="H150" s="145">
        <f t="shared" si="100"/>
        <v>1750.42</v>
      </c>
      <c r="I150" s="145">
        <f t="shared" ref="I150:R150" si="101">I12+I29+I46+I63+I80+I97+I114+I131</f>
        <v>2882.2200000000003</v>
      </c>
      <c r="J150" s="145">
        <f t="shared" si="101"/>
        <v>3413.6413333333335</v>
      </c>
      <c r="K150" s="145">
        <f t="shared" si="101"/>
        <v>3945.0626666666672</v>
      </c>
      <c r="L150" s="145">
        <f t="shared" si="101"/>
        <v>4476.4839999999995</v>
      </c>
      <c r="M150" s="145">
        <f t="shared" si="101"/>
        <v>5007.9053333333322</v>
      </c>
      <c r="N150" s="145">
        <f t="shared" si="101"/>
        <v>5539.3266666666668</v>
      </c>
      <c r="O150" s="145">
        <f t="shared" si="101"/>
        <v>6070.7479999999996</v>
      </c>
      <c r="P150" s="145">
        <f t="shared" si="101"/>
        <v>6602.1693333333333</v>
      </c>
      <c r="Q150" s="145">
        <f t="shared" si="101"/>
        <v>7133.5906666666669</v>
      </c>
      <c r="R150" s="145">
        <f t="shared" si="101"/>
        <v>7665.0120000000015</v>
      </c>
    </row>
    <row r="151" spans="1:18" x14ac:dyDescent="0.25">
      <c r="B151" t="s">
        <v>190</v>
      </c>
      <c r="C151" s="33"/>
      <c r="D151" s="116">
        <f t="shared" si="100"/>
        <v>74.079999999999984</v>
      </c>
      <c r="E151" s="116">
        <f t="shared" si="100"/>
        <v>230.29</v>
      </c>
      <c r="F151" s="116">
        <f t="shared" si="100"/>
        <v>417.74999999999994</v>
      </c>
      <c r="G151" s="116">
        <f t="shared" si="100"/>
        <v>689.48</v>
      </c>
      <c r="H151" s="116">
        <f t="shared" si="100"/>
        <v>1317.5099999999998</v>
      </c>
      <c r="I151" s="116">
        <f t="shared" ref="I151:R151" si="102">I13+I30+I47+I64+I81+I98+I115+I132</f>
        <v>546.06066666666675</v>
      </c>
      <c r="J151" s="116">
        <f t="shared" si="102"/>
        <v>546.06066666666675</v>
      </c>
      <c r="K151" s="116">
        <f t="shared" si="102"/>
        <v>546.06066666666675</v>
      </c>
      <c r="L151" s="116">
        <f t="shared" si="102"/>
        <v>546.06066666666675</v>
      </c>
      <c r="M151" s="116">
        <f t="shared" si="102"/>
        <v>546.06066666666675</v>
      </c>
      <c r="N151" s="116">
        <f t="shared" si="102"/>
        <v>546.06066666666675</v>
      </c>
      <c r="O151" s="116">
        <f t="shared" si="102"/>
        <v>546.06066666666675</v>
      </c>
      <c r="P151" s="116">
        <f t="shared" si="102"/>
        <v>546.06066666666675</v>
      </c>
      <c r="Q151" s="116">
        <f t="shared" si="102"/>
        <v>546.06066666666675</v>
      </c>
      <c r="R151" s="116">
        <f t="shared" si="102"/>
        <v>546.06066666666675</v>
      </c>
    </row>
    <row r="152" spans="1:18" x14ac:dyDescent="0.25">
      <c r="B152" t="s">
        <v>192</v>
      </c>
      <c r="C152" s="33"/>
      <c r="D152" s="116">
        <f t="shared" si="100"/>
        <v>0</v>
      </c>
      <c r="E152" s="116">
        <f t="shared" si="100"/>
        <v>0</v>
      </c>
      <c r="F152" s="116">
        <f t="shared" si="100"/>
        <v>0</v>
      </c>
      <c r="G152" s="116">
        <f t="shared" si="100"/>
        <v>0</v>
      </c>
      <c r="H152" s="116">
        <f t="shared" si="100"/>
        <v>188.62</v>
      </c>
      <c r="I152" s="116">
        <f t="shared" ref="I152:R152" si="103">I14+I31+I48+I65+I82+I99+I116+I133</f>
        <v>188.62</v>
      </c>
      <c r="J152" s="116">
        <f t="shared" si="103"/>
        <v>188.62</v>
      </c>
      <c r="K152" s="116">
        <f t="shared" si="103"/>
        <v>188.62</v>
      </c>
      <c r="L152" s="116">
        <f t="shared" si="103"/>
        <v>188.62</v>
      </c>
      <c r="M152" s="116">
        <f t="shared" si="103"/>
        <v>188.62</v>
      </c>
      <c r="N152" s="116">
        <f t="shared" si="103"/>
        <v>188.62</v>
      </c>
      <c r="O152" s="116">
        <f t="shared" si="103"/>
        <v>188.62</v>
      </c>
      <c r="P152" s="116">
        <f t="shared" si="103"/>
        <v>188.62</v>
      </c>
      <c r="Q152" s="116">
        <f t="shared" si="103"/>
        <v>188.62</v>
      </c>
      <c r="R152" s="116">
        <f t="shared" si="103"/>
        <v>188.62</v>
      </c>
    </row>
    <row r="153" spans="1:18" x14ac:dyDescent="0.25">
      <c r="B153" t="s">
        <v>193</v>
      </c>
      <c r="C153" s="33"/>
      <c r="D153" s="116">
        <f t="shared" si="100"/>
        <v>0</v>
      </c>
      <c r="E153" s="116">
        <f t="shared" si="100"/>
        <v>0</v>
      </c>
      <c r="F153" s="116">
        <f t="shared" si="100"/>
        <v>0</v>
      </c>
      <c r="G153" s="116">
        <f t="shared" si="100"/>
        <v>0</v>
      </c>
      <c r="H153" s="116">
        <f t="shared" si="100"/>
        <v>0.14000000000000001</v>
      </c>
      <c r="I153" s="116">
        <f t="shared" ref="I153:R153" si="104">I15+I32+I49+I66+I83+I100+I117+I134</f>
        <v>0.14000000000000001</v>
      </c>
      <c r="J153" s="116">
        <f t="shared" si="104"/>
        <v>0.14000000000000001</v>
      </c>
      <c r="K153" s="116">
        <f t="shared" si="104"/>
        <v>0.14000000000000001</v>
      </c>
      <c r="L153" s="116">
        <f t="shared" si="104"/>
        <v>0.14000000000000001</v>
      </c>
      <c r="M153" s="116">
        <f t="shared" si="104"/>
        <v>0.14000000000000001</v>
      </c>
      <c r="N153" s="116">
        <f t="shared" si="104"/>
        <v>0.14000000000000001</v>
      </c>
      <c r="O153" s="116">
        <f t="shared" si="104"/>
        <v>0.14000000000000001</v>
      </c>
      <c r="P153" s="116">
        <f t="shared" si="104"/>
        <v>0.14000000000000001</v>
      </c>
      <c r="Q153" s="116">
        <f t="shared" si="104"/>
        <v>0.14000000000000001</v>
      </c>
      <c r="R153" s="116">
        <f t="shared" si="104"/>
        <v>0.14000000000000001</v>
      </c>
    </row>
    <row r="154" spans="1:18" x14ac:dyDescent="0.25">
      <c r="B154" t="s">
        <v>198</v>
      </c>
      <c r="C154" s="33"/>
      <c r="D154" s="116">
        <f t="shared" si="100"/>
        <v>-4.79</v>
      </c>
      <c r="E154" s="116">
        <f t="shared" si="100"/>
        <v>-8.02</v>
      </c>
      <c r="F154" s="116">
        <f t="shared" si="100"/>
        <v>0</v>
      </c>
      <c r="G154" s="116">
        <f t="shared" si="100"/>
        <v>0</v>
      </c>
      <c r="H154" s="116">
        <f t="shared" si="100"/>
        <v>0</v>
      </c>
      <c r="I154" s="116">
        <f t="shared" ref="I154:R154" si="105">I16+I33+I50+I67+I84+I101+I118+I135</f>
        <v>-5.65</v>
      </c>
      <c r="J154" s="116">
        <f t="shared" si="105"/>
        <v>-5.65</v>
      </c>
      <c r="K154" s="116">
        <f t="shared" si="105"/>
        <v>-5.65</v>
      </c>
      <c r="L154" s="116">
        <f t="shared" si="105"/>
        <v>-5.65</v>
      </c>
      <c r="M154" s="116">
        <f t="shared" si="105"/>
        <v>-5.65</v>
      </c>
      <c r="N154" s="116">
        <f t="shared" si="105"/>
        <v>-5.65</v>
      </c>
      <c r="O154" s="116">
        <f t="shared" si="105"/>
        <v>-5.65</v>
      </c>
      <c r="P154" s="116">
        <f t="shared" si="105"/>
        <v>-5.65</v>
      </c>
      <c r="Q154" s="116">
        <f t="shared" si="105"/>
        <v>-5.65</v>
      </c>
      <c r="R154" s="116">
        <f t="shared" si="105"/>
        <v>-5.65</v>
      </c>
    </row>
    <row r="155" spans="1:18" x14ac:dyDescent="0.25">
      <c r="B155" t="s">
        <v>194</v>
      </c>
      <c r="C155" s="33"/>
      <c r="D155" s="116">
        <f t="shared" si="100"/>
        <v>-36.81</v>
      </c>
      <c r="E155" s="116">
        <f t="shared" si="100"/>
        <v>-96.090000000000018</v>
      </c>
      <c r="F155" s="116">
        <f t="shared" si="100"/>
        <v>-169.2</v>
      </c>
      <c r="G155" s="116">
        <f t="shared" si="100"/>
        <v>-299.75</v>
      </c>
      <c r="H155" s="116">
        <f t="shared" si="100"/>
        <v>-374.46999999999997</v>
      </c>
      <c r="I155" s="116">
        <f t="shared" ref="I155:R155" si="106">I17+I34+I51+I68+I85+I102+I119+I136</f>
        <v>-197.74933333333331</v>
      </c>
      <c r="J155" s="116">
        <f t="shared" si="106"/>
        <v>-197.74933333333331</v>
      </c>
      <c r="K155" s="116">
        <f t="shared" si="106"/>
        <v>-197.74933333333331</v>
      </c>
      <c r="L155" s="116">
        <f t="shared" si="106"/>
        <v>-197.74933333333331</v>
      </c>
      <c r="M155" s="116">
        <f t="shared" si="106"/>
        <v>-197.74933333333331</v>
      </c>
      <c r="N155" s="116">
        <f t="shared" si="106"/>
        <v>-197.74933333333331</v>
      </c>
      <c r="O155" s="116">
        <f t="shared" si="106"/>
        <v>-197.74933333333331</v>
      </c>
      <c r="P155" s="116">
        <f t="shared" si="106"/>
        <v>-197.74933333333331</v>
      </c>
      <c r="Q155" s="116">
        <f t="shared" si="106"/>
        <v>-197.74933333333331</v>
      </c>
      <c r="R155" s="116">
        <f t="shared" si="106"/>
        <v>-197.74933333333331</v>
      </c>
    </row>
    <row r="156" spans="1:18" x14ac:dyDescent="0.25">
      <c r="B156" s="47" t="s">
        <v>195</v>
      </c>
      <c r="C156" s="43"/>
      <c r="D156" s="145">
        <f t="shared" si="100"/>
        <v>985.96</v>
      </c>
      <c r="E156" s="145">
        <f t="shared" si="100"/>
        <v>1112.1399999999999</v>
      </c>
      <c r="F156" s="145">
        <f t="shared" si="100"/>
        <v>1360.69</v>
      </c>
      <c r="G156" s="145">
        <f t="shared" si="100"/>
        <v>1750.42</v>
      </c>
      <c r="H156" s="145">
        <f t="shared" si="100"/>
        <v>2882.2200000000003</v>
      </c>
      <c r="I156" s="145">
        <f t="shared" ref="I156:R156" si="107">I18+I35+I52+I69+I86+I103+I120+I137</f>
        <v>3413.6413333333335</v>
      </c>
      <c r="J156" s="145">
        <f t="shared" si="107"/>
        <v>3945.0626666666672</v>
      </c>
      <c r="K156" s="145">
        <f t="shared" si="107"/>
        <v>4476.4839999999995</v>
      </c>
      <c r="L156" s="145">
        <f t="shared" si="107"/>
        <v>5007.9053333333322</v>
      </c>
      <c r="M156" s="145">
        <f t="shared" si="107"/>
        <v>5539.3266666666668</v>
      </c>
      <c r="N156" s="145">
        <f t="shared" si="107"/>
        <v>6070.7479999999996</v>
      </c>
      <c r="O156" s="145">
        <f t="shared" si="107"/>
        <v>6602.1693333333333</v>
      </c>
      <c r="P156" s="145">
        <f t="shared" si="107"/>
        <v>7133.5906666666669</v>
      </c>
      <c r="Q156" s="145">
        <f t="shared" si="107"/>
        <v>7665.0120000000015</v>
      </c>
      <c r="R156" s="145">
        <f t="shared" si="107"/>
        <v>8196.4333333333343</v>
      </c>
    </row>
    <row r="157" spans="1:18" x14ac:dyDescent="0.25">
      <c r="B157" s="46" t="s">
        <v>196</v>
      </c>
      <c r="C157" s="33"/>
      <c r="D157" s="116">
        <f t="shared" si="100"/>
        <v>298.63</v>
      </c>
      <c r="E157" s="116">
        <f t="shared" si="100"/>
        <v>344.03000000000003</v>
      </c>
      <c r="F157" s="116">
        <f t="shared" si="100"/>
        <v>385.66999999999996</v>
      </c>
      <c r="G157" s="116">
        <f t="shared" si="100"/>
        <v>487.54999999999995</v>
      </c>
      <c r="H157" s="116">
        <f t="shared" si="100"/>
        <v>602.73</v>
      </c>
      <c r="I157" s="116">
        <f t="shared" ref="I157:R157" si="108">I19+I36+I53+I70+I87+I104+I121+I138</f>
        <v>810.25</v>
      </c>
      <c r="J157" s="116">
        <f t="shared" si="108"/>
        <v>953.78249999999991</v>
      </c>
      <c r="K157" s="116">
        <f t="shared" si="108"/>
        <v>1097.3150000000001</v>
      </c>
      <c r="L157" s="116">
        <f t="shared" si="108"/>
        <v>1240.8475000000003</v>
      </c>
      <c r="M157" s="116">
        <f t="shared" si="108"/>
        <v>1384.3799999999999</v>
      </c>
      <c r="N157" s="116">
        <f t="shared" si="108"/>
        <v>1527.9125000000001</v>
      </c>
      <c r="O157" s="116">
        <f t="shared" si="108"/>
        <v>1671.4449999999997</v>
      </c>
      <c r="P157" s="116">
        <f t="shared" si="108"/>
        <v>1814.9774999999997</v>
      </c>
      <c r="Q157" s="116">
        <f t="shared" si="108"/>
        <v>1958.5099999999993</v>
      </c>
      <c r="R157" s="116">
        <f t="shared" si="108"/>
        <v>2102.0424999999996</v>
      </c>
    </row>
    <row r="158" spans="1:18" x14ac:dyDescent="0.25">
      <c r="B158" s="46" t="s">
        <v>220</v>
      </c>
      <c r="C158" s="33"/>
      <c r="D158" s="116">
        <f t="shared" si="100"/>
        <v>1.48</v>
      </c>
      <c r="E158" s="116">
        <f t="shared" si="100"/>
        <v>1.53</v>
      </c>
      <c r="F158" s="116">
        <f t="shared" si="100"/>
        <v>1.9599999999999997</v>
      </c>
      <c r="G158" s="116">
        <f t="shared" si="100"/>
        <v>1.3699999999999999</v>
      </c>
      <c r="H158" s="116">
        <f t="shared" si="100"/>
        <v>3.7300000000000004</v>
      </c>
      <c r="I158" s="116">
        <f t="shared" ref="I158:R158" si="109">I20+I37+I54+I71+I88+I105+I122+I139</f>
        <v>2.0140000000000002</v>
      </c>
      <c r="J158" s="116">
        <f t="shared" si="109"/>
        <v>2.0140000000000002</v>
      </c>
      <c r="K158" s="116">
        <f t="shared" si="109"/>
        <v>2.0140000000000002</v>
      </c>
      <c r="L158" s="116">
        <f t="shared" si="109"/>
        <v>2.0140000000000002</v>
      </c>
      <c r="M158" s="116">
        <f t="shared" si="109"/>
        <v>2.0140000000000002</v>
      </c>
      <c r="N158" s="116">
        <f t="shared" si="109"/>
        <v>2.0140000000000002</v>
      </c>
      <c r="O158" s="116">
        <f t="shared" si="109"/>
        <v>2.0140000000000002</v>
      </c>
      <c r="P158" s="116">
        <f t="shared" si="109"/>
        <v>2.0140000000000002</v>
      </c>
      <c r="Q158" s="116">
        <f t="shared" si="109"/>
        <v>2.0140000000000002</v>
      </c>
      <c r="R158" s="116">
        <f t="shared" si="109"/>
        <v>2.0140000000000002</v>
      </c>
    </row>
    <row r="159" spans="1:18" x14ac:dyDescent="0.25">
      <c r="B159" t="s">
        <v>221</v>
      </c>
      <c r="C159" s="33"/>
      <c r="D159" s="116">
        <f t="shared" si="100"/>
        <v>59.400000000000006</v>
      </c>
      <c r="E159" s="116">
        <f t="shared" si="100"/>
        <v>68.55</v>
      </c>
      <c r="F159" s="116">
        <f t="shared" si="100"/>
        <v>142.87</v>
      </c>
      <c r="G159" s="116">
        <f t="shared" si="100"/>
        <v>224.93999999999997</v>
      </c>
      <c r="H159" s="116">
        <f t="shared" si="100"/>
        <v>290.81</v>
      </c>
      <c r="I159" s="116">
        <f t="shared" ref="I159:R159" si="110">I21+I38+I55+I72+I89+I106+I123+I140</f>
        <v>157.31399999999999</v>
      </c>
      <c r="J159" s="116">
        <f t="shared" si="110"/>
        <v>157.31399999999999</v>
      </c>
      <c r="K159" s="116">
        <f t="shared" si="110"/>
        <v>157.31399999999999</v>
      </c>
      <c r="L159" s="116">
        <f t="shared" si="110"/>
        <v>157.31399999999999</v>
      </c>
      <c r="M159" s="116">
        <f t="shared" si="110"/>
        <v>157.31399999999999</v>
      </c>
      <c r="N159" s="116">
        <f t="shared" si="110"/>
        <v>157.31399999999999</v>
      </c>
      <c r="O159" s="116">
        <f t="shared" si="110"/>
        <v>157.31399999999999</v>
      </c>
      <c r="P159" s="116">
        <f t="shared" si="110"/>
        <v>157.31399999999999</v>
      </c>
      <c r="Q159" s="116">
        <f t="shared" si="110"/>
        <v>157.31399999999999</v>
      </c>
      <c r="R159" s="116">
        <f t="shared" si="110"/>
        <v>157.31399999999999</v>
      </c>
    </row>
    <row r="160" spans="1:18" x14ac:dyDescent="0.25">
      <c r="B160" t="s">
        <v>198</v>
      </c>
      <c r="C160" s="33"/>
      <c r="D160" s="116">
        <f t="shared" si="100"/>
        <v>-0.46000000000000008</v>
      </c>
      <c r="E160" s="116">
        <f t="shared" si="100"/>
        <v>-1.6300000000000001</v>
      </c>
      <c r="F160" s="116">
        <f t="shared" si="100"/>
        <v>-1.98</v>
      </c>
      <c r="G160" s="116">
        <f t="shared" si="100"/>
        <v>0</v>
      </c>
      <c r="H160" s="116">
        <f t="shared" si="100"/>
        <v>0</v>
      </c>
      <c r="I160" s="116">
        <f t="shared" ref="I160:R160" si="111">I22+I39+I56+I73+I90+I107+I124+I141</f>
        <v>-1.69</v>
      </c>
      <c r="J160" s="116">
        <f t="shared" si="111"/>
        <v>-1.69</v>
      </c>
      <c r="K160" s="116">
        <f t="shared" si="111"/>
        <v>-1.69</v>
      </c>
      <c r="L160" s="116">
        <f t="shared" si="111"/>
        <v>-1.69</v>
      </c>
      <c r="M160" s="116">
        <f t="shared" si="111"/>
        <v>-1.69</v>
      </c>
      <c r="N160" s="116">
        <f t="shared" si="111"/>
        <v>-1.69</v>
      </c>
      <c r="O160" s="116">
        <f t="shared" si="111"/>
        <v>-1.69</v>
      </c>
      <c r="P160" s="116">
        <f t="shared" si="111"/>
        <v>-1.69</v>
      </c>
      <c r="Q160" s="116">
        <f t="shared" si="111"/>
        <v>-1.69</v>
      </c>
      <c r="R160" s="116">
        <f t="shared" si="111"/>
        <v>-1.69</v>
      </c>
    </row>
    <row r="161" spans="1:18" x14ac:dyDescent="0.25">
      <c r="B161" t="s">
        <v>194</v>
      </c>
      <c r="C161" s="33"/>
      <c r="D161" s="116">
        <f t="shared" si="100"/>
        <v>-13.540000000000001</v>
      </c>
      <c r="E161" s="116">
        <f t="shared" si="100"/>
        <v>-25.28</v>
      </c>
      <c r="F161" s="116">
        <f t="shared" si="100"/>
        <v>-39.010000000000005</v>
      </c>
      <c r="G161" s="116">
        <f t="shared" si="100"/>
        <v>-109.75999999999999</v>
      </c>
      <c r="H161" s="116">
        <f t="shared" si="100"/>
        <v>-136.93</v>
      </c>
      <c r="I161" s="116">
        <f t="shared" ref="I161:R161" si="112">I23+I40+I57+I74+I91+I108+I125+I142</f>
        <v>-65.731499999999997</v>
      </c>
      <c r="J161" s="116">
        <f t="shared" si="112"/>
        <v>-65.731499999999997</v>
      </c>
      <c r="K161" s="116">
        <f t="shared" si="112"/>
        <v>-65.731499999999997</v>
      </c>
      <c r="L161" s="116">
        <f t="shared" si="112"/>
        <v>-65.731499999999997</v>
      </c>
      <c r="M161" s="116">
        <f t="shared" si="112"/>
        <v>-65.731499999999997</v>
      </c>
      <c r="N161" s="116">
        <f t="shared" si="112"/>
        <v>-65.731499999999997</v>
      </c>
      <c r="O161" s="116">
        <f t="shared" si="112"/>
        <v>-65.731499999999997</v>
      </c>
      <c r="P161" s="116">
        <f t="shared" si="112"/>
        <v>-65.731499999999997</v>
      </c>
      <c r="Q161" s="116">
        <f t="shared" si="112"/>
        <v>-65.731499999999997</v>
      </c>
      <c r="R161" s="116">
        <f t="shared" si="112"/>
        <v>-65.731499999999997</v>
      </c>
    </row>
    <row r="162" spans="1:18" x14ac:dyDescent="0.25">
      <c r="B162" t="s">
        <v>193</v>
      </c>
      <c r="C162" s="33"/>
      <c r="D162" s="116">
        <f t="shared" si="100"/>
        <v>0</v>
      </c>
      <c r="E162" s="116">
        <f t="shared" si="100"/>
        <v>0</v>
      </c>
      <c r="F162" s="116">
        <f t="shared" si="100"/>
        <v>0</v>
      </c>
      <c r="G162" s="116">
        <f t="shared" si="100"/>
        <v>0</v>
      </c>
      <c r="H162" s="116">
        <f t="shared" si="100"/>
        <v>0.02</v>
      </c>
      <c r="I162" s="116">
        <f t="shared" ref="I162:R162" si="113">I24+I41+I58+I75+I92+I109+I126+I143</f>
        <v>0.02</v>
      </c>
      <c r="J162" s="116">
        <f t="shared" si="113"/>
        <v>0.02</v>
      </c>
      <c r="K162" s="116">
        <f t="shared" si="113"/>
        <v>0.02</v>
      </c>
      <c r="L162" s="116">
        <f t="shared" si="113"/>
        <v>0.02</v>
      </c>
      <c r="M162" s="116">
        <f t="shared" si="113"/>
        <v>0.02</v>
      </c>
      <c r="N162" s="116">
        <f t="shared" si="113"/>
        <v>0.02</v>
      </c>
      <c r="O162" s="116">
        <f t="shared" si="113"/>
        <v>0.02</v>
      </c>
      <c r="P162" s="116">
        <f t="shared" si="113"/>
        <v>0.02</v>
      </c>
      <c r="Q162" s="116">
        <f t="shared" si="113"/>
        <v>0.02</v>
      </c>
      <c r="R162" s="116">
        <f t="shared" si="113"/>
        <v>0.02</v>
      </c>
    </row>
    <row r="163" spans="1:18" x14ac:dyDescent="0.25">
      <c r="B163" t="s">
        <v>192</v>
      </c>
      <c r="C163" s="33"/>
      <c r="D163" s="116">
        <f t="shared" si="100"/>
        <v>0</v>
      </c>
      <c r="E163" s="116">
        <f t="shared" si="100"/>
        <v>0</v>
      </c>
      <c r="F163" s="116">
        <f t="shared" si="100"/>
        <v>0</v>
      </c>
      <c r="G163" s="116">
        <f t="shared" si="100"/>
        <v>0</v>
      </c>
      <c r="H163" s="116">
        <f t="shared" si="100"/>
        <v>53.620000000000005</v>
      </c>
      <c r="I163" s="116">
        <f t="shared" ref="I163:R163" si="114">I25+I42+I59+I76+I93+I110+I127+I144</f>
        <v>53.620000000000005</v>
      </c>
      <c r="J163" s="116">
        <f t="shared" si="114"/>
        <v>53.620000000000005</v>
      </c>
      <c r="K163" s="116">
        <f t="shared" si="114"/>
        <v>53.620000000000005</v>
      </c>
      <c r="L163" s="116">
        <f t="shared" si="114"/>
        <v>53.620000000000005</v>
      </c>
      <c r="M163" s="116">
        <f t="shared" si="114"/>
        <v>53.620000000000005</v>
      </c>
      <c r="N163" s="116">
        <f t="shared" si="114"/>
        <v>53.620000000000005</v>
      </c>
      <c r="O163" s="116">
        <f t="shared" si="114"/>
        <v>53.620000000000005</v>
      </c>
      <c r="P163" s="116">
        <f t="shared" si="114"/>
        <v>53.620000000000005</v>
      </c>
      <c r="Q163" s="116">
        <f t="shared" si="114"/>
        <v>53.620000000000005</v>
      </c>
      <c r="R163" s="116">
        <f t="shared" si="114"/>
        <v>53.620000000000005</v>
      </c>
    </row>
    <row r="164" spans="1:18" x14ac:dyDescent="0.25">
      <c r="B164" s="47" t="s">
        <v>197</v>
      </c>
      <c r="C164" s="43"/>
      <c r="D164" s="145">
        <f t="shared" si="100"/>
        <v>640.45000000000005</v>
      </c>
      <c r="E164" s="145">
        <f t="shared" si="100"/>
        <v>724.93999999999994</v>
      </c>
      <c r="F164" s="145">
        <f t="shared" si="100"/>
        <v>871.18000000000006</v>
      </c>
      <c r="G164" s="145">
        <f t="shared" si="100"/>
        <v>1146.3200000000002</v>
      </c>
      <c r="H164" s="145">
        <f t="shared" si="100"/>
        <v>2068.2400000000002</v>
      </c>
      <c r="I164" s="145">
        <f t="shared" ref="I164:R164" si="115">I26+I43+I60+I77+I94+I111+I128+I145</f>
        <v>2457.8448333333336</v>
      </c>
      <c r="J164" s="145">
        <f t="shared" si="115"/>
        <v>2845.733666666667</v>
      </c>
      <c r="K164" s="145">
        <f t="shared" si="115"/>
        <v>3233.6224999999999</v>
      </c>
      <c r="L164" s="145">
        <f t="shared" si="115"/>
        <v>3621.5113333333329</v>
      </c>
      <c r="M164" s="145">
        <f t="shared" si="115"/>
        <v>4009.4001666666663</v>
      </c>
      <c r="N164" s="145">
        <f t="shared" si="115"/>
        <v>4397.2890000000016</v>
      </c>
      <c r="O164" s="145">
        <f t="shared" si="115"/>
        <v>4785.1778333333332</v>
      </c>
      <c r="P164" s="145">
        <f t="shared" si="115"/>
        <v>5173.0666666666675</v>
      </c>
      <c r="Q164" s="145">
        <f t="shared" si="115"/>
        <v>5560.9555000000018</v>
      </c>
      <c r="R164" s="145">
        <f t="shared" si="115"/>
        <v>5948.8443333333362</v>
      </c>
    </row>
    <row r="167" spans="1:18" x14ac:dyDescent="0.25">
      <c r="A167" t="s">
        <v>207</v>
      </c>
      <c r="B167" s="294" t="s">
        <v>209</v>
      </c>
      <c r="C167" s="294"/>
      <c r="D167" s="294"/>
      <c r="E167" s="294"/>
      <c r="F167" s="294"/>
      <c r="G167" s="294"/>
      <c r="H167" s="294"/>
      <c r="I167" s="294"/>
      <c r="J167" s="294"/>
      <c r="K167" s="294"/>
      <c r="L167" s="294"/>
      <c r="M167" s="294"/>
      <c r="N167" s="294"/>
      <c r="O167" s="294"/>
      <c r="P167" s="294"/>
      <c r="Q167" s="294"/>
      <c r="R167" s="294"/>
    </row>
    <row r="169" spans="1:18" x14ac:dyDescent="0.25">
      <c r="A169" t="s">
        <v>207</v>
      </c>
      <c r="B169" s="1" t="s">
        <v>210</v>
      </c>
    </row>
    <row r="170" spans="1:18" x14ac:dyDescent="0.25">
      <c r="B170" s="47" t="s">
        <v>191</v>
      </c>
      <c r="C170" s="5"/>
      <c r="D170" s="145">
        <v>36.01</v>
      </c>
      <c r="E170" s="145">
        <f>D176</f>
        <v>36.61</v>
      </c>
      <c r="F170" s="145">
        <f t="shared" ref="F170:R170" si="116">E176</f>
        <v>43.82</v>
      </c>
      <c r="G170" s="145">
        <f t="shared" si="116"/>
        <v>57.61</v>
      </c>
      <c r="H170" s="145">
        <f t="shared" si="116"/>
        <v>57.89</v>
      </c>
      <c r="I170" s="145">
        <f t="shared" si="116"/>
        <v>63.370000000000005</v>
      </c>
      <c r="J170" s="145">
        <f t="shared" si="116"/>
        <v>70.24799999999999</v>
      </c>
      <c r="K170" s="145">
        <f t="shared" si="116"/>
        <v>77.744199999999978</v>
      </c>
      <c r="L170" s="145">
        <f t="shared" si="116"/>
        <v>85.920419999999979</v>
      </c>
      <c r="M170" s="145">
        <f t="shared" si="116"/>
        <v>94.844661999999971</v>
      </c>
      <c r="N170" s="145">
        <f t="shared" si="116"/>
        <v>104.59172819999998</v>
      </c>
      <c r="O170" s="145">
        <f t="shared" si="116"/>
        <v>115.24390101999998</v>
      </c>
      <c r="P170" s="145">
        <f t="shared" si="116"/>
        <v>126.89169112199997</v>
      </c>
      <c r="Q170" s="145">
        <f t="shared" si="116"/>
        <v>139.6346602342</v>
      </c>
      <c r="R170" s="145">
        <f t="shared" si="116"/>
        <v>153.58232625762002</v>
      </c>
    </row>
    <row r="171" spans="1:18" x14ac:dyDescent="0.25">
      <c r="B171" t="s">
        <v>190</v>
      </c>
      <c r="D171" s="116">
        <v>0.71</v>
      </c>
      <c r="E171" s="116">
        <v>7.71</v>
      </c>
      <c r="F171" s="116">
        <v>14.2</v>
      </c>
      <c r="G171" s="116">
        <v>1.68</v>
      </c>
      <c r="H171" s="116">
        <v>5.62</v>
      </c>
      <c r="I171" s="116">
        <f>H171*1.1</f>
        <v>6.1820000000000004</v>
      </c>
      <c r="J171" s="116">
        <f t="shared" ref="J171:R171" si="117">I171*1.1</f>
        <v>6.8002000000000011</v>
      </c>
      <c r="K171" s="116">
        <f t="shared" si="117"/>
        <v>7.4802200000000019</v>
      </c>
      <c r="L171" s="116">
        <f t="shared" si="117"/>
        <v>8.2282420000000034</v>
      </c>
      <c r="M171" s="116">
        <f t="shared" si="117"/>
        <v>9.0510662000000046</v>
      </c>
      <c r="N171" s="116">
        <f t="shared" si="117"/>
        <v>9.9561728200000061</v>
      </c>
      <c r="O171" s="116">
        <f t="shared" si="117"/>
        <v>10.951790102000007</v>
      </c>
      <c r="P171" s="116">
        <f t="shared" si="117"/>
        <v>12.04696911220001</v>
      </c>
      <c r="Q171" s="116">
        <f t="shared" si="117"/>
        <v>13.251666023420013</v>
      </c>
      <c r="R171" s="116">
        <f t="shared" si="117"/>
        <v>14.576832625762016</v>
      </c>
    </row>
    <row r="172" spans="1:18" x14ac:dyDescent="0.25">
      <c r="B172" t="s">
        <v>192</v>
      </c>
      <c r="D172" s="116"/>
      <c r="E172" s="116"/>
      <c r="F172" s="116"/>
      <c r="G172" s="116"/>
      <c r="H172" s="116">
        <v>1.52</v>
      </c>
      <c r="I172" s="116">
        <f>AVERAGE(D172:H172)</f>
        <v>1.52</v>
      </c>
      <c r="J172" s="116">
        <f t="shared" ref="J172:R172" si="118">I172</f>
        <v>1.52</v>
      </c>
      <c r="K172" s="116">
        <f t="shared" si="118"/>
        <v>1.52</v>
      </c>
      <c r="L172" s="116">
        <f t="shared" si="118"/>
        <v>1.52</v>
      </c>
      <c r="M172" s="116">
        <f t="shared" si="118"/>
        <v>1.52</v>
      </c>
      <c r="N172" s="116">
        <f t="shared" si="118"/>
        <v>1.52</v>
      </c>
      <c r="O172" s="116">
        <f t="shared" si="118"/>
        <v>1.52</v>
      </c>
      <c r="P172" s="116">
        <f t="shared" si="118"/>
        <v>1.52</v>
      </c>
      <c r="Q172" s="116">
        <f t="shared" si="118"/>
        <v>1.52</v>
      </c>
      <c r="R172" s="116">
        <f t="shared" si="118"/>
        <v>1.52</v>
      </c>
    </row>
    <row r="173" spans="1:18" x14ac:dyDescent="0.25">
      <c r="B173" t="s">
        <v>193</v>
      </c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</row>
    <row r="174" spans="1:18" x14ac:dyDescent="0.25">
      <c r="B174" t="s">
        <v>198</v>
      </c>
      <c r="D174" s="116">
        <v>-0.01</v>
      </c>
      <c r="E174" s="116"/>
      <c r="F174" s="116"/>
      <c r="G174" s="116"/>
      <c r="H174" s="116"/>
      <c r="I174" s="116">
        <f>AVERAGE(D174:H174)</f>
        <v>-0.01</v>
      </c>
      <c r="J174" s="116">
        <f t="shared" ref="J174:R174" si="119">I174</f>
        <v>-0.01</v>
      </c>
      <c r="K174" s="116">
        <f t="shared" si="119"/>
        <v>-0.01</v>
      </c>
      <c r="L174" s="116">
        <f t="shared" si="119"/>
        <v>-0.01</v>
      </c>
      <c r="M174" s="116">
        <f t="shared" si="119"/>
        <v>-0.01</v>
      </c>
      <c r="N174" s="116">
        <f t="shared" si="119"/>
        <v>-0.01</v>
      </c>
      <c r="O174" s="116">
        <f t="shared" si="119"/>
        <v>-0.01</v>
      </c>
      <c r="P174" s="116">
        <f t="shared" si="119"/>
        <v>-0.01</v>
      </c>
      <c r="Q174" s="116">
        <f t="shared" si="119"/>
        <v>-0.01</v>
      </c>
      <c r="R174" s="116">
        <f t="shared" si="119"/>
        <v>-0.01</v>
      </c>
    </row>
    <row r="175" spans="1:18" x14ac:dyDescent="0.25">
      <c r="B175" t="s">
        <v>194</v>
      </c>
      <c r="D175" s="116">
        <v>-0.1</v>
      </c>
      <c r="E175" s="116">
        <v>-0.5</v>
      </c>
      <c r="F175" s="116">
        <v>-0.41</v>
      </c>
      <c r="G175" s="116">
        <v>-1.4</v>
      </c>
      <c r="H175" s="116">
        <v>-1.66</v>
      </c>
      <c r="I175" s="116">
        <f>AVERAGE(D175:H175)</f>
        <v>-0.81400000000000006</v>
      </c>
      <c r="J175" s="116">
        <f t="shared" ref="J175:R175" si="120">I175</f>
        <v>-0.81400000000000006</v>
      </c>
      <c r="K175" s="116">
        <f t="shared" si="120"/>
        <v>-0.81400000000000006</v>
      </c>
      <c r="L175" s="116">
        <f t="shared" si="120"/>
        <v>-0.81400000000000006</v>
      </c>
      <c r="M175" s="116">
        <f t="shared" si="120"/>
        <v>-0.81400000000000006</v>
      </c>
      <c r="N175" s="116">
        <f t="shared" si="120"/>
        <v>-0.81400000000000006</v>
      </c>
      <c r="O175" s="116">
        <f t="shared" si="120"/>
        <v>-0.81400000000000006</v>
      </c>
      <c r="P175" s="116">
        <f t="shared" si="120"/>
        <v>-0.81400000000000006</v>
      </c>
      <c r="Q175" s="116">
        <f t="shared" si="120"/>
        <v>-0.81400000000000006</v>
      </c>
      <c r="R175" s="116">
        <f t="shared" si="120"/>
        <v>-0.81400000000000006</v>
      </c>
    </row>
    <row r="176" spans="1:18" x14ac:dyDescent="0.25">
      <c r="B176" s="47" t="s">
        <v>195</v>
      </c>
      <c r="C176" s="5"/>
      <c r="D176" s="145">
        <f t="shared" ref="D176:R176" si="121">SUM(D170:D175)</f>
        <v>36.61</v>
      </c>
      <c r="E176" s="145">
        <f t="shared" si="121"/>
        <v>43.82</v>
      </c>
      <c r="F176" s="145">
        <f t="shared" si="121"/>
        <v>57.61</v>
      </c>
      <c r="G176" s="145">
        <f t="shared" si="121"/>
        <v>57.89</v>
      </c>
      <c r="H176" s="145">
        <f t="shared" si="121"/>
        <v>63.370000000000005</v>
      </c>
      <c r="I176" s="145">
        <f t="shared" si="121"/>
        <v>70.24799999999999</v>
      </c>
      <c r="J176" s="145">
        <f t="shared" si="121"/>
        <v>77.744199999999978</v>
      </c>
      <c r="K176" s="145">
        <f t="shared" si="121"/>
        <v>85.920419999999979</v>
      </c>
      <c r="L176" s="145">
        <f t="shared" si="121"/>
        <v>94.844661999999971</v>
      </c>
      <c r="M176" s="145">
        <f t="shared" si="121"/>
        <v>104.59172819999998</v>
      </c>
      <c r="N176" s="145">
        <f t="shared" si="121"/>
        <v>115.24390101999998</v>
      </c>
      <c r="O176" s="145">
        <f t="shared" si="121"/>
        <v>126.89169112199997</v>
      </c>
      <c r="P176" s="145">
        <f t="shared" si="121"/>
        <v>139.6346602342</v>
      </c>
      <c r="Q176" s="145">
        <f t="shared" si="121"/>
        <v>153.58232625762002</v>
      </c>
      <c r="R176" s="145">
        <f t="shared" si="121"/>
        <v>168.85515888338207</v>
      </c>
    </row>
    <row r="177" spans="1:18" x14ac:dyDescent="0.25">
      <c r="B177" s="46" t="s">
        <v>196</v>
      </c>
      <c r="D177" s="116">
        <v>24.18</v>
      </c>
      <c r="E177" s="116">
        <v>28.18</v>
      </c>
      <c r="F177" s="116">
        <v>32.450000000000003</v>
      </c>
      <c r="G177" s="116">
        <v>37.549999999999997</v>
      </c>
      <c r="H177" s="116">
        <v>41.67</v>
      </c>
      <c r="I177" s="116">
        <f t="shared" ref="I177:R177" si="122">SUM(H177:H183)-H178</f>
        <v>48.430000000000007</v>
      </c>
      <c r="J177" s="116">
        <f t="shared" si="122"/>
        <v>54.494000000000014</v>
      </c>
      <c r="K177" s="116">
        <f t="shared" si="122"/>
        <v>60.558000000000021</v>
      </c>
      <c r="L177" s="116">
        <f t="shared" si="122"/>
        <v>66.622000000000014</v>
      </c>
      <c r="M177" s="116">
        <f t="shared" si="122"/>
        <v>72.686000000000007</v>
      </c>
      <c r="N177" s="116">
        <f t="shared" si="122"/>
        <v>78.75</v>
      </c>
      <c r="O177" s="116">
        <f t="shared" si="122"/>
        <v>84.813999999999993</v>
      </c>
      <c r="P177" s="116">
        <f t="shared" si="122"/>
        <v>90.877999999999986</v>
      </c>
      <c r="Q177" s="116">
        <f t="shared" si="122"/>
        <v>96.941999999999979</v>
      </c>
      <c r="R177" s="116">
        <f t="shared" si="122"/>
        <v>103.00599999999997</v>
      </c>
    </row>
    <row r="178" spans="1:18" x14ac:dyDescent="0.25">
      <c r="B178" s="46" t="s">
        <v>220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</row>
    <row r="179" spans="1:18" x14ac:dyDescent="0.25">
      <c r="B179" t="s">
        <v>221</v>
      </c>
      <c r="D179" s="116">
        <v>4.05</v>
      </c>
      <c r="E179" s="116">
        <v>4.5999999999999996</v>
      </c>
      <c r="F179" s="116">
        <v>5.33</v>
      </c>
      <c r="G179" s="116">
        <v>5.44</v>
      </c>
      <c r="H179" s="116">
        <v>5.73</v>
      </c>
      <c r="I179" s="116">
        <f t="shared" ref="I179:I183" si="123">AVERAGE(D179:H179)</f>
        <v>5.0299999999999994</v>
      </c>
      <c r="J179" s="116">
        <f t="shared" ref="J179:R179" si="124">I179</f>
        <v>5.0299999999999994</v>
      </c>
      <c r="K179" s="116">
        <f t="shared" si="124"/>
        <v>5.0299999999999994</v>
      </c>
      <c r="L179" s="116">
        <f t="shared" si="124"/>
        <v>5.0299999999999994</v>
      </c>
      <c r="M179" s="116">
        <f t="shared" si="124"/>
        <v>5.0299999999999994</v>
      </c>
      <c r="N179" s="116">
        <f t="shared" si="124"/>
        <v>5.0299999999999994</v>
      </c>
      <c r="O179" s="116">
        <f t="shared" si="124"/>
        <v>5.0299999999999994</v>
      </c>
      <c r="P179" s="116">
        <f t="shared" si="124"/>
        <v>5.0299999999999994</v>
      </c>
      <c r="Q179" s="116">
        <f t="shared" si="124"/>
        <v>5.0299999999999994</v>
      </c>
      <c r="R179" s="116">
        <f t="shared" si="124"/>
        <v>5.0299999999999994</v>
      </c>
    </row>
    <row r="180" spans="1:18" x14ac:dyDescent="0.25">
      <c r="B180" t="s">
        <v>198</v>
      </c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</row>
    <row r="181" spans="1:18" x14ac:dyDescent="0.25">
      <c r="B181" t="s">
        <v>194</v>
      </c>
      <c r="D181" s="116">
        <v>-0.05</v>
      </c>
      <c r="E181" s="116">
        <v>-0.34</v>
      </c>
      <c r="F181" s="116">
        <v>-0.23</v>
      </c>
      <c r="G181" s="116">
        <v>-1.32</v>
      </c>
      <c r="H181" s="116">
        <v>-0.49</v>
      </c>
      <c r="I181" s="116">
        <f t="shared" si="123"/>
        <v>-0.48599999999999993</v>
      </c>
      <c r="J181" s="116">
        <f t="shared" ref="J181:R181" si="125">I181</f>
        <v>-0.48599999999999993</v>
      </c>
      <c r="K181" s="116">
        <f t="shared" si="125"/>
        <v>-0.48599999999999993</v>
      </c>
      <c r="L181" s="116">
        <f t="shared" si="125"/>
        <v>-0.48599999999999993</v>
      </c>
      <c r="M181" s="116">
        <f t="shared" si="125"/>
        <v>-0.48599999999999993</v>
      </c>
      <c r="N181" s="116">
        <f t="shared" si="125"/>
        <v>-0.48599999999999993</v>
      </c>
      <c r="O181" s="116">
        <f t="shared" si="125"/>
        <v>-0.48599999999999993</v>
      </c>
      <c r="P181" s="116">
        <f t="shared" si="125"/>
        <v>-0.48599999999999993</v>
      </c>
      <c r="Q181" s="116">
        <f t="shared" si="125"/>
        <v>-0.48599999999999993</v>
      </c>
      <c r="R181" s="116">
        <f t="shared" si="125"/>
        <v>-0.48599999999999993</v>
      </c>
    </row>
    <row r="182" spans="1:18" x14ac:dyDescent="0.25">
      <c r="B182" t="s">
        <v>193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</row>
    <row r="183" spans="1:18" x14ac:dyDescent="0.25">
      <c r="B183" t="s">
        <v>192</v>
      </c>
      <c r="D183" s="116"/>
      <c r="E183" s="116"/>
      <c r="F183" s="116"/>
      <c r="G183" s="116"/>
      <c r="H183" s="116">
        <v>1.52</v>
      </c>
      <c r="I183" s="116">
        <f t="shared" si="123"/>
        <v>1.52</v>
      </c>
      <c r="J183" s="116">
        <f t="shared" ref="J183:R183" si="126">I183</f>
        <v>1.52</v>
      </c>
      <c r="K183" s="116">
        <f t="shared" si="126"/>
        <v>1.52</v>
      </c>
      <c r="L183" s="116">
        <f t="shared" si="126"/>
        <v>1.52</v>
      </c>
      <c r="M183" s="116">
        <f t="shared" si="126"/>
        <v>1.52</v>
      </c>
      <c r="N183" s="116">
        <f t="shared" si="126"/>
        <v>1.52</v>
      </c>
      <c r="O183" s="116">
        <f t="shared" si="126"/>
        <v>1.52</v>
      </c>
      <c r="P183" s="116">
        <f t="shared" si="126"/>
        <v>1.52</v>
      </c>
      <c r="Q183" s="116">
        <f t="shared" si="126"/>
        <v>1.52</v>
      </c>
      <c r="R183" s="116">
        <f t="shared" si="126"/>
        <v>1.52</v>
      </c>
    </row>
    <row r="184" spans="1:18" x14ac:dyDescent="0.25">
      <c r="B184" s="47" t="s">
        <v>197</v>
      </c>
      <c r="C184" s="9"/>
      <c r="D184" s="145">
        <f t="shared" ref="D184:R184" si="127">D176-SUM(D177:D183)</f>
        <v>8.43</v>
      </c>
      <c r="E184" s="145">
        <f t="shared" si="127"/>
        <v>11.380000000000003</v>
      </c>
      <c r="F184" s="145">
        <f t="shared" si="127"/>
        <v>20.059999999999995</v>
      </c>
      <c r="G184" s="145">
        <f t="shared" si="127"/>
        <v>16.220000000000006</v>
      </c>
      <c r="H184" s="145">
        <f t="shared" si="127"/>
        <v>14.939999999999998</v>
      </c>
      <c r="I184" s="145">
        <f t="shared" si="127"/>
        <v>15.753999999999976</v>
      </c>
      <c r="J184" s="145">
        <f t="shared" si="127"/>
        <v>17.186199999999957</v>
      </c>
      <c r="K184" s="145">
        <f t="shared" si="127"/>
        <v>19.298419999999965</v>
      </c>
      <c r="L184" s="145">
        <f t="shared" si="127"/>
        <v>22.158661999999964</v>
      </c>
      <c r="M184" s="145">
        <f t="shared" si="127"/>
        <v>25.841728199999977</v>
      </c>
      <c r="N184" s="145">
        <f t="shared" si="127"/>
        <v>30.429901019999988</v>
      </c>
      <c r="O184" s="145">
        <f t="shared" si="127"/>
        <v>36.013691121999983</v>
      </c>
      <c r="P184" s="145">
        <f t="shared" si="127"/>
        <v>42.692660234200019</v>
      </c>
      <c r="Q184" s="145">
        <f t="shared" si="127"/>
        <v>50.576326257620053</v>
      </c>
      <c r="R184" s="145">
        <f t="shared" si="127"/>
        <v>59.78515888338211</v>
      </c>
    </row>
    <row r="185" spans="1:18" x14ac:dyDescent="0.25"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</row>
    <row r="186" spans="1:18" x14ac:dyDescent="0.25">
      <c r="A186" t="s">
        <v>207</v>
      </c>
      <c r="B186" s="1" t="s">
        <v>211</v>
      </c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</row>
    <row r="187" spans="1:18" x14ac:dyDescent="0.25">
      <c r="B187" s="47" t="s">
        <v>191</v>
      </c>
      <c r="C187" s="5"/>
      <c r="D187" s="145">
        <v>1.84</v>
      </c>
      <c r="E187" s="145">
        <f>D193</f>
        <v>2.5499999999999998</v>
      </c>
      <c r="F187" s="145">
        <f t="shared" ref="F187:R187" si="128">E193</f>
        <v>2.5499999999999998</v>
      </c>
      <c r="G187" s="145">
        <f t="shared" si="128"/>
        <v>2.5499999999999998</v>
      </c>
      <c r="H187" s="145">
        <f t="shared" si="128"/>
        <v>2.5499999999999998</v>
      </c>
      <c r="I187" s="145">
        <f t="shared" si="128"/>
        <v>2.5499999999999998</v>
      </c>
      <c r="J187" s="145">
        <f t="shared" si="128"/>
        <v>2.5499999999999998</v>
      </c>
      <c r="K187" s="145">
        <f t="shared" si="128"/>
        <v>2.5499999999999998</v>
      </c>
      <c r="L187" s="145">
        <f t="shared" si="128"/>
        <v>2.5499999999999998</v>
      </c>
      <c r="M187" s="145">
        <f t="shared" si="128"/>
        <v>2.5499999999999998</v>
      </c>
      <c r="N187" s="145">
        <f t="shared" si="128"/>
        <v>2.5499999999999998</v>
      </c>
      <c r="O187" s="145">
        <f t="shared" si="128"/>
        <v>2.5499999999999998</v>
      </c>
      <c r="P187" s="145">
        <f t="shared" si="128"/>
        <v>2.5499999999999998</v>
      </c>
      <c r="Q187" s="145">
        <f t="shared" si="128"/>
        <v>2.5499999999999998</v>
      </c>
      <c r="R187" s="145">
        <f t="shared" si="128"/>
        <v>2.5499999999999998</v>
      </c>
    </row>
    <row r="188" spans="1:18" x14ac:dyDescent="0.25">
      <c r="B188" t="s">
        <v>190</v>
      </c>
      <c r="D188" s="116">
        <v>0.71</v>
      </c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</row>
    <row r="189" spans="1:18" x14ac:dyDescent="0.25">
      <c r="B189" t="s">
        <v>192</v>
      </c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</row>
    <row r="190" spans="1:18" x14ac:dyDescent="0.25">
      <c r="B190" t="s">
        <v>193</v>
      </c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</row>
    <row r="191" spans="1:18" x14ac:dyDescent="0.25">
      <c r="B191" t="s">
        <v>198</v>
      </c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</row>
    <row r="192" spans="1:18" x14ac:dyDescent="0.25">
      <c r="B192" t="s">
        <v>194</v>
      </c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</row>
    <row r="193" spans="1:18" x14ac:dyDescent="0.25">
      <c r="B193" s="47" t="s">
        <v>195</v>
      </c>
      <c r="C193" s="9"/>
      <c r="D193" s="145">
        <f t="shared" ref="D193:R193" si="129">SUM(D187:D192)</f>
        <v>2.5499999999999998</v>
      </c>
      <c r="E193" s="145">
        <f t="shared" si="129"/>
        <v>2.5499999999999998</v>
      </c>
      <c r="F193" s="145">
        <f t="shared" si="129"/>
        <v>2.5499999999999998</v>
      </c>
      <c r="G193" s="145">
        <f t="shared" si="129"/>
        <v>2.5499999999999998</v>
      </c>
      <c r="H193" s="145">
        <f t="shared" si="129"/>
        <v>2.5499999999999998</v>
      </c>
      <c r="I193" s="145">
        <f t="shared" si="129"/>
        <v>2.5499999999999998</v>
      </c>
      <c r="J193" s="145">
        <f t="shared" si="129"/>
        <v>2.5499999999999998</v>
      </c>
      <c r="K193" s="145">
        <f t="shared" si="129"/>
        <v>2.5499999999999998</v>
      </c>
      <c r="L193" s="145">
        <f t="shared" si="129"/>
        <v>2.5499999999999998</v>
      </c>
      <c r="M193" s="145">
        <f t="shared" si="129"/>
        <v>2.5499999999999998</v>
      </c>
      <c r="N193" s="145">
        <f t="shared" si="129"/>
        <v>2.5499999999999998</v>
      </c>
      <c r="O193" s="145">
        <f t="shared" si="129"/>
        <v>2.5499999999999998</v>
      </c>
      <c r="P193" s="145">
        <f t="shared" si="129"/>
        <v>2.5499999999999998</v>
      </c>
      <c r="Q193" s="145">
        <f t="shared" si="129"/>
        <v>2.5499999999999998</v>
      </c>
      <c r="R193" s="145">
        <f t="shared" si="129"/>
        <v>2.5499999999999998</v>
      </c>
    </row>
    <row r="194" spans="1:18" x14ac:dyDescent="0.25">
      <c r="B194" s="46" t="s">
        <v>196</v>
      </c>
      <c r="D194" s="116">
        <v>0</v>
      </c>
      <c r="E194" s="116"/>
      <c r="F194" s="116"/>
      <c r="G194" s="116"/>
      <c r="H194" s="116"/>
      <c r="I194" s="116">
        <f t="shared" ref="I194:R194" si="130">SUM(H194:H200)-H195</f>
        <v>0</v>
      </c>
      <c r="J194" s="116">
        <f t="shared" si="130"/>
        <v>0</v>
      </c>
      <c r="K194" s="116">
        <f t="shared" si="130"/>
        <v>0</v>
      </c>
      <c r="L194" s="116">
        <f t="shared" si="130"/>
        <v>0</v>
      </c>
      <c r="M194" s="116">
        <f t="shared" si="130"/>
        <v>0</v>
      </c>
      <c r="N194" s="116">
        <f t="shared" si="130"/>
        <v>0</v>
      </c>
      <c r="O194" s="116">
        <f t="shared" si="130"/>
        <v>0</v>
      </c>
      <c r="P194" s="116">
        <f t="shared" si="130"/>
        <v>0</v>
      </c>
      <c r="Q194" s="116">
        <f t="shared" si="130"/>
        <v>0</v>
      </c>
      <c r="R194" s="116">
        <f t="shared" si="130"/>
        <v>0</v>
      </c>
    </row>
    <row r="195" spans="1:18" x14ac:dyDescent="0.25">
      <c r="B195" s="46" t="s">
        <v>220</v>
      </c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</row>
    <row r="196" spans="1:18" x14ac:dyDescent="0.25">
      <c r="B196" t="s">
        <v>221</v>
      </c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</row>
    <row r="197" spans="1:18" x14ac:dyDescent="0.25">
      <c r="B197" t="s">
        <v>198</v>
      </c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</row>
    <row r="198" spans="1:18" x14ac:dyDescent="0.25">
      <c r="B198" t="s">
        <v>194</v>
      </c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</row>
    <row r="199" spans="1:18" x14ac:dyDescent="0.25">
      <c r="B199" t="s">
        <v>193</v>
      </c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</row>
    <row r="200" spans="1:18" x14ac:dyDescent="0.25">
      <c r="B200" t="s">
        <v>192</v>
      </c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</row>
    <row r="201" spans="1:18" x14ac:dyDescent="0.25">
      <c r="B201" s="47" t="s">
        <v>197</v>
      </c>
      <c r="C201" s="9"/>
      <c r="D201" s="145">
        <f t="shared" ref="D201:R201" si="131">D193-SUM(D194:D200)</f>
        <v>2.5499999999999998</v>
      </c>
      <c r="E201" s="145">
        <f t="shared" si="131"/>
        <v>2.5499999999999998</v>
      </c>
      <c r="F201" s="145">
        <f t="shared" si="131"/>
        <v>2.5499999999999998</v>
      </c>
      <c r="G201" s="145">
        <f t="shared" si="131"/>
        <v>2.5499999999999998</v>
      </c>
      <c r="H201" s="145">
        <f t="shared" si="131"/>
        <v>2.5499999999999998</v>
      </c>
      <c r="I201" s="145">
        <f t="shared" si="131"/>
        <v>2.5499999999999998</v>
      </c>
      <c r="J201" s="145">
        <f t="shared" si="131"/>
        <v>2.5499999999999998</v>
      </c>
      <c r="K201" s="145">
        <f t="shared" si="131"/>
        <v>2.5499999999999998</v>
      </c>
      <c r="L201" s="145">
        <f t="shared" si="131"/>
        <v>2.5499999999999998</v>
      </c>
      <c r="M201" s="145">
        <f t="shared" si="131"/>
        <v>2.5499999999999998</v>
      </c>
      <c r="N201" s="145">
        <f t="shared" si="131"/>
        <v>2.5499999999999998</v>
      </c>
      <c r="O201" s="145">
        <f t="shared" si="131"/>
        <v>2.5499999999999998</v>
      </c>
      <c r="P201" s="145">
        <f t="shared" si="131"/>
        <v>2.5499999999999998</v>
      </c>
      <c r="Q201" s="145">
        <f t="shared" si="131"/>
        <v>2.5499999999999998</v>
      </c>
      <c r="R201" s="145">
        <f t="shared" si="131"/>
        <v>2.5499999999999998</v>
      </c>
    </row>
    <row r="202" spans="1:18" x14ac:dyDescent="0.25"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</row>
    <row r="203" spans="1:18" x14ac:dyDescent="0.25">
      <c r="A203" t="s">
        <v>207</v>
      </c>
      <c r="B203" s="1" t="s">
        <v>212</v>
      </c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</row>
    <row r="204" spans="1:18" x14ac:dyDescent="0.25">
      <c r="B204" s="47" t="s">
        <v>191</v>
      </c>
      <c r="C204" s="5"/>
      <c r="D204" s="145">
        <v>0.01</v>
      </c>
      <c r="E204" s="145">
        <f>D210</f>
        <v>0.01</v>
      </c>
      <c r="F204" s="145">
        <f t="shared" ref="F204:R204" si="132">E210</f>
        <v>0.01</v>
      </c>
      <c r="G204" s="145">
        <f t="shared" si="132"/>
        <v>0.01</v>
      </c>
      <c r="H204" s="145">
        <f t="shared" si="132"/>
        <v>0.01</v>
      </c>
      <c r="I204" s="145">
        <f t="shared" si="132"/>
        <v>0.01</v>
      </c>
      <c r="J204" s="145">
        <f t="shared" si="132"/>
        <v>0.01</v>
      </c>
      <c r="K204" s="145">
        <f t="shared" si="132"/>
        <v>0.01</v>
      </c>
      <c r="L204" s="145">
        <f t="shared" si="132"/>
        <v>0.01</v>
      </c>
      <c r="M204" s="145">
        <f t="shared" si="132"/>
        <v>0.01</v>
      </c>
      <c r="N204" s="145">
        <f t="shared" si="132"/>
        <v>0.01</v>
      </c>
      <c r="O204" s="145">
        <f t="shared" si="132"/>
        <v>0.01</v>
      </c>
      <c r="P204" s="145">
        <f t="shared" si="132"/>
        <v>0.01</v>
      </c>
      <c r="Q204" s="145">
        <f t="shared" si="132"/>
        <v>0.01</v>
      </c>
      <c r="R204" s="145">
        <f t="shared" si="132"/>
        <v>0.01</v>
      </c>
    </row>
    <row r="205" spans="1:18" x14ac:dyDescent="0.25">
      <c r="B205" t="s">
        <v>190</v>
      </c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</row>
    <row r="206" spans="1:18" x14ac:dyDescent="0.25">
      <c r="B206" t="s">
        <v>192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</row>
    <row r="207" spans="1:18" x14ac:dyDescent="0.25">
      <c r="B207" t="s">
        <v>193</v>
      </c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</row>
    <row r="208" spans="1:18" x14ac:dyDescent="0.25">
      <c r="B208" t="s">
        <v>198</v>
      </c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</row>
    <row r="209" spans="1:18" x14ac:dyDescent="0.25">
      <c r="B209" t="s">
        <v>194</v>
      </c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</row>
    <row r="210" spans="1:18" x14ac:dyDescent="0.25">
      <c r="B210" s="47" t="s">
        <v>195</v>
      </c>
      <c r="C210" s="9"/>
      <c r="D210" s="145">
        <f t="shared" ref="D210:R210" si="133">SUM(D204:D209)</f>
        <v>0.01</v>
      </c>
      <c r="E210" s="145">
        <f t="shared" si="133"/>
        <v>0.01</v>
      </c>
      <c r="F210" s="145">
        <f t="shared" si="133"/>
        <v>0.01</v>
      </c>
      <c r="G210" s="145">
        <f t="shared" si="133"/>
        <v>0.01</v>
      </c>
      <c r="H210" s="145">
        <f t="shared" si="133"/>
        <v>0.01</v>
      </c>
      <c r="I210" s="145">
        <f t="shared" si="133"/>
        <v>0.01</v>
      </c>
      <c r="J210" s="145">
        <f t="shared" si="133"/>
        <v>0.01</v>
      </c>
      <c r="K210" s="145">
        <f t="shared" si="133"/>
        <v>0.01</v>
      </c>
      <c r="L210" s="145">
        <f t="shared" si="133"/>
        <v>0.01</v>
      </c>
      <c r="M210" s="145">
        <f t="shared" si="133"/>
        <v>0.01</v>
      </c>
      <c r="N210" s="145">
        <f t="shared" si="133"/>
        <v>0.01</v>
      </c>
      <c r="O210" s="145">
        <f t="shared" si="133"/>
        <v>0.01</v>
      </c>
      <c r="P210" s="145">
        <f t="shared" si="133"/>
        <v>0.01</v>
      </c>
      <c r="Q210" s="145">
        <f t="shared" si="133"/>
        <v>0.01</v>
      </c>
      <c r="R210" s="145">
        <f t="shared" si="133"/>
        <v>0.01</v>
      </c>
    </row>
    <row r="211" spans="1:18" x14ac:dyDescent="0.25">
      <c r="B211" s="46" t="s">
        <v>196</v>
      </c>
      <c r="D211" s="116">
        <v>0.01</v>
      </c>
      <c r="E211" s="116">
        <v>0.01</v>
      </c>
      <c r="F211" s="116">
        <v>0.01</v>
      </c>
      <c r="G211" s="116">
        <v>0.01</v>
      </c>
      <c r="H211" s="116">
        <v>0.01</v>
      </c>
      <c r="I211" s="116">
        <f t="shared" ref="I211:R211" si="134">SUM(H211:H217)-H212</f>
        <v>0.01</v>
      </c>
      <c r="J211" s="116">
        <f t="shared" si="134"/>
        <v>0.01</v>
      </c>
      <c r="K211" s="116">
        <f t="shared" si="134"/>
        <v>0.01</v>
      </c>
      <c r="L211" s="116">
        <f t="shared" si="134"/>
        <v>0.01</v>
      </c>
      <c r="M211" s="116">
        <f t="shared" si="134"/>
        <v>0.01</v>
      </c>
      <c r="N211" s="116">
        <f t="shared" si="134"/>
        <v>0.01</v>
      </c>
      <c r="O211" s="116">
        <f t="shared" si="134"/>
        <v>0.01</v>
      </c>
      <c r="P211" s="116">
        <f t="shared" si="134"/>
        <v>0.01</v>
      </c>
      <c r="Q211" s="116">
        <f t="shared" si="134"/>
        <v>0.01</v>
      </c>
      <c r="R211" s="116">
        <f t="shared" si="134"/>
        <v>0.01</v>
      </c>
    </row>
    <row r="212" spans="1:18" x14ac:dyDescent="0.25">
      <c r="B212" s="46" t="s">
        <v>220</v>
      </c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</row>
    <row r="213" spans="1:18" x14ac:dyDescent="0.25">
      <c r="B213" t="s">
        <v>221</v>
      </c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</row>
    <row r="214" spans="1:18" x14ac:dyDescent="0.25">
      <c r="B214" t="s">
        <v>198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</row>
    <row r="215" spans="1:18" x14ac:dyDescent="0.25">
      <c r="B215" t="s">
        <v>194</v>
      </c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</row>
    <row r="216" spans="1:18" x14ac:dyDescent="0.25">
      <c r="B216" t="s">
        <v>193</v>
      </c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</row>
    <row r="217" spans="1:18" x14ac:dyDescent="0.25">
      <c r="B217" t="s">
        <v>192</v>
      </c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</row>
    <row r="218" spans="1:18" x14ac:dyDescent="0.25">
      <c r="B218" s="47" t="s">
        <v>197</v>
      </c>
      <c r="C218" s="9"/>
      <c r="D218" s="145">
        <f t="shared" ref="D218:R218" si="135">D210-SUM(D211:D217)</f>
        <v>0</v>
      </c>
      <c r="E218" s="145">
        <f t="shared" si="135"/>
        <v>0</v>
      </c>
      <c r="F218" s="145">
        <f t="shared" si="135"/>
        <v>0</v>
      </c>
      <c r="G218" s="145">
        <f t="shared" si="135"/>
        <v>0</v>
      </c>
      <c r="H218" s="145">
        <f t="shared" si="135"/>
        <v>0</v>
      </c>
      <c r="I218" s="145">
        <f t="shared" si="135"/>
        <v>0</v>
      </c>
      <c r="J218" s="145">
        <f t="shared" si="135"/>
        <v>0</v>
      </c>
      <c r="K218" s="145">
        <f t="shared" si="135"/>
        <v>0</v>
      </c>
      <c r="L218" s="145">
        <f t="shared" si="135"/>
        <v>0</v>
      </c>
      <c r="M218" s="145">
        <f t="shared" si="135"/>
        <v>0</v>
      </c>
      <c r="N218" s="145">
        <f t="shared" si="135"/>
        <v>0</v>
      </c>
      <c r="O218" s="145">
        <f t="shared" si="135"/>
        <v>0</v>
      </c>
      <c r="P218" s="145">
        <f t="shared" si="135"/>
        <v>0</v>
      </c>
      <c r="Q218" s="145">
        <f t="shared" si="135"/>
        <v>0</v>
      </c>
      <c r="R218" s="145">
        <f t="shared" si="135"/>
        <v>0</v>
      </c>
    </row>
    <row r="219" spans="1:18" x14ac:dyDescent="0.25"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</row>
    <row r="220" spans="1:18" x14ac:dyDescent="0.25">
      <c r="A220" t="s">
        <v>207</v>
      </c>
      <c r="B220" s="1" t="s">
        <v>213</v>
      </c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</row>
    <row r="221" spans="1:18" x14ac:dyDescent="0.25">
      <c r="B221" s="47" t="s">
        <v>191</v>
      </c>
      <c r="C221" s="5"/>
      <c r="D221" s="145">
        <v>0.2</v>
      </c>
      <c r="E221" s="145">
        <f>D227</f>
        <v>0.2</v>
      </c>
      <c r="F221" s="145">
        <f t="shared" ref="F221:R221" si="136">E227</f>
        <v>0.2</v>
      </c>
      <c r="G221" s="145">
        <f t="shared" si="136"/>
        <v>0.2</v>
      </c>
      <c r="H221" s="145">
        <f t="shared" si="136"/>
        <v>0.2</v>
      </c>
      <c r="I221" s="145">
        <f t="shared" si="136"/>
        <v>0.2</v>
      </c>
      <c r="J221" s="145">
        <f t="shared" si="136"/>
        <v>0.2</v>
      </c>
      <c r="K221" s="145">
        <f t="shared" si="136"/>
        <v>0.2</v>
      </c>
      <c r="L221" s="145">
        <f t="shared" si="136"/>
        <v>0.2</v>
      </c>
      <c r="M221" s="145">
        <f t="shared" si="136"/>
        <v>0.2</v>
      </c>
      <c r="N221" s="145">
        <f t="shared" si="136"/>
        <v>0.2</v>
      </c>
      <c r="O221" s="145">
        <f t="shared" si="136"/>
        <v>0.2</v>
      </c>
      <c r="P221" s="145">
        <f t="shared" si="136"/>
        <v>0.2</v>
      </c>
      <c r="Q221" s="145">
        <f t="shared" si="136"/>
        <v>0.2</v>
      </c>
      <c r="R221" s="145">
        <f t="shared" si="136"/>
        <v>0.2</v>
      </c>
    </row>
    <row r="222" spans="1:18" x14ac:dyDescent="0.25">
      <c r="B222" t="s">
        <v>190</v>
      </c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</row>
    <row r="223" spans="1:18" x14ac:dyDescent="0.25">
      <c r="B223" t="s">
        <v>192</v>
      </c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</row>
    <row r="224" spans="1:18" x14ac:dyDescent="0.25">
      <c r="B224" t="s">
        <v>193</v>
      </c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</row>
    <row r="225" spans="1:18" x14ac:dyDescent="0.25">
      <c r="B225" t="s">
        <v>198</v>
      </c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</row>
    <row r="226" spans="1:18" x14ac:dyDescent="0.25">
      <c r="B226" t="s">
        <v>194</v>
      </c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</row>
    <row r="227" spans="1:18" x14ac:dyDescent="0.25">
      <c r="B227" s="47" t="s">
        <v>195</v>
      </c>
      <c r="C227" s="9"/>
      <c r="D227" s="145">
        <f t="shared" ref="D227:R227" si="137">SUM(D221:D226)</f>
        <v>0.2</v>
      </c>
      <c r="E227" s="145">
        <f t="shared" si="137"/>
        <v>0.2</v>
      </c>
      <c r="F227" s="145">
        <f t="shared" si="137"/>
        <v>0.2</v>
      </c>
      <c r="G227" s="145">
        <f t="shared" si="137"/>
        <v>0.2</v>
      </c>
      <c r="H227" s="145">
        <f t="shared" si="137"/>
        <v>0.2</v>
      </c>
      <c r="I227" s="145">
        <f t="shared" si="137"/>
        <v>0.2</v>
      </c>
      <c r="J227" s="145">
        <f t="shared" si="137"/>
        <v>0.2</v>
      </c>
      <c r="K227" s="145">
        <f t="shared" si="137"/>
        <v>0.2</v>
      </c>
      <c r="L227" s="145">
        <f t="shared" si="137"/>
        <v>0.2</v>
      </c>
      <c r="M227" s="145">
        <f t="shared" si="137"/>
        <v>0.2</v>
      </c>
      <c r="N227" s="145">
        <f t="shared" si="137"/>
        <v>0.2</v>
      </c>
      <c r="O227" s="145">
        <f t="shared" si="137"/>
        <v>0.2</v>
      </c>
      <c r="P227" s="145">
        <f t="shared" si="137"/>
        <v>0.2</v>
      </c>
      <c r="Q227" s="145">
        <f t="shared" si="137"/>
        <v>0.2</v>
      </c>
      <c r="R227" s="145">
        <f t="shared" si="137"/>
        <v>0.2</v>
      </c>
    </row>
    <row r="228" spans="1:18" x14ac:dyDescent="0.25">
      <c r="B228" s="46" t="s">
        <v>196</v>
      </c>
      <c r="D228" s="116">
        <v>0.2</v>
      </c>
      <c r="E228" s="116">
        <v>0.2</v>
      </c>
      <c r="F228" s="116">
        <v>0.2</v>
      </c>
      <c r="G228" s="116">
        <v>0.2</v>
      </c>
      <c r="H228" s="116">
        <v>0.2</v>
      </c>
      <c r="I228" s="116">
        <f t="shared" ref="I228:R228" si="138">SUM(H228:H234)-H229</f>
        <v>0.2</v>
      </c>
      <c r="J228" s="116">
        <f t="shared" si="138"/>
        <v>0.2</v>
      </c>
      <c r="K228" s="116">
        <f t="shared" si="138"/>
        <v>0.2</v>
      </c>
      <c r="L228" s="116">
        <f t="shared" si="138"/>
        <v>0.2</v>
      </c>
      <c r="M228" s="116">
        <f t="shared" si="138"/>
        <v>0.2</v>
      </c>
      <c r="N228" s="116">
        <f t="shared" si="138"/>
        <v>0.2</v>
      </c>
      <c r="O228" s="116">
        <f t="shared" si="138"/>
        <v>0.2</v>
      </c>
      <c r="P228" s="116">
        <f t="shared" si="138"/>
        <v>0.2</v>
      </c>
      <c r="Q228" s="116">
        <f t="shared" si="138"/>
        <v>0.2</v>
      </c>
      <c r="R228" s="116">
        <f t="shared" si="138"/>
        <v>0.2</v>
      </c>
    </row>
    <row r="229" spans="1:18" x14ac:dyDescent="0.25">
      <c r="B229" s="46" t="s">
        <v>220</v>
      </c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</row>
    <row r="230" spans="1:18" x14ac:dyDescent="0.25">
      <c r="B230" t="s">
        <v>221</v>
      </c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</row>
    <row r="231" spans="1:18" x14ac:dyDescent="0.25">
      <c r="B231" t="s">
        <v>198</v>
      </c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</row>
    <row r="232" spans="1:18" x14ac:dyDescent="0.25">
      <c r="B232" t="s">
        <v>194</v>
      </c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</row>
    <row r="233" spans="1:18" x14ac:dyDescent="0.25">
      <c r="B233" t="s">
        <v>193</v>
      </c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</row>
    <row r="234" spans="1:18" x14ac:dyDescent="0.25">
      <c r="B234" t="s">
        <v>192</v>
      </c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</row>
    <row r="235" spans="1:18" x14ac:dyDescent="0.25">
      <c r="B235" s="47" t="s">
        <v>197</v>
      </c>
      <c r="C235" s="9"/>
      <c r="D235" s="145">
        <f t="shared" ref="D235:R235" si="139">D227-SUM(D228:D234)</f>
        <v>0</v>
      </c>
      <c r="E235" s="145">
        <f t="shared" si="139"/>
        <v>0</v>
      </c>
      <c r="F235" s="145">
        <f t="shared" si="139"/>
        <v>0</v>
      </c>
      <c r="G235" s="145">
        <f t="shared" si="139"/>
        <v>0</v>
      </c>
      <c r="H235" s="145">
        <f t="shared" si="139"/>
        <v>0</v>
      </c>
      <c r="I235" s="145">
        <f t="shared" si="139"/>
        <v>0</v>
      </c>
      <c r="J235" s="145">
        <f t="shared" si="139"/>
        <v>0</v>
      </c>
      <c r="K235" s="145">
        <f t="shared" si="139"/>
        <v>0</v>
      </c>
      <c r="L235" s="145">
        <f t="shared" si="139"/>
        <v>0</v>
      </c>
      <c r="M235" s="145">
        <f t="shared" si="139"/>
        <v>0</v>
      </c>
      <c r="N235" s="145">
        <f t="shared" si="139"/>
        <v>0</v>
      </c>
      <c r="O235" s="145">
        <f t="shared" si="139"/>
        <v>0</v>
      </c>
      <c r="P235" s="145">
        <f t="shared" si="139"/>
        <v>0</v>
      </c>
      <c r="Q235" s="145">
        <f t="shared" si="139"/>
        <v>0</v>
      </c>
      <c r="R235" s="145">
        <f t="shared" si="139"/>
        <v>0</v>
      </c>
    </row>
    <row r="236" spans="1:18" x14ac:dyDescent="0.25"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</row>
    <row r="237" spans="1:18" x14ac:dyDescent="0.25">
      <c r="A237" t="s">
        <v>207</v>
      </c>
      <c r="B237" s="1" t="s">
        <v>214</v>
      </c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</row>
    <row r="238" spans="1:18" x14ac:dyDescent="0.25">
      <c r="B238" s="47" t="s">
        <v>191</v>
      </c>
      <c r="C238" s="5"/>
      <c r="D238" s="145">
        <v>28.09</v>
      </c>
      <c r="E238" s="145">
        <f>D244</f>
        <v>28.09</v>
      </c>
      <c r="F238" s="145">
        <f t="shared" ref="F238:R238" si="140">E244</f>
        <v>28.09</v>
      </c>
      <c r="G238" s="145">
        <f t="shared" si="140"/>
        <v>28.09</v>
      </c>
      <c r="H238" s="145">
        <f t="shared" si="140"/>
        <v>28.09</v>
      </c>
      <c r="I238" s="145">
        <f t="shared" si="140"/>
        <v>28.09</v>
      </c>
      <c r="J238" s="145">
        <f t="shared" si="140"/>
        <v>28.09</v>
      </c>
      <c r="K238" s="145">
        <f t="shared" si="140"/>
        <v>28.09</v>
      </c>
      <c r="L238" s="145">
        <f t="shared" si="140"/>
        <v>28.09</v>
      </c>
      <c r="M238" s="145">
        <f t="shared" si="140"/>
        <v>28.09</v>
      </c>
      <c r="N238" s="145">
        <f t="shared" si="140"/>
        <v>28.09</v>
      </c>
      <c r="O238" s="145">
        <f t="shared" si="140"/>
        <v>28.09</v>
      </c>
      <c r="P238" s="145">
        <f t="shared" si="140"/>
        <v>28.09</v>
      </c>
      <c r="Q238" s="145">
        <f t="shared" si="140"/>
        <v>28.09</v>
      </c>
      <c r="R238" s="145">
        <f t="shared" si="140"/>
        <v>28.09</v>
      </c>
    </row>
    <row r="239" spans="1:18" x14ac:dyDescent="0.25">
      <c r="B239" t="s">
        <v>190</v>
      </c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</row>
    <row r="240" spans="1:18" x14ac:dyDescent="0.25">
      <c r="B240" t="s">
        <v>192</v>
      </c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</row>
    <row r="241" spans="1:18" x14ac:dyDescent="0.25">
      <c r="B241" t="s">
        <v>193</v>
      </c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</row>
    <row r="242" spans="1:18" x14ac:dyDescent="0.25">
      <c r="B242" t="s">
        <v>198</v>
      </c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</row>
    <row r="243" spans="1:18" x14ac:dyDescent="0.25">
      <c r="B243" t="s">
        <v>194</v>
      </c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</row>
    <row r="244" spans="1:18" x14ac:dyDescent="0.25">
      <c r="B244" s="47" t="s">
        <v>195</v>
      </c>
      <c r="C244" s="9"/>
      <c r="D244" s="145">
        <f t="shared" ref="D244:R244" si="141">SUM(D238:D243)</f>
        <v>28.09</v>
      </c>
      <c r="E244" s="145">
        <f t="shared" si="141"/>
        <v>28.09</v>
      </c>
      <c r="F244" s="145">
        <f t="shared" si="141"/>
        <v>28.09</v>
      </c>
      <c r="G244" s="145">
        <f t="shared" si="141"/>
        <v>28.09</v>
      </c>
      <c r="H244" s="145">
        <f t="shared" si="141"/>
        <v>28.09</v>
      </c>
      <c r="I244" s="145">
        <f t="shared" si="141"/>
        <v>28.09</v>
      </c>
      <c r="J244" s="145">
        <f t="shared" si="141"/>
        <v>28.09</v>
      </c>
      <c r="K244" s="145">
        <f t="shared" si="141"/>
        <v>28.09</v>
      </c>
      <c r="L244" s="145">
        <f t="shared" si="141"/>
        <v>28.09</v>
      </c>
      <c r="M244" s="145">
        <f t="shared" si="141"/>
        <v>28.09</v>
      </c>
      <c r="N244" s="145">
        <f t="shared" si="141"/>
        <v>28.09</v>
      </c>
      <c r="O244" s="145">
        <f t="shared" si="141"/>
        <v>28.09</v>
      </c>
      <c r="P244" s="145">
        <f t="shared" si="141"/>
        <v>28.09</v>
      </c>
      <c r="Q244" s="145">
        <f t="shared" si="141"/>
        <v>28.09</v>
      </c>
      <c r="R244" s="145">
        <f t="shared" si="141"/>
        <v>28.09</v>
      </c>
    </row>
    <row r="245" spans="1:18" x14ac:dyDescent="0.25">
      <c r="B245" s="46" t="s">
        <v>196</v>
      </c>
      <c r="D245" s="116">
        <v>0</v>
      </c>
      <c r="E245" s="116"/>
      <c r="F245" s="116"/>
      <c r="G245" s="116"/>
      <c r="H245" s="116"/>
      <c r="I245" s="116">
        <f t="shared" ref="I245:R245" si="142">SUM(H245:H251)-H246</f>
        <v>0</v>
      </c>
      <c r="J245" s="116">
        <f t="shared" si="142"/>
        <v>0</v>
      </c>
      <c r="K245" s="116">
        <f t="shared" si="142"/>
        <v>0</v>
      </c>
      <c r="L245" s="116">
        <f t="shared" si="142"/>
        <v>0</v>
      </c>
      <c r="M245" s="116">
        <f t="shared" si="142"/>
        <v>0</v>
      </c>
      <c r="N245" s="116">
        <f t="shared" si="142"/>
        <v>0</v>
      </c>
      <c r="O245" s="116">
        <f t="shared" si="142"/>
        <v>0</v>
      </c>
      <c r="P245" s="116">
        <f t="shared" si="142"/>
        <v>0</v>
      </c>
      <c r="Q245" s="116">
        <f t="shared" si="142"/>
        <v>0</v>
      </c>
      <c r="R245" s="116">
        <f t="shared" si="142"/>
        <v>0</v>
      </c>
    </row>
    <row r="246" spans="1:18" x14ac:dyDescent="0.25">
      <c r="B246" s="46" t="s">
        <v>220</v>
      </c>
      <c r="D246" s="116">
        <v>6.07</v>
      </c>
      <c r="E246" s="116">
        <v>6.07</v>
      </c>
      <c r="F246" s="116">
        <v>6.07</v>
      </c>
      <c r="G246" s="116">
        <v>6.07</v>
      </c>
      <c r="H246" s="116">
        <v>6.07</v>
      </c>
      <c r="I246" s="116">
        <f>H246</f>
        <v>6.07</v>
      </c>
      <c r="J246" s="116">
        <f t="shared" ref="J246:R246" si="143">I246</f>
        <v>6.07</v>
      </c>
      <c r="K246" s="116">
        <f t="shared" si="143"/>
        <v>6.07</v>
      </c>
      <c r="L246" s="116">
        <f t="shared" si="143"/>
        <v>6.07</v>
      </c>
      <c r="M246" s="116">
        <f t="shared" si="143"/>
        <v>6.07</v>
      </c>
      <c r="N246" s="116">
        <f t="shared" si="143"/>
        <v>6.07</v>
      </c>
      <c r="O246" s="116">
        <f t="shared" si="143"/>
        <v>6.07</v>
      </c>
      <c r="P246" s="116">
        <f t="shared" si="143"/>
        <v>6.07</v>
      </c>
      <c r="Q246" s="116">
        <f t="shared" si="143"/>
        <v>6.07</v>
      </c>
      <c r="R246" s="116">
        <f t="shared" si="143"/>
        <v>6.07</v>
      </c>
    </row>
    <row r="247" spans="1:18" x14ac:dyDescent="0.25">
      <c r="B247" t="s">
        <v>221</v>
      </c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</row>
    <row r="248" spans="1:18" x14ac:dyDescent="0.25">
      <c r="B248" t="s">
        <v>198</v>
      </c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</row>
    <row r="249" spans="1:18" x14ac:dyDescent="0.25">
      <c r="B249" t="s">
        <v>194</v>
      </c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</row>
    <row r="250" spans="1:18" x14ac:dyDescent="0.25">
      <c r="B250" t="s">
        <v>193</v>
      </c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</row>
    <row r="251" spans="1:18" x14ac:dyDescent="0.25">
      <c r="B251" t="s">
        <v>192</v>
      </c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</row>
    <row r="252" spans="1:18" x14ac:dyDescent="0.25">
      <c r="B252" s="47" t="s">
        <v>197</v>
      </c>
      <c r="C252" s="9"/>
      <c r="D252" s="145">
        <f t="shared" ref="D252:R252" si="144">D244-SUM(D245:D251)</f>
        <v>22.02</v>
      </c>
      <c r="E252" s="145">
        <f t="shared" si="144"/>
        <v>22.02</v>
      </c>
      <c r="F252" s="145">
        <f t="shared" si="144"/>
        <v>22.02</v>
      </c>
      <c r="G252" s="145">
        <f t="shared" si="144"/>
        <v>22.02</v>
      </c>
      <c r="H252" s="145">
        <f t="shared" si="144"/>
        <v>22.02</v>
      </c>
      <c r="I252" s="145">
        <f t="shared" si="144"/>
        <v>22.02</v>
      </c>
      <c r="J252" s="145">
        <f t="shared" si="144"/>
        <v>22.02</v>
      </c>
      <c r="K252" s="145">
        <f t="shared" si="144"/>
        <v>22.02</v>
      </c>
      <c r="L252" s="145">
        <f t="shared" si="144"/>
        <v>22.02</v>
      </c>
      <c r="M252" s="145">
        <f t="shared" si="144"/>
        <v>22.02</v>
      </c>
      <c r="N252" s="145">
        <f t="shared" si="144"/>
        <v>22.02</v>
      </c>
      <c r="O252" s="145">
        <f t="shared" si="144"/>
        <v>22.02</v>
      </c>
      <c r="P252" s="145">
        <f t="shared" si="144"/>
        <v>22.02</v>
      </c>
      <c r="Q252" s="145">
        <f t="shared" si="144"/>
        <v>22.02</v>
      </c>
      <c r="R252" s="145">
        <f t="shared" si="144"/>
        <v>22.02</v>
      </c>
    </row>
    <row r="253" spans="1:18" x14ac:dyDescent="0.25"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</row>
    <row r="254" spans="1:18" x14ac:dyDescent="0.25">
      <c r="A254" t="s">
        <v>207</v>
      </c>
      <c r="B254" s="1" t="s">
        <v>215</v>
      </c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</row>
    <row r="255" spans="1:18" x14ac:dyDescent="0.25">
      <c r="B255" s="47" t="s">
        <v>191</v>
      </c>
      <c r="C255" s="5"/>
      <c r="D255" s="145">
        <v>6.58</v>
      </c>
      <c r="E255" s="145">
        <f>D255</f>
        <v>6.58</v>
      </c>
      <c r="F255" s="145">
        <f t="shared" ref="F255:R255" si="145">E255</f>
        <v>6.58</v>
      </c>
      <c r="G255" s="145">
        <f t="shared" si="145"/>
        <v>6.58</v>
      </c>
      <c r="H255" s="145">
        <f t="shared" si="145"/>
        <v>6.58</v>
      </c>
      <c r="I255" s="145">
        <f t="shared" si="145"/>
        <v>6.58</v>
      </c>
      <c r="J255" s="145">
        <f t="shared" si="145"/>
        <v>6.58</v>
      </c>
      <c r="K255" s="145">
        <f t="shared" si="145"/>
        <v>6.58</v>
      </c>
      <c r="L255" s="145">
        <f t="shared" si="145"/>
        <v>6.58</v>
      </c>
      <c r="M255" s="145">
        <f t="shared" si="145"/>
        <v>6.58</v>
      </c>
      <c r="N255" s="145">
        <f t="shared" si="145"/>
        <v>6.58</v>
      </c>
      <c r="O255" s="145">
        <f t="shared" si="145"/>
        <v>6.58</v>
      </c>
      <c r="P255" s="145">
        <f t="shared" si="145"/>
        <v>6.58</v>
      </c>
      <c r="Q255" s="145">
        <f t="shared" si="145"/>
        <v>6.58</v>
      </c>
      <c r="R255" s="145">
        <f t="shared" si="145"/>
        <v>6.58</v>
      </c>
    </row>
    <row r="256" spans="1:18" x14ac:dyDescent="0.25">
      <c r="B256" t="s">
        <v>190</v>
      </c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</row>
    <row r="257" spans="1:18" x14ac:dyDescent="0.25">
      <c r="B257" t="s">
        <v>192</v>
      </c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</row>
    <row r="258" spans="1:18" x14ac:dyDescent="0.25">
      <c r="B258" t="s">
        <v>193</v>
      </c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</row>
    <row r="259" spans="1:18" x14ac:dyDescent="0.25">
      <c r="B259" t="s">
        <v>198</v>
      </c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</row>
    <row r="260" spans="1:18" x14ac:dyDescent="0.25">
      <c r="B260" t="s">
        <v>194</v>
      </c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</row>
    <row r="261" spans="1:18" x14ac:dyDescent="0.25">
      <c r="B261" s="47" t="s">
        <v>195</v>
      </c>
      <c r="C261" s="9"/>
      <c r="D261" s="145">
        <f t="shared" ref="D261:R261" si="146">SUM(D255:D260)</f>
        <v>6.58</v>
      </c>
      <c r="E261" s="145">
        <f t="shared" si="146"/>
        <v>6.58</v>
      </c>
      <c r="F261" s="145">
        <f t="shared" si="146"/>
        <v>6.58</v>
      </c>
      <c r="G261" s="145">
        <f t="shared" si="146"/>
        <v>6.58</v>
      </c>
      <c r="H261" s="145">
        <f t="shared" si="146"/>
        <v>6.58</v>
      </c>
      <c r="I261" s="145">
        <f t="shared" si="146"/>
        <v>6.58</v>
      </c>
      <c r="J261" s="145">
        <f t="shared" si="146"/>
        <v>6.58</v>
      </c>
      <c r="K261" s="145">
        <f t="shared" si="146"/>
        <v>6.58</v>
      </c>
      <c r="L261" s="145">
        <f t="shared" si="146"/>
        <v>6.58</v>
      </c>
      <c r="M261" s="145">
        <f t="shared" si="146"/>
        <v>6.58</v>
      </c>
      <c r="N261" s="145">
        <f t="shared" si="146"/>
        <v>6.58</v>
      </c>
      <c r="O261" s="145">
        <f t="shared" si="146"/>
        <v>6.58</v>
      </c>
      <c r="P261" s="145">
        <f t="shared" si="146"/>
        <v>6.58</v>
      </c>
      <c r="Q261" s="145">
        <f t="shared" si="146"/>
        <v>6.58</v>
      </c>
      <c r="R261" s="145">
        <f t="shared" si="146"/>
        <v>6.58</v>
      </c>
    </row>
    <row r="262" spans="1:18" x14ac:dyDescent="0.25">
      <c r="B262" s="46" t="s">
        <v>196</v>
      </c>
      <c r="D262" s="116">
        <v>0</v>
      </c>
      <c r="E262" s="116"/>
      <c r="F262" s="116"/>
      <c r="G262" s="116"/>
      <c r="H262" s="116"/>
      <c r="I262" s="116">
        <f t="shared" ref="I262:R262" si="147">SUM(H262:H268)-H263</f>
        <v>0</v>
      </c>
      <c r="J262" s="116">
        <f t="shared" si="147"/>
        <v>0</v>
      </c>
      <c r="K262" s="116">
        <f t="shared" si="147"/>
        <v>0</v>
      </c>
      <c r="L262" s="116">
        <f t="shared" si="147"/>
        <v>0</v>
      </c>
      <c r="M262" s="116">
        <f t="shared" si="147"/>
        <v>0</v>
      </c>
      <c r="N262" s="116">
        <f t="shared" si="147"/>
        <v>0</v>
      </c>
      <c r="O262" s="116">
        <f t="shared" si="147"/>
        <v>0</v>
      </c>
      <c r="P262" s="116">
        <f t="shared" si="147"/>
        <v>0</v>
      </c>
      <c r="Q262" s="116">
        <f t="shared" si="147"/>
        <v>0</v>
      </c>
      <c r="R262" s="116">
        <f t="shared" si="147"/>
        <v>0</v>
      </c>
    </row>
    <row r="263" spans="1:18" x14ac:dyDescent="0.25">
      <c r="B263" s="46" t="s">
        <v>220</v>
      </c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</row>
    <row r="264" spans="1:18" x14ac:dyDescent="0.25">
      <c r="B264" t="s">
        <v>221</v>
      </c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</row>
    <row r="265" spans="1:18" x14ac:dyDescent="0.25">
      <c r="B265" t="s">
        <v>198</v>
      </c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</row>
    <row r="266" spans="1:18" x14ac:dyDescent="0.25">
      <c r="B266" t="s">
        <v>194</v>
      </c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</row>
    <row r="267" spans="1:18" x14ac:dyDescent="0.25">
      <c r="B267" t="s">
        <v>193</v>
      </c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</row>
    <row r="268" spans="1:18" x14ac:dyDescent="0.25">
      <c r="B268" t="s">
        <v>192</v>
      </c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</row>
    <row r="269" spans="1:18" x14ac:dyDescent="0.25">
      <c r="B269" s="47" t="s">
        <v>197</v>
      </c>
      <c r="C269" s="9"/>
      <c r="D269" s="145">
        <f t="shared" ref="D269:R269" si="148">D261-SUM(D262:D268)</f>
        <v>6.58</v>
      </c>
      <c r="E269" s="145">
        <f t="shared" si="148"/>
        <v>6.58</v>
      </c>
      <c r="F269" s="145">
        <f t="shared" si="148"/>
        <v>6.58</v>
      </c>
      <c r="G269" s="145">
        <f t="shared" si="148"/>
        <v>6.58</v>
      </c>
      <c r="H269" s="145">
        <f t="shared" si="148"/>
        <v>6.58</v>
      </c>
      <c r="I269" s="145">
        <f t="shared" si="148"/>
        <v>6.58</v>
      </c>
      <c r="J269" s="145">
        <f t="shared" si="148"/>
        <v>6.58</v>
      </c>
      <c r="K269" s="145">
        <f t="shared" si="148"/>
        <v>6.58</v>
      </c>
      <c r="L269" s="145">
        <f t="shared" si="148"/>
        <v>6.58</v>
      </c>
      <c r="M269" s="145">
        <f t="shared" si="148"/>
        <v>6.58</v>
      </c>
      <c r="N269" s="145">
        <f t="shared" si="148"/>
        <v>6.58</v>
      </c>
      <c r="O269" s="145">
        <f t="shared" si="148"/>
        <v>6.58</v>
      </c>
      <c r="P269" s="145">
        <f t="shared" si="148"/>
        <v>6.58</v>
      </c>
      <c r="Q269" s="145">
        <f t="shared" si="148"/>
        <v>6.58</v>
      </c>
      <c r="R269" s="145">
        <f t="shared" si="148"/>
        <v>6.58</v>
      </c>
    </row>
    <row r="270" spans="1:18" x14ac:dyDescent="0.25"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</row>
    <row r="271" spans="1:18" x14ac:dyDescent="0.25">
      <c r="A271" t="s">
        <v>207</v>
      </c>
      <c r="B271" s="48" t="s">
        <v>216</v>
      </c>
      <c r="C271" s="49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</row>
    <row r="272" spans="1:18" x14ac:dyDescent="0.25">
      <c r="B272" s="47" t="s">
        <v>191</v>
      </c>
      <c r="C272" s="5"/>
      <c r="D272" s="145">
        <f>D255+D238+D221+D204+D187+D170</f>
        <v>72.73</v>
      </c>
      <c r="E272" s="145">
        <f>E255+E238+E221+E204+E187+E170</f>
        <v>74.039999999999992</v>
      </c>
      <c r="F272" s="145">
        <f>F255+F238+F221+F204+F187+F170</f>
        <v>81.25</v>
      </c>
      <c r="G272" s="145">
        <f>G255+G238+G221+G204+G187+G170</f>
        <v>95.039999999999992</v>
      </c>
      <c r="H272" s="145">
        <f>H255+H238+H221+H204+H187+H170</f>
        <v>95.32</v>
      </c>
      <c r="I272" s="145">
        <f t="shared" ref="I272:R272" si="149">I255+I238+I221+I204+I187+I170</f>
        <v>100.80000000000001</v>
      </c>
      <c r="J272" s="145">
        <f t="shared" si="149"/>
        <v>107.678</v>
      </c>
      <c r="K272" s="145">
        <f t="shared" si="149"/>
        <v>115.17419999999998</v>
      </c>
      <c r="L272" s="145">
        <f t="shared" si="149"/>
        <v>123.35041999999999</v>
      </c>
      <c r="M272" s="145">
        <f t="shared" si="149"/>
        <v>132.27466199999998</v>
      </c>
      <c r="N272" s="145">
        <f t="shared" si="149"/>
        <v>142.02172819999998</v>
      </c>
      <c r="O272" s="145">
        <f t="shared" si="149"/>
        <v>152.67390101999999</v>
      </c>
      <c r="P272" s="145">
        <f t="shared" si="149"/>
        <v>164.32169112199998</v>
      </c>
      <c r="Q272" s="145">
        <f t="shared" si="149"/>
        <v>177.06466023420001</v>
      </c>
      <c r="R272" s="145">
        <f t="shared" si="149"/>
        <v>191.01232625762003</v>
      </c>
    </row>
    <row r="273" spans="2:18" x14ac:dyDescent="0.25">
      <c r="B273" t="s">
        <v>190</v>
      </c>
      <c r="D273" s="116">
        <f t="shared" ref="D273:H286" si="150">D256+D239+D222+D205+D188+D171</f>
        <v>1.42</v>
      </c>
      <c r="E273" s="116">
        <f t="shared" si="150"/>
        <v>7.71</v>
      </c>
      <c r="F273" s="116">
        <f t="shared" si="150"/>
        <v>14.2</v>
      </c>
      <c r="G273" s="116">
        <f t="shared" si="150"/>
        <v>1.68</v>
      </c>
      <c r="H273" s="116">
        <f t="shared" si="150"/>
        <v>5.62</v>
      </c>
      <c r="I273" s="116">
        <f t="shared" ref="I273:R273" si="151">I256+I239+I222+I205+I188+I171</f>
        <v>6.1820000000000004</v>
      </c>
      <c r="J273" s="116">
        <f t="shared" si="151"/>
        <v>6.8002000000000011</v>
      </c>
      <c r="K273" s="116">
        <f t="shared" si="151"/>
        <v>7.4802200000000019</v>
      </c>
      <c r="L273" s="116">
        <f t="shared" si="151"/>
        <v>8.2282420000000034</v>
      </c>
      <c r="M273" s="116">
        <f t="shared" si="151"/>
        <v>9.0510662000000046</v>
      </c>
      <c r="N273" s="116">
        <f t="shared" si="151"/>
        <v>9.9561728200000061</v>
      </c>
      <c r="O273" s="116">
        <f t="shared" si="151"/>
        <v>10.951790102000007</v>
      </c>
      <c r="P273" s="116">
        <f t="shared" si="151"/>
        <v>12.04696911220001</v>
      </c>
      <c r="Q273" s="116">
        <f t="shared" si="151"/>
        <v>13.251666023420013</v>
      </c>
      <c r="R273" s="116">
        <f t="shared" si="151"/>
        <v>14.576832625762016</v>
      </c>
    </row>
    <row r="274" spans="2:18" x14ac:dyDescent="0.25">
      <c r="B274" t="s">
        <v>192</v>
      </c>
      <c r="D274" s="116">
        <f t="shared" si="150"/>
        <v>0</v>
      </c>
      <c r="E274" s="116">
        <f t="shared" si="150"/>
        <v>0</v>
      </c>
      <c r="F274" s="116">
        <f t="shared" si="150"/>
        <v>0</v>
      </c>
      <c r="G274" s="116">
        <f t="shared" si="150"/>
        <v>0</v>
      </c>
      <c r="H274" s="116">
        <f t="shared" si="150"/>
        <v>1.52</v>
      </c>
      <c r="I274" s="116">
        <f t="shared" ref="I274:R274" si="152">I257+I240+I223+I206+I189+I172</f>
        <v>1.52</v>
      </c>
      <c r="J274" s="116">
        <f t="shared" si="152"/>
        <v>1.52</v>
      </c>
      <c r="K274" s="116">
        <f t="shared" si="152"/>
        <v>1.52</v>
      </c>
      <c r="L274" s="116">
        <f t="shared" si="152"/>
        <v>1.52</v>
      </c>
      <c r="M274" s="116">
        <f t="shared" si="152"/>
        <v>1.52</v>
      </c>
      <c r="N274" s="116">
        <f t="shared" si="152"/>
        <v>1.52</v>
      </c>
      <c r="O274" s="116">
        <f t="shared" si="152"/>
        <v>1.52</v>
      </c>
      <c r="P274" s="116">
        <f t="shared" si="152"/>
        <v>1.52</v>
      </c>
      <c r="Q274" s="116">
        <f t="shared" si="152"/>
        <v>1.52</v>
      </c>
      <c r="R274" s="116">
        <f t="shared" si="152"/>
        <v>1.52</v>
      </c>
    </row>
    <row r="275" spans="2:18" x14ac:dyDescent="0.25">
      <c r="B275" t="s">
        <v>193</v>
      </c>
      <c r="D275" s="116">
        <f t="shared" si="150"/>
        <v>0</v>
      </c>
      <c r="E275" s="116">
        <f t="shared" si="150"/>
        <v>0</v>
      </c>
      <c r="F275" s="116">
        <f t="shared" si="150"/>
        <v>0</v>
      </c>
      <c r="G275" s="116">
        <f t="shared" si="150"/>
        <v>0</v>
      </c>
      <c r="H275" s="116">
        <f t="shared" si="150"/>
        <v>0</v>
      </c>
      <c r="I275" s="116">
        <f t="shared" ref="I275:R275" si="153">I258+I241+I224+I207+I190+I173</f>
        <v>0</v>
      </c>
      <c r="J275" s="116">
        <f t="shared" si="153"/>
        <v>0</v>
      </c>
      <c r="K275" s="116">
        <f t="shared" si="153"/>
        <v>0</v>
      </c>
      <c r="L275" s="116">
        <f t="shared" si="153"/>
        <v>0</v>
      </c>
      <c r="M275" s="116">
        <f t="shared" si="153"/>
        <v>0</v>
      </c>
      <c r="N275" s="116">
        <f t="shared" si="153"/>
        <v>0</v>
      </c>
      <c r="O275" s="116">
        <f t="shared" si="153"/>
        <v>0</v>
      </c>
      <c r="P275" s="116">
        <f t="shared" si="153"/>
        <v>0</v>
      </c>
      <c r="Q275" s="116">
        <f t="shared" si="153"/>
        <v>0</v>
      </c>
      <c r="R275" s="116">
        <f t="shared" si="153"/>
        <v>0</v>
      </c>
    </row>
    <row r="276" spans="2:18" x14ac:dyDescent="0.25">
      <c r="B276" t="s">
        <v>198</v>
      </c>
      <c r="D276" s="116">
        <f t="shared" si="150"/>
        <v>-0.01</v>
      </c>
      <c r="E276" s="116">
        <f t="shared" si="150"/>
        <v>0</v>
      </c>
      <c r="F276" s="116">
        <f t="shared" si="150"/>
        <v>0</v>
      </c>
      <c r="G276" s="116">
        <f t="shared" si="150"/>
        <v>0</v>
      </c>
      <c r="H276" s="116">
        <f t="shared" si="150"/>
        <v>0</v>
      </c>
      <c r="I276" s="116">
        <f t="shared" ref="I276:R276" si="154">I259+I242+I225+I208+I191+I174</f>
        <v>-0.01</v>
      </c>
      <c r="J276" s="116">
        <f t="shared" si="154"/>
        <v>-0.01</v>
      </c>
      <c r="K276" s="116">
        <f t="shared" si="154"/>
        <v>-0.01</v>
      </c>
      <c r="L276" s="116">
        <f t="shared" si="154"/>
        <v>-0.01</v>
      </c>
      <c r="M276" s="116">
        <f t="shared" si="154"/>
        <v>-0.01</v>
      </c>
      <c r="N276" s="116">
        <f t="shared" si="154"/>
        <v>-0.01</v>
      </c>
      <c r="O276" s="116">
        <f t="shared" si="154"/>
        <v>-0.01</v>
      </c>
      <c r="P276" s="116">
        <f t="shared" si="154"/>
        <v>-0.01</v>
      </c>
      <c r="Q276" s="116">
        <f t="shared" si="154"/>
        <v>-0.01</v>
      </c>
      <c r="R276" s="116">
        <f t="shared" si="154"/>
        <v>-0.01</v>
      </c>
    </row>
    <row r="277" spans="2:18" x14ac:dyDescent="0.25">
      <c r="B277" t="s">
        <v>194</v>
      </c>
      <c r="D277" s="116">
        <f t="shared" si="150"/>
        <v>-0.1</v>
      </c>
      <c r="E277" s="116">
        <f t="shared" si="150"/>
        <v>-0.5</v>
      </c>
      <c r="F277" s="116">
        <f t="shared" si="150"/>
        <v>-0.41</v>
      </c>
      <c r="G277" s="116">
        <f t="shared" si="150"/>
        <v>-1.4</v>
      </c>
      <c r="H277" s="116">
        <f t="shared" si="150"/>
        <v>-1.66</v>
      </c>
      <c r="I277" s="116">
        <f t="shared" ref="I277:R277" si="155">I260+I243+I226+I209+I192+I175</f>
        <v>-0.81400000000000006</v>
      </c>
      <c r="J277" s="116">
        <f t="shared" si="155"/>
        <v>-0.81400000000000006</v>
      </c>
      <c r="K277" s="116">
        <f t="shared" si="155"/>
        <v>-0.81400000000000006</v>
      </c>
      <c r="L277" s="116">
        <f t="shared" si="155"/>
        <v>-0.81400000000000006</v>
      </c>
      <c r="M277" s="116">
        <f t="shared" si="155"/>
        <v>-0.81400000000000006</v>
      </c>
      <c r="N277" s="116">
        <f t="shared" si="155"/>
        <v>-0.81400000000000006</v>
      </c>
      <c r="O277" s="116">
        <f t="shared" si="155"/>
        <v>-0.81400000000000006</v>
      </c>
      <c r="P277" s="116">
        <f t="shared" si="155"/>
        <v>-0.81400000000000006</v>
      </c>
      <c r="Q277" s="116">
        <f t="shared" si="155"/>
        <v>-0.81400000000000006</v>
      </c>
      <c r="R277" s="116">
        <f t="shared" si="155"/>
        <v>-0.81400000000000006</v>
      </c>
    </row>
    <row r="278" spans="2:18" x14ac:dyDescent="0.25">
      <c r="B278" s="47" t="s">
        <v>195</v>
      </c>
      <c r="C278" s="5"/>
      <c r="D278" s="145">
        <f t="shared" si="150"/>
        <v>74.039999999999992</v>
      </c>
      <c r="E278" s="145">
        <f t="shared" si="150"/>
        <v>81.25</v>
      </c>
      <c r="F278" s="145">
        <f t="shared" si="150"/>
        <v>95.039999999999992</v>
      </c>
      <c r="G278" s="145">
        <f t="shared" si="150"/>
        <v>95.32</v>
      </c>
      <c r="H278" s="145">
        <f t="shared" si="150"/>
        <v>100.80000000000001</v>
      </c>
      <c r="I278" s="145">
        <f t="shared" ref="I278:R278" si="156">I261+I244+I227+I210+I193+I176</f>
        <v>107.678</v>
      </c>
      <c r="J278" s="145">
        <f t="shared" si="156"/>
        <v>115.17419999999998</v>
      </c>
      <c r="K278" s="145">
        <f t="shared" si="156"/>
        <v>123.35041999999999</v>
      </c>
      <c r="L278" s="145">
        <f t="shared" si="156"/>
        <v>132.27466199999998</v>
      </c>
      <c r="M278" s="145">
        <f t="shared" si="156"/>
        <v>142.02172819999998</v>
      </c>
      <c r="N278" s="145">
        <f t="shared" si="156"/>
        <v>152.67390101999999</v>
      </c>
      <c r="O278" s="145">
        <f t="shared" si="156"/>
        <v>164.32169112199998</v>
      </c>
      <c r="P278" s="145">
        <f t="shared" si="156"/>
        <v>177.06466023420001</v>
      </c>
      <c r="Q278" s="145">
        <f t="shared" si="156"/>
        <v>191.01232625762003</v>
      </c>
      <c r="R278" s="145">
        <f t="shared" si="156"/>
        <v>206.28515888338208</v>
      </c>
    </row>
    <row r="279" spans="2:18" x14ac:dyDescent="0.25">
      <c r="B279" s="46" t="s">
        <v>196</v>
      </c>
      <c r="D279" s="116">
        <f>D262+D245+D228+D211+D194+D177</f>
        <v>24.39</v>
      </c>
      <c r="E279" s="116">
        <f t="shared" si="150"/>
        <v>28.39</v>
      </c>
      <c r="F279" s="116">
        <f t="shared" si="150"/>
        <v>32.660000000000004</v>
      </c>
      <c r="G279" s="116">
        <f t="shared" si="150"/>
        <v>37.76</v>
      </c>
      <c r="H279" s="116">
        <f t="shared" si="150"/>
        <v>41.88</v>
      </c>
      <c r="I279" s="116">
        <f t="shared" ref="I279:R279" si="157">I262+I245+I228+I211+I194+I177</f>
        <v>48.640000000000008</v>
      </c>
      <c r="J279" s="116">
        <f t="shared" si="157"/>
        <v>54.704000000000015</v>
      </c>
      <c r="K279" s="116">
        <f t="shared" si="157"/>
        <v>60.768000000000022</v>
      </c>
      <c r="L279" s="116">
        <f t="shared" si="157"/>
        <v>66.832000000000008</v>
      </c>
      <c r="M279" s="116">
        <f t="shared" si="157"/>
        <v>72.896000000000001</v>
      </c>
      <c r="N279" s="116">
        <f t="shared" si="157"/>
        <v>78.959999999999994</v>
      </c>
      <c r="O279" s="116">
        <f t="shared" si="157"/>
        <v>85.023999999999987</v>
      </c>
      <c r="P279" s="116">
        <f t="shared" si="157"/>
        <v>91.08799999999998</v>
      </c>
      <c r="Q279" s="116">
        <f t="shared" si="157"/>
        <v>97.151999999999973</v>
      </c>
      <c r="R279" s="116">
        <f t="shared" si="157"/>
        <v>103.21599999999997</v>
      </c>
    </row>
    <row r="280" spans="2:18" x14ac:dyDescent="0.25">
      <c r="B280" s="46" t="s">
        <v>220</v>
      </c>
      <c r="D280" s="116">
        <f t="shared" si="150"/>
        <v>6.07</v>
      </c>
      <c r="E280" s="116">
        <f t="shared" si="150"/>
        <v>6.07</v>
      </c>
      <c r="F280" s="116">
        <f t="shared" si="150"/>
        <v>6.07</v>
      </c>
      <c r="G280" s="116">
        <f t="shared" si="150"/>
        <v>6.07</v>
      </c>
      <c r="H280" s="116">
        <f t="shared" si="150"/>
        <v>6.07</v>
      </c>
      <c r="I280" s="116">
        <f t="shared" ref="I280:R280" si="158">I263+I246+I229+I212+I195+I178</f>
        <v>6.07</v>
      </c>
      <c r="J280" s="116">
        <f t="shared" si="158"/>
        <v>6.07</v>
      </c>
      <c r="K280" s="116">
        <f t="shared" si="158"/>
        <v>6.07</v>
      </c>
      <c r="L280" s="116">
        <f t="shared" si="158"/>
        <v>6.07</v>
      </c>
      <c r="M280" s="116">
        <f t="shared" si="158"/>
        <v>6.07</v>
      </c>
      <c r="N280" s="116">
        <f t="shared" si="158"/>
        <v>6.07</v>
      </c>
      <c r="O280" s="116">
        <f t="shared" si="158"/>
        <v>6.07</v>
      </c>
      <c r="P280" s="116">
        <f t="shared" si="158"/>
        <v>6.07</v>
      </c>
      <c r="Q280" s="116">
        <f t="shared" si="158"/>
        <v>6.07</v>
      </c>
      <c r="R280" s="116">
        <f t="shared" si="158"/>
        <v>6.07</v>
      </c>
    </row>
    <row r="281" spans="2:18" x14ac:dyDescent="0.25">
      <c r="B281" t="s">
        <v>221</v>
      </c>
      <c r="D281" s="116">
        <f t="shared" si="150"/>
        <v>4.05</v>
      </c>
      <c r="E281" s="116">
        <f t="shared" si="150"/>
        <v>4.5999999999999996</v>
      </c>
      <c r="F281" s="116">
        <f t="shared" si="150"/>
        <v>5.33</v>
      </c>
      <c r="G281" s="116">
        <f t="shared" si="150"/>
        <v>5.44</v>
      </c>
      <c r="H281" s="116">
        <f t="shared" si="150"/>
        <v>5.73</v>
      </c>
      <c r="I281" s="116">
        <f t="shared" ref="I281:R281" si="159">I264+I247+I230+I213+I196+I179</f>
        <v>5.0299999999999994</v>
      </c>
      <c r="J281" s="116">
        <f t="shared" si="159"/>
        <v>5.0299999999999994</v>
      </c>
      <c r="K281" s="116">
        <f t="shared" si="159"/>
        <v>5.0299999999999994</v>
      </c>
      <c r="L281" s="116">
        <f t="shared" si="159"/>
        <v>5.0299999999999994</v>
      </c>
      <c r="M281" s="116">
        <f t="shared" si="159"/>
        <v>5.0299999999999994</v>
      </c>
      <c r="N281" s="116">
        <f t="shared" si="159"/>
        <v>5.0299999999999994</v>
      </c>
      <c r="O281" s="116">
        <f t="shared" si="159"/>
        <v>5.0299999999999994</v>
      </c>
      <c r="P281" s="116">
        <f t="shared" si="159"/>
        <v>5.0299999999999994</v>
      </c>
      <c r="Q281" s="116">
        <f t="shared" si="159"/>
        <v>5.0299999999999994</v>
      </c>
      <c r="R281" s="116">
        <f t="shared" si="159"/>
        <v>5.0299999999999994</v>
      </c>
    </row>
    <row r="282" spans="2:18" x14ac:dyDescent="0.25">
      <c r="B282" t="s">
        <v>198</v>
      </c>
      <c r="D282" s="116">
        <f t="shared" si="150"/>
        <v>0</v>
      </c>
      <c r="E282" s="116">
        <f t="shared" si="150"/>
        <v>0</v>
      </c>
      <c r="F282" s="116">
        <f t="shared" si="150"/>
        <v>0</v>
      </c>
      <c r="G282" s="116">
        <f t="shared" si="150"/>
        <v>0</v>
      </c>
      <c r="H282" s="116">
        <f t="shared" si="150"/>
        <v>0</v>
      </c>
      <c r="I282" s="116">
        <f t="shared" ref="I282:R282" si="160">I265+I248+I231+I214+I197+I180</f>
        <v>0</v>
      </c>
      <c r="J282" s="116">
        <f t="shared" si="160"/>
        <v>0</v>
      </c>
      <c r="K282" s="116">
        <f t="shared" si="160"/>
        <v>0</v>
      </c>
      <c r="L282" s="116">
        <f t="shared" si="160"/>
        <v>0</v>
      </c>
      <c r="M282" s="116">
        <f t="shared" si="160"/>
        <v>0</v>
      </c>
      <c r="N282" s="116">
        <f t="shared" si="160"/>
        <v>0</v>
      </c>
      <c r="O282" s="116">
        <f t="shared" si="160"/>
        <v>0</v>
      </c>
      <c r="P282" s="116">
        <f t="shared" si="160"/>
        <v>0</v>
      </c>
      <c r="Q282" s="116">
        <f t="shared" si="160"/>
        <v>0</v>
      </c>
      <c r="R282" s="116">
        <f t="shared" si="160"/>
        <v>0</v>
      </c>
    </row>
    <row r="283" spans="2:18" x14ac:dyDescent="0.25">
      <c r="B283" t="s">
        <v>194</v>
      </c>
      <c r="D283" s="116">
        <f t="shared" si="150"/>
        <v>-0.05</v>
      </c>
      <c r="E283" s="116">
        <f t="shared" si="150"/>
        <v>-0.34</v>
      </c>
      <c r="F283" s="116">
        <f t="shared" si="150"/>
        <v>-0.23</v>
      </c>
      <c r="G283" s="116">
        <f t="shared" si="150"/>
        <v>-1.32</v>
      </c>
      <c r="H283" s="116">
        <f t="shared" si="150"/>
        <v>-0.49</v>
      </c>
      <c r="I283" s="116">
        <f t="shared" ref="I283:R283" si="161">I266+I249+I232+I215+I198+I181</f>
        <v>-0.48599999999999993</v>
      </c>
      <c r="J283" s="116">
        <f t="shared" si="161"/>
        <v>-0.48599999999999993</v>
      </c>
      <c r="K283" s="116">
        <f t="shared" si="161"/>
        <v>-0.48599999999999993</v>
      </c>
      <c r="L283" s="116">
        <f t="shared" si="161"/>
        <v>-0.48599999999999993</v>
      </c>
      <c r="M283" s="116">
        <f t="shared" si="161"/>
        <v>-0.48599999999999993</v>
      </c>
      <c r="N283" s="116">
        <f t="shared" si="161"/>
        <v>-0.48599999999999993</v>
      </c>
      <c r="O283" s="116">
        <f t="shared" si="161"/>
        <v>-0.48599999999999993</v>
      </c>
      <c r="P283" s="116">
        <f t="shared" si="161"/>
        <v>-0.48599999999999993</v>
      </c>
      <c r="Q283" s="116">
        <f t="shared" si="161"/>
        <v>-0.48599999999999993</v>
      </c>
      <c r="R283" s="116">
        <f t="shared" si="161"/>
        <v>-0.48599999999999993</v>
      </c>
    </row>
    <row r="284" spans="2:18" x14ac:dyDescent="0.25">
      <c r="B284" t="s">
        <v>193</v>
      </c>
      <c r="D284" s="116">
        <f t="shared" si="150"/>
        <v>0</v>
      </c>
      <c r="E284" s="116">
        <f t="shared" si="150"/>
        <v>0</v>
      </c>
      <c r="F284" s="116">
        <f t="shared" si="150"/>
        <v>0</v>
      </c>
      <c r="G284" s="116">
        <f t="shared" si="150"/>
        <v>0</v>
      </c>
      <c r="H284" s="116">
        <f t="shared" si="150"/>
        <v>0</v>
      </c>
      <c r="I284" s="116">
        <f t="shared" ref="I284:R284" si="162">I267+I250+I233+I216+I199+I182</f>
        <v>0</v>
      </c>
      <c r="J284" s="116">
        <f t="shared" si="162"/>
        <v>0</v>
      </c>
      <c r="K284" s="116">
        <f t="shared" si="162"/>
        <v>0</v>
      </c>
      <c r="L284" s="116">
        <f t="shared" si="162"/>
        <v>0</v>
      </c>
      <c r="M284" s="116">
        <f t="shared" si="162"/>
        <v>0</v>
      </c>
      <c r="N284" s="116">
        <f t="shared" si="162"/>
        <v>0</v>
      </c>
      <c r="O284" s="116">
        <f t="shared" si="162"/>
        <v>0</v>
      </c>
      <c r="P284" s="116">
        <f t="shared" si="162"/>
        <v>0</v>
      </c>
      <c r="Q284" s="116">
        <f t="shared" si="162"/>
        <v>0</v>
      </c>
      <c r="R284" s="116">
        <f t="shared" si="162"/>
        <v>0</v>
      </c>
    </row>
    <row r="285" spans="2:18" x14ac:dyDescent="0.25">
      <c r="B285" t="s">
        <v>192</v>
      </c>
      <c r="D285" s="116">
        <f t="shared" si="150"/>
        <v>0</v>
      </c>
      <c r="E285" s="116">
        <f t="shared" si="150"/>
        <v>0</v>
      </c>
      <c r="F285" s="116">
        <f t="shared" si="150"/>
        <v>0</v>
      </c>
      <c r="G285" s="116">
        <f t="shared" si="150"/>
        <v>0</v>
      </c>
      <c r="H285" s="116">
        <f t="shared" si="150"/>
        <v>1.52</v>
      </c>
      <c r="I285" s="116">
        <f t="shared" ref="I285:R285" si="163">I268+I251+I234+I217+I200+I183</f>
        <v>1.52</v>
      </c>
      <c r="J285" s="116">
        <f t="shared" si="163"/>
        <v>1.52</v>
      </c>
      <c r="K285" s="116">
        <f t="shared" si="163"/>
        <v>1.52</v>
      </c>
      <c r="L285" s="116">
        <f t="shared" si="163"/>
        <v>1.52</v>
      </c>
      <c r="M285" s="116">
        <f t="shared" si="163"/>
        <v>1.52</v>
      </c>
      <c r="N285" s="116">
        <f t="shared" si="163"/>
        <v>1.52</v>
      </c>
      <c r="O285" s="116">
        <f t="shared" si="163"/>
        <v>1.52</v>
      </c>
      <c r="P285" s="116">
        <f t="shared" si="163"/>
        <v>1.52</v>
      </c>
      <c r="Q285" s="116">
        <f t="shared" si="163"/>
        <v>1.52</v>
      </c>
      <c r="R285" s="116">
        <f t="shared" si="163"/>
        <v>1.52</v>
      </c>
    </row>
    <row r="286" spans="2:18" x14ac:dyDescent="0.25">
      <c r="B286" s="47" t="s">
        <v>197</v>
      </c>
      <c r="C286" s="5"/>
      <c r="D286" s="145">
        <f t="shared" si="150"/>
        <v>39.58</v>
      </c>
      <c r="E286" s="145">
        <f t="shared" si="150"/>
        <v>42.53</v>
      </c>
      <c r="F286" s="145">
        <f t="shared" si="150"/>
        <v>51.209999999999994</v>
      </c>
      <c r="G286" s="145">
        <f t="shared" si="150"/>
        <v>47.370000000000005</v>
      </c>
      <c r="H286" s="145">
        <f t="shared" si="150"/>
        <v>46.09</v>
      </c>
      <c r="I286" s="145">
        <f t="shared" ref="I286:R286" si="164">I269+I252+I235+I218+I201+I184</f>
        <v>46.903999999999982</v>
      </c>
      <c r="J286" s="145">
        <f t="shared" si="164"/>
        <v>48.336199999999963</v>
      </c>
      <c r="K286" s="145">
        <f t="shared" si="164"/>
        <v>50.44841999999997</v>
      </c>
      <c r="L286" s="145">
        <f t="shared" si="164"/>
        <v>53.30866199999997</v>
      </c>
      <c r="M286" s="145">
        <f t="shared" si="164"/>
        <v>56.991728199999983</v>
      </c>
      <c r="N286" s="145">
        <f t="shared" si="164"/>
        <v>61.579901019999994</v>
      </c>
      <c r="O286" s="145">
        <f t="shared" si="164"/>
        <v>67.163691121999989</v>
      </c>
      <c r="P286" s="145">
        <f t="shared" si="164"/>
        <v>73.842660234200025</v>
      </c>
      <c r="Q286" s="145">
        <f t="shared" si="164"/>
        <v>81.726326257620059</v>
      </c>
      <c r="R286" s="145">
        <f t="shared" si="164"/>
        <v>90.935158883382115</v>
      </c>
    </row>
    <row r="287" spans="2:18" x14ac:dyDescent="0.25"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</row>
    <row r="289" spans="1:18" x14ac:dyDescent="0.25">
      <c r="A289" t="s">
        <v>207</v>
      </c>
      <c r="B289" s="294" t="s">
        <v>29</v>
      </c>
      <c r="C289" s="294"/>
      <c r="D289" s="294"/>
      <c r="E289" s="294"/>
      <c r="F289" s="294"/>
      <c r="G289" s="294"/>
      <c r="H289" s="294"/>
      <c r="I289" s="294"/>
      <c r="J289" s="294"/>
      <c r="K289" s="294"/>
      <c r="L289" s="294"/>
      <c r="M289" s="294"/>
      <c r="N289" s="294"/>
      <c r="O289" s="294"/>
      <c r="P289" s="294"/>
      <c r="Q289" s="294"/>
      <c r="R289" s="294"/>
    </row>
    <row r="291" spans="1:18" x14ac:dyDescent="0.25">
      <c r="A291" t="s">
        <v>207</v>
      </c>
      <c r="B291" s="1" t="s">
        <v>217</v>
      </c>
      <c r="E291" s="24"/>
      <c r="F291" s="24"/>
      <c r="G291" s="24"/>
      <c r="H291" s="24"/>
    </row>
    <row r="292" spans="1:18" x14ac:dyDescent="0.25">
      <c r="B292" s="47" t="s">
        <v>191</v>
      </c>
      <c r="C292" s="5"/>
      <c r="D292" s="145">
        <v>2160.84</v>
      </c>
      <c r="E292" s="145">
        <f>D298</f>
        <v>2644.6200000000003</v>
      </c>
      <c r="F292" s="145">
        <f t="shared" ref="F292:R292" si="165">E298</f>
        <v>4393.25</v>
      </c>
      <c r="G292" s="145">
        <f t="shared" si="165"/>
        <v>4325.26</v>
      </c>
      <c r="H292" s="145">
        <f t="shared" si="165"/>
        <v>1578.5800000000008</v>
      </c>
      <c r="I292" s="145">
        <f t="shared" si="165"/>
        <v>2685.3900000000012</v>
      </c>
      <c r="J292" s="145">
        <f t="shared" si="165"/>
        <v>2614.8548000000019</v>
      </c>
      <c r="K292" s="145">
        <f t="shared" si="165"/>
        <v>2544.3196000000025</v>
      </c>
      <c r="L292" s="145">
        <f t="shared" si="165"/>
        <v>2473.7844000000032</v>
      </c>
      <c r="M292" s="145">
        <f t="shared" si="165"/>
        <v>2451.1607520000034</v>
      </c>
      <c r="N292" s="145">
        <f t="shared" si="165"/>
        <v>2428.5371040000036</v>
      </c>
      <c r="O292" s="145">
        <f t="shared" si="165"/>
        <v>2405.9134560000039</v>
      </c>
      <c r="P292" s="145">
        <f t="shared" si="165"/>
        <v>2433.1178220800039</v>
      </c>
      <c r="Q292" s="145">
        <f t="shared" si="165"/>
        <v>2460.3221881600039</v>
      </c>
      <c r="R292" s="145">
        <f t="shared" si="165"/>
        <v>2487.5265542400039</v>
      </c>
    </row>
    <row r="293" spans="1:18" x14ac:dyDescent="0.25">
      <c r="B293" t="s">
        <v>190</v>
      </c>
      <c r="D293" s="116">
        <v>828.82</v>
      </c>
      <c r="E293" s="116">
        <v>2141.4</v>
      </c>
      <c r="F293" s="116">
        <v>1149.8900000000001</v>
      </c>
      <c r="G293" s="116">
        <v>1595.02</v>
      </c>
      <c r="H293" s="116">
        <v>1151.72</v>
      </c>
      <c r="I293" s="116">
        <f>H293*1.04</f>
        <v>1197.7888</v>
      </c>
      <c r="J293" s="116">
        <f>I293</f>
        <v>1197.7888</v>
      </c>
      <c r="K293" s="116">
        <f>J293</f>
        <v>1197.7888</v>
      </c>
      <c r="L293" s="116">
        <f>K293*1.04</f>
        <v>1245.7003520000001</v>
      </c>
      <c r="M293" s="116">
        <f>L293</f>
        <v>1245.7003520000001</v>
      </c>
      <c r="N293" s="116">
        <f>M293</f>
        <v>1245.7003520000001</v>
      </c>
      <c r="O293" s="116">
        <f>N293*1.04</f>
        <v>1295.5283660800001</v>
      </c>
      <c r="P293" s="116">
        <f>O293</f>
        <v>1295.5283660800001</v>
      </c>
      <c r="Q293" s="116">
        <f>P293</f>
        <v>1295.5283660800001</v>
      </c>
      <c r="R293" s="116">
        <f>Q293*1.04</f>
        <v>1347.3495007232002</v>
      </c>
    </row>
    <row r="294" spans="1:18" x14ac:dyDescent="0.25">
      <c r="B294" t="s">
        <v>192</v>
      </c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</row>
    <row r="295" spans="1:18" x14ac:dyDescent="0.25">
      <c r="B295" t="s">
        <v>193</v>
      </c>
      <c r="D295" s="116"/>
      <c r="E295" s="116"/>
      <c r="F295" s="116"/>
      <c r="G295" s="116"/>
      <c r="H295" s="116">
        <v>0.17</v>
      </c>
      <c r="I295" s="116">
        <f>AVERAGE(D295:H295)</f>
        <v>0.17</v>
      </c>
      <c r="J295" s="116">
        <f t="shared" ref="J295:R295" si="166">I295</f>
        <v>0.17</v>
      </c>
      <c r="K295" s="116">
        <f t="shared" si="166"/>
        <v>0.17</v>
      </c>
      <c r="L295" s="116">
        <f t="shared" si="166"/>
        <v>0.17</v>
      </c>
      <c r="M295" s="116">
        <f t="shared" si="166"/>
        <v>0.17</v>
      </c>
      <c r="N295" s="116">
        <f t="shared" si="166"/>
        <v>0.17</v>
      </c>
      <c r="O295" s="116">
        <f t="shared" si="166"/>
        <v>0.17</v>
      </c>
      <c r="P295" s="116">
        <f t="shared" si="166"/>
        <v>0.17</v>
      </c>
      <c r="Q295" s="116">
        <f t="shared" si="166"/>
        <v>0.17</v>
      </c>
      <c r="R295" s="116">
        <f t="shared" si="166"/>
        <v>0.17</v>
      </c>
    </row>
    <row r="296" spans="1:18" x14ac:dyDescent="0.25">
      <c r="B296" t="s">
        <v>198</v>
      </c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</row>
    <row r="297" spans="1:18" x14ac:dyDescent="0.25">
      <c r="B297" t="s">
        <v>194</v>
      </c>
      <c r="D297" s="116">
        <v>-345.04</v>
      </c>
      <c r="E297" s="116">
        <v>-392.77</v>
      </c>
      <c r="F297" s="116">
        <v>-1217.8800000000001</v>
      </c>
      <c r="G297" s="116">
        <v>-4341.7</v>
      </c>
      <c r="H297" s="116">
        <v>-45.08</v>
      </c>
      <c r="I297" s="116">
        <f>AVERAGE(D297:H297)</f>
        <v>-1268.4939999999999</v>
      </c>
      <c r="J297" s="116">
        <f t="shared" ref="J297:R297" si="167">I297</f>
        <v>-1268.4939999999999</v>
      </c>
      <c r="K297" s="116">
        <f t="shared" si="167"/>
        <v>-1268.4939999999999</v>
      </c>
      <c r="L297" s="116">
        <f t="shared" si="167"/>
        <v>-1268.4939999999999</v>
      </c>
      <c r="M297" s="116">
        <f t="shared" si="167"/>
        <v>-1268.4939999999999</v>
      </c>
      <c r="N297" s="116">
        <f t="shared" si="167"/>
        <v>-1268.4939999999999</v>
      </c>
      <c r="O297" s="116">
        <f t="shared" si="167"/>
        <v>-1268.4939999999999</v>
      </c>
      <c r="P297" s="116">
        <f t="shared" si="167"/>
        <v>-1268.4939999999999</v>
      </c>
      <c r="Q297" s="116">
        <f t="shared" si="167"/>
        <v>-1268.4939999999999</v>
      </c>
      <c r="R297" s="116">
        <f t="shared" si="167"/>
        <v>-1268.4939999999999</v>
      </c>
    </row>
    <row r="298" spans="1:18" x14ac:dyDescent="0.25">
      <c r="B298" s="47" t="s">
        <v>195</v>
      </c>
      <c r="C298" s="9"/>
      <c r="D298" s="145">
        <f t="shared" ref="D298:R298" si="168">SUM(D292:D297)</f>
        <v>2644.6200000000003</v>
      </c>
      <c r="E298" s="145">
        <f t="shared" si="168"/>
        <v>4393.25</v>
      </c>
      <c r="F298" s="145">
        <f t="shared" si="168"/>
        <v>4325.26</v>
      </c>
      <c r="G298" s="145">
        <f t="shared" si="168"/>
        <v>1578.5800000000008</v>
      </c>
      <c r="H298" s="145">
        <f t="shared" si="168"/>
        <v>2685.3900000000012</v>
      </c>
      <c r="I298" s="145">
        <f t="shared" si="168"/>
        <v>2614.8548000000019</v>
      </c>
      <c r="J298" s="145">
        <f t="shared" si="168"/>
        <v>2544.3196000000025</v>
      </c>
      <c r="K298" s="145">
        <f t="shared" si="168"/>
        <v>2473.7844000000032</v>
      </c>
      <c r="L298" s="145">
        <f t="shared" si="168"/>
        <v>2451.1607520000034</v>
      </c>
      <c r="M298" s="145">
        <f t="shared" si="168"/>
        <v>2428.5371040000036</v>
      </c>
      <c r="N298" s="145">
        <f t="shared" si="168"/>
        <v>2405.9134560000039</v>
      </c>
      <c r="O298" s="145">
        <f t="shared" si="168"/>
        <v>2433.1178220800039</v>
      </c>
      <c r="P298" s="145">
        <f t="shared" si="168"/>
        <v>2460.3221881600039</v>
      </c>
      <c r="Q298" s="145">
        <f t="shared" si="168"/>
        <v>2487.5265542400039</v>
      </c>
      <c r="R298" s="145">
        <f t="shared" si="168"/>
        <v>2566.5520549632047</v>
      </c>
    </row>
    <row r="299" spans="1:18" x14ac:dyDescent="0.25">
      <c r="B299" s="46" t="s">
        <v>196</v>
      </c>
      <c r="D299" s="116">
        <v>176</v>
      </c>
      <c r="E299" s="116">
        <v>326.85000000000002</v>
      </c>
      <c r="F299" s="116">
        <v>529.48</v>
      </c>
      <c r="G299" s="116">
        <v>775.22</v>
      </c>
      <c r="H299" s="116">
        <v>376.7</v>
      </c>
      <c r="I299" s="116">
        <f t="shared" ref="I299:R299" si="169">SUM(H299:H305)-H300</f>
        <v>959.27999999999986</v>
      </c>
      <c r="J299" s="116">
        <f t="shared" si="169"/>
        <v>1115.9599999999998</v>
      </c>
      <c r="K299" s="116">
        <f t="shared" si="169"/>
        <v>1272.6399999999999</v>
      </c>
      <c r="L299" s="116">
        <f t="shared" si="169"/>
        <v>1429.32</v>
      </c>
      <c r="M299" s="116">
        <f t="shared" si="169"/>
        <v>1586</v>
      </c>
      <c r="N299" s="116">
        <f t="shared" si="169"/>
        <v>1742.68</v>
      </c>
      <c r="O299" s="116">
        <f t="shared" si="169"/>
        <v>1899.3600000000001</v>
      </c>
      <c r="P299" s="116">
        <f t="shared" si="169"/>
        <v>2056.04</v>
      </c>
      <c r="Q299" s="116">
        <f t="shared" si="169"/>
        <v>2212.7199999999998</v>
      </c>
      <c r="R299" s="116">
        <f t="shared" si="169"/>
        <v>2369.3999999999996</v>
      </c>
    </row>
    <row r="300" spans="1:18" x14ac:dyDescent="0.25">
      <c r="B300" s="46" t="s">
        <v>220</v>
      </c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</row>
    <row r="301" spans="1:18" x14ac:dyDescent="0.25">
      <c r="B301" t="s">
        <v>221</v>
      </c>
      <c r="D301" s="116">
        <v>192.65</v>
      </c>
      <c r="E301" s="116">
        <v>236.48</v>
      </c>
      <c r="F301" s="116">
        <v>344.44</v>
      </c>
      <c r="G301" s="116">
        <v>439.69</v>
      </c>
      <c r="H301" s="116">
        <v>597.65</v>
      </c>
      <c r="I301" s="116">
        <f t="shared" ref="I301:I304" si="170">AVERAGE(D301:H301)</f>
        <v>362.18199999999996</v>
      </c>
      <c r="J301" s="116">
        <f t="shared" ref="J301:R301" si="171">I301</f>
        <v>362.18199999999996</v>
      </c>
      <c r="K301" s="116">
        <f t="shared" si="171"/>
        <v>362.18199999999996</v>
      </c>
      <c r="L301" s="116">
        <f t="shared" si="171"/>
        <v>362.18199999999996</v>
      </c>
      <c r="M301" s="116">
        <f t="shared" si="171"/>
        <v>362.18199999999996</v>
      </c>
      <c r="N301" s="116">
        <f t="shared" si="171"/>
        <v>362.18199999999996</v>
      </c>
      <c r="O301" s="116">
        <f t="shared" si="171"/>
        <v>362.18199999999996</v>
      </c>
      <c r="P301" s="116">
        <f t="shared" si="171"/>
        <v>362.18199999999996</v>
      </c>
      <c r="Q301" s="116">
        <f t="shared" si="171"/>
        <v>362.18199999999996</v>
      </c>
      <c r="R301" s="116">
        <f t="shared" si="171"/>
        <v>362.18199999999996</v>
      </c>
    </row>
    <row r="302" spans="1:18" x14ac:dyDescent="0.25">
      <c r="B302" t="s">
        <v>198</v>
      </c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</row>
    <row r="303" spans="1:18" x14ac:dyDescent="0.25">
      <c r="B303" t="s">
        <v>194</v>
      </c>
      <c r="D303" s="116">
        <v>-41.8</v>
      </c>
      <c r="E303" s="116">
        <v>-33.85</v>
      </c>
      <c r="F303" s="116">
        <v>-98.7</v>
      </c>
      <c r="G303" s="116">
        <v>-838.21</v>
      </c>
      <c r="H303" s="116">
        <v>-15.1</v>
      </c>
      <c r="I303" s="116">
        <f t="shared" si="170"/>
        <v>-205.53200000000001</v>
      </c>
      <c r="J303" s="116">
        <f t="shared" ref="J303:R303" si="172">I303</f>
        <v>-205.53200000000001</v>
      </c>
      <c r="K303" s="116">
        <f t="shared" si="172"/>
        <v>-205.53200000000001</v>
      </c>
      <c r="L303" s="116">
        <f t="shared" si="172"/>
        <v>-205.53200000000001</v>
      </c>
      <c r="M303" s="116">
        <f t="shared" si="172"/>
        <v>-205.53200000000001</v>
      </c>
      <c r="N303" s="116">
        <f t="shared" si="172"/>
        <v>-205.53200000000001</v>
      </c>
      <c r="O303" s="116">
        <f t="shared" si="172"/>
        <v>-205.53200000000001</v>
      </c>
      <c r="P303" s="116">
        <f t="shared" si="172"/>
        <v>-205.53200000000001</v>
      </c>
      <c r="Q303" s="116">
        <f t="shared" si="172"/>
        <v>-205.53200000000001</v>
      </c>
      <c r="R303" s="116">
        <f t="shared" si="172"/>
        <v>-205.53200000000001</v>
      </c>
    </row>
    <row r="304" spans="1:18" x14ac:dyDescent="0.25">
      <c r="B304" t="s">
        <v>193</v>
      </c>
      <c r="D304" s="116"/>
      <c r="E304" s="116"/>
      <c r="F304" s="116"/>
      <c r="G304" s="116"/>
      <c r="H304" s="116">
        <v>0.03</v>
      </c>
      <c r="I304" s="116">
        <f t="shared" si="170"/>
        <v>0.03</v>
      </c>
      <c r="J304" s="116">
        <f t="shared" ref="J304:R304" si="173">I304</f>
        <v>0.03</v>
      </c>
      <c r="K304" s="116">
        <f t="shared" si="173"/>
        <v>0.03</v>
      </c>
      <c r="L304" s="116">
        <f t="shared" si="173"/>
        <v>0.03</v>
      </c>
      <c r="M304" s="116">
        <f t="shared" si="173"/>
        <v>0.03</v>
      </c>
      <c r="N304" s="116">
        <f t="shared" si="173"/>
        <v>0.03</v>
      </c>
      <c r="O304" s="116">
        <f t="shared" si="173"/>
        <v>0.03</v>
      </c>
      <c r="P304" s="116">
        <f t="shared" si="173"/>
        <v>0.03</v>
      </c>
      <c r="Q304" s="116">
        <f t="shared" si="173"/>
        <v>0.03</v>
      </c>
      <c r="R304" s="116">
        <f t="shared" si="173"/>
        <v>0.03</v>
      </c>
    </row>
    <row r="305" spans="1:18" x14ac:dyDescent="0.25">
      <c r="B305" t="s">
        <v>192</v>
      </c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</row>
    <row r="306" spans="1:18" x14ac:dyDescent="0.25">
      <c r="B306" s="47" t="s">
        <v>197</v>
      </c>
      <c r="C306" s="9"/>
      <c r="D306" s="145">
        <f t="shared" ref="D306:R306" si="174">D298-SUM(D299:D305)</f>
        <v>2317.7700000000004</v>
      </c>
      <c r="E306" s="145">
        <f t="shared" si="174"/>
        <v>3863.77</v>
      </c>
      <c r="F306" s="145">
        <f t="shared" si="174"/>
        <v>3550.04</v>
      </c>
      <c r="G306" s="145">
        <f t="shared" si="174"/>
        <v>1201.8800000000008</v>
      </c>
      <c r="H306" s="145">
        <f t="shared" si="174"/>
        <v>1726.1100000000015</v>
      </c>
      <c r="I306" s="145">
        <f t="shared" si="174"/>
        <v>1498.8948000000021</v>
      </c>
      <c r="J306" s="145">
        <f t="shared" si="174"/>
        <v>1271.6796000000027</v>
      </c>
      <c r="K306" s="145">
        <f t="shared" si="174"/>
        <v>1044.4644000000033</v>
      </c>
      <c r="L306" s="145">
        <f t="shared" si="174"/>
        <v>865.16075200000341</v>
      </c>
      <c r="M306" s="145">
        <f t="shared" si="174"/>
        <v>685.85710400000357</v>
      </c>
      <c r="N306" s="145">
        <f t="shared" si="174"/>
        <v>506.55345600000373</v>
      </c>
      <c r="O306" s="145">
        <f t="shared" si="174"/>
        <v>377.0778220800039</v>
      </c>
      <c r="P306" s="145">
        <f t="shared" si="174"/>
        <v>247.60218816000406</v>
      </c>
      <c r="Q306" s="145">
        <f t="shared" si="174"/>
        <v>118.12655424000422</v>
      </c>
      <c r="R306" s="145">
        <f t="shared" si="174"/>
        <v>40.47205496320521</v>
      </c>
    </row>
    <row r="307" spans="1:18" x14ac:dyDescent="0.25"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</row>
    <row r="308" spans="1:18" x14ac:dyDescent="0.25">
      <c r="A308" t="s">
        <v>207</v>
      </c>
      <c r="B308" s="1" t="s">
        <v>205</v>
      </c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</row>
    <row r="309" spans="1:18" x14ac:dyDescent="0.25">
      <c r="B309" s="47" t="s">
        <v>191</v>
      </c>
      <c r="C309" s="5"/>
      <c r="D309" s="145">
        <v>1.41</v>
      </c>
      <c r="E309" s="145">
        <f>D315</f>
        <v>1.9099999999999997</v>
      </c>
      <c r="F309" s="145">
        <f t="shared" ref="F309:R309" si="175">E315</f>
        <v>2.09</v>
      </c>
      <c r="G309" s="145">
        <f t="shared" si="175"/>
        <v>0.91999999999999971</v>
      </c>
      <c r="H309" s="145">
        <f t="shared" si="175"/>
        <v>1.2899999999999996</v>
      </c>
      <c r="I309" s="145">
        <f t="shared" si="175"/>
        <v>1.9499999999999997</v>
      </c>
      <c r="J309" s="145">
        <f t="shared" si="175"/>
        <v>1.8633333333333328</v>
      </c>
      <c r="K309" s="145">
        <f t="shared" si="175"/>
        <v>1.776666666666666</v>
      </c>
      <c r="L309" s="145">
        <f t="shared" si="175"/>
        <v>1.6899999999999991</v>
      </c>
      <c r="M309" s="145">
        <f t="shared" si="175"/>
        <v>1.6033333333333322</v>
      </c>
      <c r="N309" s="145">
        <f t="shared" si="175"/>
        <v>1.5166666666666653</v>
      </c>
      <c r="O309" s="145">
        <f t="shared" si="175"/>
        <v>1.4299999999999984</v>
      </c>
      <c r="P309" s="145">
        <f t="shared" si="175"/>
        <v>1.3433333333333315</v>
      </c>
      <c r="Q309" s="145">
        <f t="shared" si="175"/>
        <v>1.2566666666666646</v>
      </c>
      <c r="R309" s="145">
        <f t="shared" si="175"/>
        <v>1.1699999999999977</v>
      </c>
    </row>
    <row r="310" spans="1:18" x14ac:dyDescent="0.25">
      <c r="B310" t="s">
        <v>190</v>
      </c>
      <c r="D310" s="116">
        <v>0.57999999999999996</v>
      </c>
      <c r="E310" s="116">
        <v>0.18</v>
      </c>
      <c r="F310" s="116">
        <v>0.11</v>
      </c>
      <c r="G310" s="116">
        <v>0.37</v>
      </c>
      <c r="H310" s="116">
        <v>0.76</v>
      </c>
      <c r="I310" s="116">
        <f>AVERAGE(D310:H310)</f>
        <v>0.4</v>
      </c>
      <c r="J310" s="116">
        <f t="shared" ref="J310:R310" si="176">I310</f>
        <v>0.4</v>
      </c>
      <c r="K310" s="116">
        <f t="shared" si="176"/>
        <v>0.4</v>
      </c>
      <c r="L310" s="116">
        <f t="shared" si="176"/>
        <v>0.4</v>
      </c>
      <c r="M310" s="116">
        <f t="shared" si="176"/>
        <v>0.4</v>
      </c>
      <c r="N310" s="116">
        <f t="shared" si="176"/>
        <v>0.4</v>
      </c>
      <c r="O310" s="116">
        <f t="shared" si="176"/>
        <v>0.4</v>
      </c>
      <c r="P310" s="116">
        <f t="shared" si="176"/>
        <v>0.4</v>
      </c>
      <c r="Q310" s="116">
        <f t="shared" si="176"/>
        <v>0.4</v>
      </c>
      <c r="R310" s="116">
        <f t="shared" si="176"/>
        <v>0.4</v>
      </c>
    </row>
    <row r="311" spans="1:18" x14ac:dyDescent="0.25">
      <c r="B311" t="s">
        <v>192</v>
      </c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</row>
    <row r="312" spans="1:18" x14ac:dyDescent="0.25">
      <c r="B312" t="s">
        <v>193</v>
      </c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</row>
    <row r="313" spans="1:18" x14ac:dyDescent="0.25">
      <c r="B313" t="s">
        <v>198</v>
      </c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</row>
    <row r="314" spans="1:18" x14ac:dyDescent="0.25">
      <c r="B314" t="s">
        <v>194</v>
      </c>
      <c r="D314" s="116">
        <v>-0.08</v>
      </c>
      <c r="E314" s="116"/>
      <c r="F314" s="116">
        <v>-1.28</v>
      </c>
      <c r="G314" s="116"/>
      <c r="H314" s="116">
        <v>-0.1</v>
      </c>
      <c r="I314" s="116">
        <f>AVERAGE(D314:H314)</f>
        <v>-0.48666666666666675</v>
      </c>
      <c r="J314" s="116">
        <f t="shared" ref="J314:R314" si="177">I314</f>
        <v>-0.48666666666666675</v>
      </c>
      <c r="K314" s="116">
        <f t="shared" si="177"/>
        <v>-0.48666666666666675</v>
      </c>
      <c r="L314" s="116">
        <f t="shared" si="177"/>
        <v>-0.48666666666666675</v>
      </c>
      <c r="M314" s="116">
        <f t="shared" si="177"/>
        <v>-0.48666666666666675</v>
      </c>
      <c r="N314" s="116">
        <f t="shared" si="177"/>
        <v>-0.48666666666666675</v>
      </c>
      <c r="O314" s="116">
        <f t="shared" si="177"/>
        <v>-0.48666666666666675</v>
      </c>
      <c r="P314" s="116">
        <f t="shared" si="177"/>
        <v>-0.48666666666666675</v>
      </c>
      <c r="Q314" s="116">
        <f t="shared" si="177"/>
        <v>-0.48666666666666675</v>
      </c>
      <c r="R314" s="116">
        <f t="shared" si="177"/>
        <v>-0.48666666666666675</v>
      </c>
    </row>
    <row r="315" spans="1:18" x14ac:dyDescent="0.25">
      <c r="B315" s="47" t="s">
        <v>195</v>
      </c>
      <c r="C315" s="9"/>
      <c r="D315" s="145">
        <f>SUM(D309:D314)</f>
        <v>1.9099999999999997</v>
      </c>
      <c r="E315" s="145">
        <f>SUM(E309:E314)</f>
        <v>2.09</v>
      </c>
      <c r="F315" s="145">
        <f>SUM(F309:F314)</f>
        <v>0.91999999999999971</v>
      </c>
      <c r="G315" s="145">
        <f>SUM(G309:G314)</f>
        <v>1.2899999999999996</v>
      </c>
      <c r="H315" s="145">
        <f>SUM(H309:H314)</f>
        <v>1.9499999999999997</v>
      </c>
      <c r="I315" s="145">
        <f t="shared" ref="I315:R315" si="178">SUM(I309:I314)</f>
        <v>1.8633333333333328</v>
      </c>
      <c r="J315" s="145">
        <f t="shared" si="178"/>
        <v>1.776666666666666</v>
      </c>
      <c r="K315" s="145">
        <f t="shared" si="178"/>
        <v>1.6899999999999991</v>
      </c>
      <c r="L315" s="145">
        <f t="shared" si="178"/>
        <v>1.6033333333333322</v>
      </c>
      <c r="M315" s="145">
        <f t="shared" si="178"/>
        <v>1.5166666666666653</v>
      </c>
      <c r="N315" s="145">
        <f t="shared" si="178"/>
        <v>1.4299999999999984</v>
      </c>
      <c r="O315" s="145">
        <f t="shared" si="178"/>
        <v>1.3433333333333315</v>
      </c>
      <c r="P315" s="145">
        <f t="shared" si="178"/>
        <v>1.2566666666666646</v>
      </c>
      <c r="Q315" s="145">
        <f t="shared" si="178"/>
        <v>1.1699999999999977</v>
      </c>
      <c r="R315" s="145">
        <f t="shared" si="178"/>
        <v>1.0833333333333308</v>
      </c>
    </row>
    <row r="316" spans="1:18" x14ac:dyDescent="0.25">
      <c r="B316" s="46" t="s">
        <v>196</v>
      </c>
      <c r="D316" s="116">
        <v>0.68</v>
      </c>
      <c r="E316" s="116">
        <v>1.19</v>
      </c>
      <c r="F316" s="116">
        <v>1.65</v>
      </c>
      <c r="G316" s="116">
        <v>0.72</v>
      </c>
      <c r="H316" s="116">
        <v>1.04</v>
      </c>
      <c r="I316" s="116">
        <f t="shared" ref="I316:R316" si="179">SUM(H316:H322)-H317</f>
        <v>1.31</v>
      </c>
      <c r="J316" s="116">
        <f t="shared" si="179"/>
        <v>1.2533333333333332</v>
      </c>
      <c r="K316" s="116">
        <f t="shared" si="179"/>
        <v>1.1966666666666665</v>
      </c>
      <c r="L316" s="116">
        <f t="shared" si="179"/>
        <v>1.1399999999999999</v>
      </c>
      <c r="M316" s="116">
        <f t="shared" si="179"/>
        <v>1.0833333333333333</v>
      </c>
      <c r="N316" s="116">
        <f t="shared" si="179"/>
        <v>1.0266666666666666</v>
      </c>
      <c r="O316" s="116">
        <f t="shared" si="179"/>
        <v>0.97</v>
      </c>
      <c r="P316" s="116">
        <f t="shared" si="179"/>
        <v>0.91333333333333333</v>
      </c>
      <c r="Q316" s="116">
        <f t="shared" si="179"/>
        <v>0.85666666666666669</v>
      </c>
      <c r="R316" s="116">
        <f t="shared" si="179"/>
        <v>0.8</v>
      </c>
    </row>
    <row r="317" spans="1:18" x14ac:dyDescent="0.25">
      <c r="B317" s="46" t="s">
        <v>220</v>
      </c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</row>
    <row r="318" spans="1:18" x14ac:dyDescent="0.25">
      <c r="B318" t="s">
        <v>221</v>
      </c>
      <c r="D318" s="116">
        <v>0.54</v>
      </c>
      <c r="E318" s="116">
        <v>0.46</v>
      </c>
      <c r="F318" s="116">
        <v>0.34</v>
      </c>
      <c r="G318" s="116">
        <v>0.32</v>
      </c>
      <c r="H318" s="116">
        <v>0.34</v>
      </c>
      <c r="I318" s="116">
        <f>AVERAGE(D318:H318)</f>
        <v>0.4</v>
      </c>
      <c r="J318" s="116">
        <f t="shared" ref="J318:R318" si="180">I318</f>
        <v>0.4</v>
      </c>
      <c r="K318" s="116">
        <f t="shared" si="180"/>
        <v>0.4</v>
      </c>
      <c r="L318" s="116">
        <f t="shared" si="180"/>
        <v>0.4</v>
      </c>
      <c r="M318" s="116">
        <f t="shared" si="180"/>
        <v>0.4</v>
      </c>
      <c r="N318" s="116">
        <f t="shared" si="180"/>
        <v>0.4</v>
      </c>
      <c r="O318" s="116">
        <f t="shared" si="180"/>
        <v>0.4</v>
      </c>
      <c r="P318" s="116">
        <f t="shared" si="180"/>
        <v>0.4</v>
      </c>
      <c r="Q318" s="116">
        <f t="shared" si="180"/>
        <v>0.4</v>
      </c>
      <c r="R318" s="116">
        <f t="shared" si="180"/>
        <v>0.4</v>
      </c>
    </row>
    <row r="319" spans="1:18" x14ac:dyDescent="0.25">
      <c r="B319" t="s">
        <v>198</v>
      </c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</row>
    <row r="320" spans="1:18" x14ac:dyDescent="0.25">
      <c r="B320" t="s">
        <v>194</v>
      </c>
      <c r="D320" s="116">
        <v>-0.03</v>
      </c>
      <c r="E320" s="116"/>
      <c r="F320" s="116">
        <v>-1.27</v>
      </c>
      <c r="G320" s="116"/>
      <c r="H320" s="116">
        <v>-7.0000000000000007E-2</v>
      </c>
      <c r="I320" s="116">
        <f>AVERAGE(D320:H320)</f>
        <v>-0.45666666666666672</v>
      </c>
      <c r="J320" s="116">
        <f t="shared" ref="J320:R320" si="181">I320</f>
        <v>-0.45666666666666672</v>
      </c>
      <c r="K320" s="116">
        <f t="shared" si="181"/>
        <v>-0.45666666666666672</v>
      </c>
      <c r="L320" s="116">
        <f t="shared" si="181"/>
        <v>-0.45666666666666672</v>
      </c>
      <c r="M320" s="116">
        <f t="shared" si="181"/>
        <v>-0.45666666666666672</v>
      </c>
      <c r="N320" s="116">
        <f t="shared" si="181"/>
        <v>-0.45666666666666672</v>
      </c>
      <c r="O320" s="116">
        <f t="shared" si="181"/>
        <v>-0.45666666666666672</v>
      </c>
      <c r="P320" s="116">
        <f t="shared" si="181"/>
        <v>-0.45666666666666672</v>
      </c>
      <c r="Q320" s="116">
        <f t="shared" si="181"/>
        <v>-0.45666666666666672</v>
      </c>
      <c r="R320" s="116">
        <f t="shared" si="181"/>
        <v>-0.45666666666666672</v>
      </c>
    </row>
    <row r="321" spans="1:18" x14ac:dyDescent="0.25">
      <c r="B321" t="s">
        <v>193</v>
      </c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</row>
    <row r="322" spans="1:18" x14ac:dyDescent="0.25">
      <c r="B322" t="s">
        <v>192</v>
      </c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</row>
    <row r="323" spans="1:18" x14ac:dyDescent="0.25">
      <c r="B323" s="47" t="s">
        <v>197</v>
      </c>
      <c r="C323" s="9"/>
      <c r="D323" s="145">
        <f>D315-SUM(D316:D322)</f>
        <v>0.71999999999999953</v>
      </c>
      <c r="E323" s="145">
        <f>E315-SUM(E316:E322)</f>
        <v>0.43999999999999995</v>
      </c>
      <c r="F323" s="145">
        <f>F315-SUM(F316:F322)</f>
        <v>0.19999999999999973</v>
      </c>
      <c r="G323" s="145">
        <f>G315-SUM(G316:G322)</f>
        <v>0.24999999999999956</v>
      </c>
      <c r="H323" s="145">
        <f>H315-SUM(H316:H322)</f>
        <v>0.63999999999999968</v>
      </c>
      <c r="I323" s="145">
        <f t="shared" ref="I323:R323" si="182">I315-SUM(I316:I322)</f>
        <v>0.60999999999999965</v>
      </c>
      <c r="J323" s="145">
        <f t="shared" si="182"/>
        <v>0.5799999999999994</v>
      </c>
      <c r="K323" s="145">
        <f t="shared" si="182"/>
        <v>0.54999999999999916</v>
      </c>
      <c r="L323" s="145">
        <f t="shared" si="182"/>
        <v>0.51999999999999891</v>
      </c>
      <c r="M323" s="145">
        <f t="shared" si="182"/>
        <v>0.48999999999999866</v>
      </c>
      <c r="N323" s="145">
        <f t="shared" si="182"/>
        <v>0.45999999999999841</v>
      </c>
      <c r="O323" s="145">
        <f t="shared" si="182"/>
        <v>0.42999999999999816</v>
      </c>
      <c r="P323" s="145">
        <f t="shared" si="182"/>
        <v>0.39999999999999791</v>
      </c>
      <c r="Q323" s="145">
        <f t="shared" si="182"/>
        <v>0.36999999999999766</v>
      </c>
      <c r="R323" s="145">
        <f t="shared" si="182"/>
        <v>0.33999999999999742</v>
      </c>
    </row>
    <row r="324" spans="1:18" x14ac:dyDescent="0.25"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</row>
    <row r="325" spans="1:18" x14ac:dyDescent="0.25"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</row>
    <row r="326" spans="1:18" x14ac:dyDescent="0.25">
      <c r="A326" t="s">
        <v>207</v>
      </c>
      <c r="B326" s="48" t="s">
        <v>218</v>
      </c>
      <c r="C326" s="49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</row>
    <row r="327" spans="1:18" x14ac:dyDescent="0.25">
      <c r="B327" s="47" t="s">
        <v>191</v>
      </c>
      <c r="C327" s="5"/>
      <c r="D327" s="145">
        <f t="shared" ref="D327:H341" si="183">D309+D292</f>
        <v>2162.25</v>
      </c>
      <c r="E327" s="145">
        <f t="shared" si="183"/>
        <v>2646.53</v>
      </c>
      <c r="F327" s="145">
        <f t="shared" si="183"/>
        <v>4395.34</v>
      </c>
      <c r="G327" s="145">
        <f t="shared" si="183"/>
        <v>4326.18</v>
      </c>
      <c r="H327" s="145">
        <f t="shared" si="183"/>
        <v>1579.8700000000008</v>
      </c>
      <c r="I327" s="145">
        <f t="shared" ref="I327:R327" si="184">I309+I292</f>
        <v>2687.3400000000011</v>
      </c>
      <c r="J327" s="145">
        <f t="shared" si="184"/>
        <v>2616.7181333333351</v>
      </c>
      <c r="K327" s="145">
        <f t="shared" si="184"/>
        <v>2546.0962666666692</v>
      </c>
      <c r="L327" s="145">
        <f t="shared" si="184"/>
        <v>2475.4744000000032</v>
      </c>
      <c r="M327" s="145">
        <f t="shared" si="184"/>
        <v>2452.7640853333369</v>
      </c>
      <c r="N327" s="145">
        <f t="shared" si="184"/>
        <v>2430.0537706666705</v>
      </c>
      <c r="O327" s="145">
        <f t="shared" si="184"/>
        <v>2407.3434560000037</v>
      </c>
      <c r="P327" s="145">
        <f t="shared" si="184"/>
        <v>2434.4611554133371</v>
      </c>
      <c r="Q327" s="145">
        <f t="shared" si="184"/>
        <v>2461.5788548266705</v>
      </c>
      <c r="R327" s="145">
        <f t="shared" si="184"/>
        <v>2488.6965542400039</v>
      </c>
    </row>
    <row r="328" spans="1:18" x14ac:dyDescent="0.25">
      <c r="B328" t="s">
        <v>190</v>
      </c>
      <c r="D328" s="116">
        <f t="shared" si="183"/>
        <v>829.40000000000009</v>
      </c>
      <c r="E328" s="116">
        <f t="shared" si="183"/>
        <v>2141.58</v>
      </c>
      <c r="F328" s="116">
        <f t="shared" si="183"/>
        <v>1150</v>
      </c>
      <c r="G328" s="116">
        <f t="shared" si="183"/>
        <v>1595.3899999999999</v>
      </c>
      <c r="H328" s="116">
        <f t="shared" si="183"/>
        <v>1152.48</v>
      </c>
      <c r="I328" s="116">
        <f t="shared" ref="I328:R328" si="185">I310+I293</f>
        <v>1198.1888000000001</v>
      </c>
      <c r="J328" s="116">
        <f t="shared" si="185"/>
        <v>1198.1888000000001</v>
      </c>
      <c r="K328" s="116">
        <f t="shared" si="185"/>
        <v>1198.1888000000001</v>
      </c>
      <c r="L328" s="116">
        <f t="shared" si="185"/>
        <v>1246.1003520000002</v>
      </c>
      <c r="M328" s="116">
        <f t="shared" si="185"/>
        <v>1246.1003520000002</v>
      </c>
      <c r="N328" s="116">
        <f t="shared" si="185"/>
        <v>1246.1003520000002</v>
      </c>
      <c r="O328" s="116">
        <f t="shared" si="185"/>
        <v>1295.9283660800002</v>
      </c>
      <c r="P328" s="116">
        <f t="shared" si="185"/>
        <v>1295.9283660800002</v>
      </c>
      <c r="Q328" s="116">
        <f t="shared" si="185"/>
        <v>1295.9283660800002</v>
      </c>
      <c r="R328" s="116">
        <f t="shared" si="185"/>
        <v>1347.7495007232003</v>
      </c>
    </row>
    <row r="329" spans="1:18" x14ac:dyDescent="0.25">
      <c r="B329" t="s">
        <v>192</v>
      </c>
      <c r="D329" s="116">
        <f t="shared" si="183"/>
        <v>0</v>
      </c>
      <c r="E329" s="116">
        <f t="shared" si="183"/>
        <v>0</v>
      </c>
      <c r="F329" s="116">
        <f t="shared" si="183"/>
        <v>0</v>
      </c>
      <c r="G329" s="116">
        <f t="shared" si="183"/>
        <v>0</v>
      </c>
      <c r="H329" s="116">
        <f t="shared" si="183"/>
        <v>0</v>
      </c>
      <c r="I329" s="116">
        <f t="shared" ref="I329:R329" si="186">I311+I294</f>
        <v>0</v>
      </c>
      <c r="J329" s="116">
        <f t="shared" si="186"/>
        <v>0</v>
      </c>
      <c r="K329" s="116">
        <f t="shared" si="186"/>
        <v>0</v>
      </c>
      <c r="L329" s="116">
        <f t="shared" si="186"/>
        <v>0</v>
      </c>
      <c r="M329" s="116">
        <f t="shared" si="186"/>
        <v>0</v>
      </c>
      <c r="N329" s="116">
        <f t="shared" si="186"/>
        <v>0</v>
      </c>
      <c r="O329" s="116">
        <f t="shared" si="186"/>
        <v>0</v>
      </c>
      <c r="P329" s="116">
        <f t="shared" si="186"/>
        <v>0</v>
      </c>
      <c r="Q329" s="116">
        <f t="shared" si="186"/>
        <v>0</v>
      </c>
      <c r="R329" s="116">
        <f t="shared" si="186"/>
        <v>0</v>
      </c>
    </row>
    <row r="330" spans="1:18" x14ac:dyDescent="0.25">
      <c r="B330" t="s">
        <v>193</v>
      </c>
      <c r="D330" s="116">
        <f t="shared" si="183"/>
        <v>0</v>
      </c>
      <c r="E330" s="116">
        <f t="shared" si="183"/>
        <v>0</v>
      </c>
      <c r="F330" s="116">
        <f t="shared" si="183"/>
        <v>0</v>
      </c>
      <c r="G330" s="116">
        <f t="shared" si="183"/>
        <v>0</v>
      </c>
      <c r="H330" s="116">
        <f t="shared" si="183"/>
        <v>0.17</v>
      </c>
      <c r="I330" s="116">
        <f t="shared" ref="I330:R330" si="187">I312+I295</f>
        <v>0.17</v>
      </c>
      <c r="J330" s="116">
        <f t="shared" si="187"/>
        <v>0.17</v>
      </c>
      <c r="K330" s="116">
        <f t="shared" si="187"/>
        <v>0.17</v>
      </c>
      <c r="L330" s="116">
        <f t="shared" si="187"/>
        <v>0.17</v>
      </c>
      <c r="M330" s="116">
        <f t="shared" si="187"/>
        <v>0.17</v>
      </c>
      <c r="N330" s="116">
        <f t="shared" si="187"/>
        <v>0.17</v>
      </c>
      <c r="O330" s="116">
        <f t="shared" si="187"/>
        <v>0.17</v>
      </c>
      <c r="P330" s="116">
        <f t="shared" si="187"/>
        <v>0.17</v>
      </c>
      <c r="Q330" s="116">
        <f t="shared" si="187"/>
        <v>0.17</v>
      </c>
      <c r="R330" s="116">
        <f t="shared" si="187"/>
        <v>0.17</v>
      </c>
    </row>
    <row r="331" spans="1:18" x14ac:dyDescent="0.25">
      <c r="B331" t="s">
        <v>198</v>
      </c>
      <c r="D331" s="116">
        <f t="shared" si="183"/>
        <v>0</v>
      </c>
      <c r="E331" s="116">
        <f t="shared" si="183"/>
        <v>0</v>
      </c>
      <c r="F331" s="116">
        <f t="shared" si="183"/>
        <v>0</v>
      </c>
      <c r="G331" s="116">
        <f t="shared" si="183"/>
        <v>0</v>
      </c>
      <c r="H331" s="116">
        <f t="shared" si="183"/>
        <v>0</v>
      </c>
      <c r="I331" s="116">
        <f t="shared" ref="I331:R331" si="188">I313+I296</f>
        <v>0</v>
      </c>
      <c r="J331" s="116">
        <f t="shared" si="188"/>
        <v>0</v>
      </c>
      <c r="K331" s="116">
        <f t="shared" si="188"/>
        <v>0</v>
      </c>
      <c r="L331" s="116">
        <f t="shared" si="188"/>
        <v>0</v>
      </c>
      <c r="M331" s="116">
        <f t="shared" si="188"/>
        <v>0</v>
      </c>
      <c r="N331" s="116">
        <f t="shared" si="188"/>
        <v>0</v>
      </c>
      <c r="O331" s="116">
        <f t="shared" si="188"/>
        <v>0</v>
      </c>
      <c r="P331" s="116">
        <f t="shared" si="188"/>
        <v>0</v>
      </c>
      <c r="Q331" s="116">
        <f t="shared" si="188"/>
        <v>0</v>
      </c>
      <c r="R331" s="116">
        <f t="shared" si="188"/>
        <v>0</v>
      </c>
    </row>
    <row r="332" spans="1:18" x14ac:dyDescent="0.25">
      <c r="B332" t="s">
        <v>194</v>
      </c>
      <c r="D332" s="116">
        <f t="shared" si="183"/>
        <v>-345.12</v>
      </c>
      <c r="E332" s="116">
        <f t="shared" si="183"/>
        <v>-392.77</v>
      </c>
      <c r="F332" s="116">
        <f t="shared" si="183"/>
        <v>-1219.1600000000001</v>
      </c>
      <c r="G332" s="116">
        <f t="shared" si="183"/>
        <v>-4341.7</v>
      </c>
      <c r="H332" s="116">
        <f t="shared" si="183"/>
        <v>-45.18</v>
      </c>
      <c r="I332" s="116">
        <f t="shared" ref="I332:R332" si="189">I314+I297</f>
        <v>-1268.9806666666666</v>
      </c>
      <c r="J332" s="116">
        <f t="shared" si="189"/>
        <v>-1268.9806666666666</v>
      </c>
      <c r="K332" s="116">
        <f t="shared" si="189"/>
        <v>-1268.9806666666666</v>
      </c>
      <c r="L332" s="116">
        <f t="shared" si="189"/>
        <v>-1268.9806666666666</v>
      </c>
      <c r="M332" s="116">
        <f t="shared" si="189"/>
        <v>-1268.9806666666666</v>
      </c>
      <c r="N332" s="116">
        <f t="shared" si="189"/>
        <v>-1268.9806666666666</v>
      </c>
      <c r="O332" s="116">
        <f t="shared" si="189"/>
        <v>-1268.9806666666666</v>
      </c>
      <c r="P332" s="116">
        <f t="shared" si="189"/>
        <v>-1268.9806666666666</v>
      </c>
      <c r="Q332" s="116">
        <f t="shared" si="189"/>
        <v>-1268.9806666666666</v>
      </c>
      <c r="R332" s="116">
        <f t="shared" si="189"/>
        <v>-1268.9806666666666</v>
      </c>
    </row>
    <row r="333" spans="1:18" x14ac:dyDescent="0.25">
      <c r="B333" s="47" t="s">
        <v>195</v>
      </c>
      <c r="C333" s="5"/>
      <c r="D333" s="145">
        <f t="shared" si="183"/>
        <v>2646.53</v>
      </c>
      <c r="E333" s="145">
        <f t="shared" si="183"/>
        <v>4395.34</v>
      </c>
      <c r="F333" s="145">
        <f t="shared" si="183"/>
        <v>4326.18</v>
      </c>
      <c r="G333" s="145">
        <f t="shared" si="183"/>
        <v>1579.8700000000008</v>
      </c>
      <c r="H333" s="145">
        <f t="shared" si="183"/>
        <v>2687.3400000000011</v>
      </c>
      <c r="I333" s="145">
        <f t="shared" ref="I333:R333" si="190">I315+I298</f>
        <v>2616.7181333333351</v>
      </c>
      <c r="J333" s="145">
        <f t="shared" si="190"/>
        <v>2546.0962666666692</v>
      </c>
      <c r="K333" s="145">
        <f t="shared" si="190"/>
        <v>2475.4744000000032</v>
      </c>
      <c r="L333" s="145">
        <f t="shared" si="190"/>
        <v>2452.7640853333369</v>
      </c>
      <c r="M333" s="145">
        <f t="shared" si="190"/>
        <v>2430.0537706666705</v>
      </c>
      <c r="N333" s="145">
        <f t="shared" si="190"/>
        <v>2407.3434560000037</v>
      </c>
      <c r="O333" s="145">
        <f t="shared" si="190"/>
        <v>2434.4611554133371</v>
      </c>
      <c r="P333" s="145">
        <f t="shared" si="190"/>
        <v>2461.5788548266705</v>
      </c>
      <c r="Q333" s="145">
        <f t="shared" si="190"/>
        <v>2488.6965542400039</v>
      </c>
      <c r="R333" s="145">
        <f t="shared" si="190"/>
        <v>2567.6353882965382</v>
      </c>
    </row>
    <row r="334" spans="1:18" x14ac:dyDescent="0.25">
      <c r="B334" s="46" t="s">
        <v>196</v>
      </c>
      <c r="D334" s="116">
        <f t="shared" si="183"/>
        <v>176.68</v>
      </c>
      <c r="E334" s="116">
        <f t="shared" si="183"/>
        <v>328.04</v>
      </c>
      <c r="F334" s="116">
        <f t="shared" si="183"/>
        <v>531.13</v>
      </c>
      <c r="G334" s="116">
        <f t="shared" si="183"/>
        <v>775.94</v>
      </c>
      <c r="H334" s="116">
        <f t="shared" si="183"/>
        <v>377.74</v>
      </c>
      <c r="I334" s="116">
        <f t="shared" ref="I334:R334" si="191">I316+I299</f>
        <v>960.5899999999998</v>
      </c>
      <c r="J334" s="116">
        <f t="shared" si="191"/>
        <v>1117.2133333333331</v>
      </c>
      <c r="K334" s="116">
        <f t="shared" si="191"/>
        <v>1273.8366666666666</v>
      </c>
      <c r="L334" s="116">
        <f t="shared" si="191"/>
        <v>1430.46</v>
      </c>
      <c r="M334" s="116">
        <f t="shared" si="191"/>
        <v>1587.0833333333333</v>
      </c>
      <c r="N334" s="116">
        <f t="shared" si="191"/>
        <v>1743.7066666666667</v>
      </c>
      <c r="O334" s="116">
        <f t="shared" si="191"/>
        <v>1900.3300000000002</v>
      </c>
      <c r="P334" s="116">
        <f t="shared" si="191"/>
        <v>2056.9533333333334</v>
      </c>
      <c r="Q334" s="116">
        <f t="shared" si="191"/>
        <v>2213.5766666666664</v>
      </c>
      <c r="R334" s="116">
        <f t="shared" si="191"/>
        <v>2370.1999999999998</v>
      </c>
    </row>
    <row r="335" spans="1:18" x14ac:dyDescent="0.25">
      <c r="B335" s="46" t="s">
        <v>220</v>
      </c>
      <c r="D335" s="116">
        <f t="shared" si="183"/>
        <v>0</v>
      </c>
      <c r="E335" s="116">
        <f t="shared" si="183"/>
        <v>0</v>
      </c>
      <c r="F335" s="116">
        <f t="shared" si="183"/>
        <v>0</v>
      </c>
      <c r="G335" s="116">
        <f t="shared" si="183"/>
        <v>0</v>
      </c>
      <c r="H335" s="116">
        <f t="shared" si="183"/>
        <v>0</v>
      </c>
      <c r="I335" s="116">
        <f t="shared" ref="I335:R335" si="192">I317+I300</f>
        <v>0</v>
      </c>
      <c r="J335" s="116">
        <f t="shared" si="192"/>
        <v>0</v>
      </c>
      <c r="K335" s="116">
        <f t="shared" si="192"/>
        <v>0</v>
      </c>
      <c r="L335" s="116">
        <f t="shared" si="192"/>
        <v>0</v>
      </c>
      <c r="M335" s="116">
        <f t="shared" si="192"/>
        <v>0</v>
      </c>
      <c r="N335" s="116">
        <f t="shared" si="192"/>
        <v>0</v>
      </c>
      <c r="O335" s="116">
        <f t="shared" si="192"/>
        <v>0</v>
      </c>
      <c r="P335" s="116">
        <f t="shared" si="192"/>
        <v>0</v>
      </c>
      <c r="Q335" s="116">
        <f t="shared" si="192"/>
        <v>0</v>
      </c>
      <c r="R335" s="116">
        <f t="shared" si="192"/>
        <v>0</v>
      </c>
    </row>
    <row r="336" spans="1:18" x14ac:dyDescent="0.25">
      <c r="B336" t="s">
        <v>221</v>
      </c>
      <c r="D336" s="116">
        <f t="shared" si="183"/>
        <v>193.19</v>
      </c>
      <c r="E336" s="116">
        <f t="shared" si="183"/>
        <v>236.94</v>
      </c>
      <c r="F336" s="116">
        <f t="shared" si="183"/>
        <v>344.78</v>
      </c>
      <c r="G336" s="116">
        <f t="shared" si="183"/>
        <v>440.01</v>
      </c>
      <c r="H336" s="116">
        <f t="shared" si="183"/>
        <v>597.99</v>
      </c>
      <c r="I336" s="116">
        <f t="shared" ref="I336:R336" si="193">I318+I301</f>
        <v>362.58199999999994</v>
      </c>
      <c r="J336" s="116">
        <f t="shared" si="193"/>
        <v>362.58199999999994</v>
      </c>
      <c r="K336" s="116">
        <f t="shared" si="193"/>
        <v>362.58199999999994</v>
      </c>
      <c r="L336" s="116">
        <f t="shared" si="193"/>
        <v>362.58199999999994</v>
      </c>
      <c r="M336" s="116">
        <f t="shared" si="193"/>
        <v>362.58199999999994</v>
      </c>
      <c r="N336" s="116">
        <f t="shared" si="193"/>
        <v>362.58199999999994</v>
      </c>
      <c r="O336" s="116">
        <f t="shared" si="193"/>
        <v>362.58199999999994</v>
      </c>
      <c r="P336" s="116">
        <f t="shared" si="193"/>
        <v>362.58199999999994</v>
      </c>
      <c r="Q336" s="116">
        <f t="shared" si="193"/>
        <v>362.58199999999994</v>
      </c>
      <c r="R336" s="116">
        <f t="shared" si="193"/>
        <v>362.58199999999994</v>
      </c>
    </row>
    <row r="337" spans="1:18" x14ac:dyDescent="0.25">
      <c r="B337" t="s">
        <v>198</v>
      </c>
      <c r="D337" s="116">
        <f t="shared" si="183"/>
        <v>0</v>
      </c>
      <c r="E337" s="116">
        <f t="shared" si="183"/>
        <v>0</v>
      </c>
      <c r="F337" s="116">
        <f t="shared" si="183"/>
        <v>0</v>
      </c>
      <c r="G337" s="116">
        <f t="shared" si="183"/>
        <v>0</v>
      </c>
      <c r="H337" s="116">
        <f t="shared" si="183"/>
        <v>0</v>
      </c>
      <c r="I337" s="116">
        <f t="shared" ref="I337:R337" si="194">I319+I302</f>
        <v>0</v>
      </c>
      <c r="J337" s="116">
        <f t="shared" si="194"/>
        <v>0</v>
      </c>
      <c r="K337" s="116">
        <f t="shared" si="194"/>
        <v>0</v>
      </c>
      <c r="L337" s="116">
        <f t="shared" si="194"/>
        <v>0</v>
      </c>
      <c r="M337" s="116">
        <f t="shared" si="194"/>
        <v>0</v>
      </c>
      <c r="N337" s="116">
        <f t="shared" si="194"/>
        <v>0</v>
      </c>
      <c r="O337" s="116">
        <f t="shared" si="194"/>
        <v>0</v>
      </c>
      <c r="P337" s="116">
        <f t="shared" si="194"/>
        <v>0</v>
      </c>
      <c r="Q337" s="116">
        <f t="shared" si="194"/>
        <v>0</v>
      </c>
      <c r="R337" s="116">
        <f t="shared" si="194"/>
        <v>0</v>
      </c>
    </row>
    <row r="338" spans="1:18" x14ac:dyDescent="0.25">
      <c r="B338" t="s">
        <v>194</v>
      </c>
      <c r="D338" s="116">
        <f t="shared" si="183"/>
        <v>-41.83</v>
      </c>
      <c r="E338" s="116">
        <f t="shared" si="183"/>
        <v>-33.85</v>
      </c>
      <c r="F338" s="116">
        <f t="shared" si="183"/>
        <v>-99.97</v>
      </c>
      <c r="G338" s="116">
        <f t="shared" si="183"/>
        <v>-838.21</v>
      </c>
      <c r="H338" s="116">
        <f t="shared" si="183"/>
        <v>-15.17</v>
      </c>
      <c r="I338" s="116">
        <f t="shared" ref="I338:R338" si="195">I320+I303</f>
        <v>-205.98866666666669</v>
      </c>
      <c r="J338" s="116">
        <f t="shared" si="195"/>
        <v>-205.98866666666669</v>
      </c>
      <c r="K338" s="116">
        <f t="shared" si="195"/>
        <v>-205.98866666666669</v>
      </c>
      <c r="L338" s="116">
        <f t="shared" si="195"/>
        <v>-205.98866666666669</v>
      </c>
      <c r="M338" s="116">
        <f t="shared" si="195"/>
        <v>-205.98866666666669</v>
      </c>
      <c r="N338" s="116">
        <f t="shared" si="195"/>
        <v>-205.98866666666669</v>
      </c>
      <c r="O338" s="116">
        <f t="shared" si="195"/>
        <v>-205.98866666666669</v>
      </c>
      <c r="P338" s="116">
        <f t="shared" si="195"/>
        <v>-205.98866666666669</v>
      </c>
      <c r="Q338" s="116">
        <f t="shared" si="195"/>
        <v>-205.98866666666669</v>
      </c>
      <c r="R338" s="116">
        <f t="shared" si="195"/>
        <v>-205.98866666666669</v>
      </c>
    </row>
    <row r="339" spans="1:18" x14ac:dyDescent="0.25">
      <c r="B339" t="s">
        <v>193</v>
      </c>
      <c r="D339" s="116">
        <f t="shared" si="183"/>
        <v>0</v>
      </c>
      <c r="E339" s="116">
        <f t="shared" si="183"/>
        <v>0</v>
      </c>
      <c r="F339" s="116">
        <f t="shared" si="183"/>
        <v>0</v>
      </c>
      <c r="G339" s="116">
        <f t="shared" si="183"/>
        <v>0</v>
      </c>
      <c r="H339" s="116">
        <f t="shared" si="183"/>
        <v>0.03</v>
      </c>
      <c r="I339" s="116">
        <f t="shared" ref="I339:R339" si="196">I321+I304</f>
        <v>0.03</v>
      </c>
      <c r="J339" s="116">
        <f t="shared" si="196"/>
        <v>0.03</v>
      </c>
      <c r="K339" s="116">
        <f t="shared" si="196"/>
        <v>0.03</v>
      </c>
      <c r="L339" s="116">
        <f t="shared" si="196"/>
        <v>0.03</v>
      </c>
      <c r="M339" s="116">
        <f t="shared" si="196"/>
        <v>0.03</v>
      </c>
      <c r="N339" s="116">
        <f t="shared" si="196"/>
        <v>0.03</v>
      </c>
      <c r="O339" s="116">
        <f t="shared" si="196"/>
        <v>0.03</v>
      </c>
      <c r="P339" s="116">
        <f t="shared" si="196"/>
        <v>0.03</v>
      </c>
      <c r="Q339" s="116">
        <f t="shared" si="196"/>
        <v>0.03</v>
      </c>
      <c r="R339" s="116">
        <f t="shared" si="196"/>
        <v>0.03</v>
      </c>
    </row>
    <row r="340" spans="1:18" x14ac:dyDescent="0.25">
      <c r="B340" t="s">
        <v>192</v>
      </c>
      <c r="D340" s="116">
        <f t="shared" si="183"/>
        <v>0</v>
      </c>
      <c r="E340" s="116">
        <f t="shared" si="183"/>
        <v>0</v>
      </c>
      <c r="F340" s="116">
        <f t="shared" si="183"/>
        <v>0</v>
      </c>
      <c r="G340" s="116">
        <f t="shared" si="183"/>
        <v>0</v>
      </c>
      <c r="H340" s="116">
        <f t="shared" si="183"/>
        <v>0</v>
      </c>
      <c r="I340" s="116">
        <f t="shared" ref="I340:R340" si="197">I322+I305</f>
        <v>0</v>
      </c>
      <c r="J340" s="116">
        <f t="shared" si="197"/>
        <v>0</v>
      </c>
      <c r="K340" s="116">
        <f t="shared" si="197"/>
        <v>0</v>
      </c>
      <c r="L340" s="116">
        <f t="shared" si="197"/>
        <v>0</v>
      </c>
      <c r="M340" s="116">
        <f t="shared" si="197"/>
        <v>0</v>
      </c>
      <c r="N340" s="116">
        <f t="shared" si="197"/>
        <v>0</v>
      </c>
      <c r="O340" s="116">
        <f t="shared" si="197"/>
        <v>0</v>
      </c>
      <c r="P340" s="116">
        <f t="shared" si="197"/>
        <v>0</v>
      </c>
      <c r="Q340" s="116">
        <f t="shared" si="197"/>
        <v>0</v>
      </c>
      <c r="R340" s="116">
        <f t="shared" si="197"/>
        <v>0</v>
      </c>
    </row>
    <row r="341" spans="1:18" x14ac:dyDescent="0.25">
      <c r="B341" s="47" t="s">
        <v>197</v>
      </c>
      <c r="C341" s="5"/>
      <c r="D341" s="145">
        <f t="shared" si="183"/>
        <v>2318.4900000000002</v>
      </c>
      <c r="E341" s="145">
        <f t="shared" si="183"/>
        <v>3864.21</v>
      </c>
      <c r="F341" s="145">
        <f t="shared" si="183"/>
        <v>3550.24</v>
      </c>
      <c r="G341" s="145">
        <f t="shared" si="183"/>
        <v>1202.1300000000008</v>
      </c>
      <c r="H341" s="145">
        <f t="shared" si="183"/>
        <v>1726.7500000000016</v>
      </c>
      <c r="I341" s="145">
        <f t="shared" ref="I341:R341" si="198">I323+I306</f>
        <v>1499.504800000002</v>
      </c>
      <c r="J341" s="145">
        <f t="shared" si="198"/>
        <v>1272.2596000000026</v>
      </c>
      <c r="K341" s="145">
        <f t="shared" si="198"/>
        <v>1045.0144000000032</v>
      </c>
      <c r="L341" s="145">
        <f t="shared" si="198"/>
        <v>865.68075200000339</v>
      </c>
      <c r="M341" s="145">
        <f t="shared" si="198"/>
        <v>686.34710400000358</v>
      </c>
      <c r="N341" s="145">
        <f t="shared" si="198"/>
        <v>507.01345600000371</v>
      </c>
      <c r="O341" s="145">
        <f t="shared" si="198"/>
        <v>377.5078220800039</v>
      </c>
      <c r="P341" s="145">
        <f t="shared" si="198"/>
        <v>248.00218816000407</v>
      </c>
      <c r="Q341" s="145">
        <f t="shared" si="198"/>
        <v>118.49655424000423</v>
      </c>
      <c r="R341" s="145">
        <f t="shared" si="198"/>
        <v>40.812054963205206</v>
      </c>
    </row>
    <row r="344" spans="1:18" x14ac:dyDescent="0.25">
      <c r="A344" t="s">
        <v>207</v>
      </c>
      <c r="B344" s="294" t="s">
        <v>26</v>
      </c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</row>
    <row r="346" spans="1:18" x14ac:dyDescent="0.25">
      <c r="A346" t="s">
        <v>207</v>
      </c>
      <c r="B346" s="1" t="s">
        <v>26</v>
      </c>
    </row>
    <row r="347" spans="1:18" x14ac:dyDescent="0.25">
      <c r="B347" s="47" t="s">
        <v>191</v>
      </c>
      <c r="C347" s="5"/>
      <c r="D347" s="145">
        <v>30.9</v>
      </c>
      <c r="E347" s="145">
        <f>D353</f>
        <v>30.919999999999998</v>
      </c>
      <c r="F347" s="145">
        <f t="shared" ref="F347:R347" si="199">E353</f>
        <v>31.36</v>
      </c>
      <c r="G347" s="145">
        <f t="shared" si="199"/>
        <v>31.36</v>
      </c>
      <c r="H347" s="145">
        <f t="shared" si="199"/>
        <v>31.86</v>
      </c>
      <c r="I347" s="145">
        <f t="shared" si="199"/>
        <v>32.31</v>
      </c>
      <c r="J347" s="145">
        <f t="shared" si="199"/>
        <v>32.777999999999999</v>
      </c>
      <c r="K347" s="145">
        <f t="shared" si="199"/>
        <v>33.245999999999995</v>
      </c>
      <c r="L347" s="145">
        <f t="shared" si="199"/>
        <v>33.713999999999992</v>
      </c>
      <c r="M347" s="145">
        <f t="shared" si="199"/>
        <v>34.20071999999999</v>
      </c>
      <c r="N347" s="145">
        <f t="shared" si="199"/>
        <v>34.687439999999988</v>
      </c>
      <c r="O347" s="145">
        <f t="shared" si="199"/>
        <v>35.174159999999986</v>
      </c>
      <c r="P347" s="145">
        <f t="shared" si="199"/>
        <v>35.68034879999999</v>
      </c>
      <c r="Q347" s="145">
        <f t="shared" si="199"/>
        <v>36.186537599999994</v>
      </c>
      <c r="R347" s="145">
        <f t="shared" si="199"/>
        <v>36.692726399999998</v>
      </c>
    </row>
    <row r="348" spans="1:18" x14ac:dyDescent="0.25">
      <c r="B348" t="s">
        <v>190</v>
      </c>
      <c r="D348" s="116">
        <v>0.02</v>
      </c>
      <c r="E348" s="116">
        <v>0.44</v>
      </c>
      <c r="F348" s="116"/>
      <c r="G348" s="116">
        <v>0.5</v>
      </c>
      <c r="H348" s="116">
        <v>0.61</v>
      </c>
      <c r="I348" s="116">
        <f>H348*1.04</f>
        <v>0.63439999999999996</v>
      </c>
      <c r="J348" s="116">
        <f t="shared" ref="J348:K352" si="200">I348</f>
        <v>0.63439999999999996</v>
      </c>
      <c r="K348" s="116">
        <f t="shared" si="200"/>
        <v>0.63439999999999996</v>
      </c>
      <c r="L348" s="116">
        <f>K348*1.04</f>
        <v>0.65977600000000003</v>
      </c>
      <c r="M348" s="116">
        <f t="shared" ref="M348:N352" si="201">L348</f>
        <v>0.65977600000000003</v>
      </c>
      <c r="N348" s="116">
        <f t="shared" si="201"/>
        <v>0.65977600000000003</v>
      </c>
      <c r="O348" s="116">
        <f>N348*1.04</f>
        <v>0.68616704000000006</v>
      </c>
      <c r="P348" s="116">
        <f t="shared" ref="P348:Q352" si="202">O348</f>
        <v>0.68616704000000006</v>
      </c>
      <c r="Q348" s="116">
        <f t="shared" si="202"/>
        <v>0.68616704000000006</v>
      </c>
      <c r="R348" s="116">
        <f>Q348*1.04</f>
        <v>0.71361372160000014</v>
      </c>
    </row>
    <row r="349" spans="1:18" x14ac:dyDescent="0.25">
      <c r="B349" t="s">
        <v>192</v>
      </c>
      <c r="D349" s="116"/>
      <c r="E349" s="116"/>
      <c r="F349" s="116"/>
      <c r="G349" s="116"/>
      <c r="H349" s="116"/>
      <c r="I349" s="116">
        <f>H349*1.04</f>
        <v>0</v>
      </c>
      <c r="J349" s="116">
        <f t="shared" si="200"/>
        <v>0</v>
      </c>
      <c r="K349" s="116">
        <f t="shared" si="200"/>
        <v>0</v>
      </c>
      <c r="L349" s="116">
        <f>K349*1.04</f>
        <v>0</v>
      </c>
      <c r="M349" s="116">
        <f t="shared" si="201"/>
        <v>0</v>
      </c>
      <c r="N349" s="116">
        <f t="shared" si="201"/>
        <v>0</v>
      </c>
      <c r="O349" s="116">
        <f>N349*1.04</f>
        <v>0</v>
      </c>
      <c r="P349" s="116">
        <f t="shared" si="202"/>
        <v>0</v>
      </c>
      <c r="Q349" s="116">
        <f t="shared" si="202"/>
        <v>0</v>
      </c>
      <c r="R349" s="116">
        <f>Q349*1.04</f>
        <v>0</v>
      </c>
    </row>
    <row r="350" spans="1:18" x14ac:dyDescent="0.25">
      <c r="B350" t="s">
        <v>193</v>
      </c>
      <c r="D350" s="116"/>
      <c r="E350" s="116"/>
      <c r="F350" s="116"/>
      <c r="G350" s="116"/>
      <c r="H350" s="116"/>
      <c r="I350" s="116">
        <f>H350*1.04</f>
        <v>0</v>
      </c>
      <c r="J350" s="116">
        <f t="shared" si="200"/>
        <v>0</v>
      </c>
      <c r="K350" s="116">
        <f t="shared" si="200"/>
        <v>0</v>
      </c>
      <c r="L350" s="116">
        <f>K350*1.04</f>
        <v>0</v>
      </c>
      <c r="M350" s="116">
        <f t="shared" si="201"/>
        <v>0</v>
      </c>
      <c r="N350" s="116">
        <f t="shared" si="201"/>
        <v>0</v>
      </c>
      <c r="O350" s="116">
        <f>N350*1.04</f>
        <v>0</v>
      </c>
      <c r="P350" s="116">
        <f t="shared" si="202"/>
        <v>0</v>
      </c>
      <c r="Q350" s="116">
        <f t="shared" si="202"/>
        <v>0</v>
      </c>
      <c r="R350" s="116">
        <f>Q350*1.04</f>
        <v>0</v>
      </c>
    </row>
    <row r="351" spans="1:18" x14ac:dyDescent="0.25">
      <c r="B351" t="s">
        <v>198</v>
      </c>
      <c r="D351" s="116"/>
      <c r="E351" s="116"/>
      <c r="F351" s="116"/>
      <c r="G351" s="116"/>
      <c r="H351" s="116"/>
      <c r="I351" s="116">
        <f>H351*1.04</f>
        <v>0</v>
      </c>
      <c r="J351" s="116">
        <f t="shared" si="200"/>
        <v>0</v>
      </c>
      <c r="K351" s="116">
        <f t="shared" si="200"/>
        <v>0</v>
      </c>
      <c r="L351" s="116">
        <f>K351*1.04</f>
        <v>0</v>
      </c>
      <c r="M351" s="116">
        <f t="shared" si="201"/>
        <v>0</v>
      </c>
      <c r="N351" s="116">
        <f t="shared" si="201"/>
        <v>0</v>
      </c>
      <c r="O351" s="116">
        <f>N351*1.04</f>
        <v>0</v>
      </c>
      <c r="P351" s="116">
        <f t="shared" si="202"/>
        <v>0</v>
      </c>
      <c r="Q351" s="116">
        <f t="shared" si="202"/>
        <v>0</v>
      </c>
      <c r="R351" s="116">
        <f>Q351*1.04</f>
        <v>0</v>
      </c>
    </row>
    <row r="352" spans="1:18" x14ac:dyDescent="0.25">
      <c r="B352" t="s">
        <v>194</v>
      </c>
      <c r="D352" s="116"/>
      <c r="E352" s="116"/>
      <c r="F352" s="116"/>
      <c r="G352" s="116"/>
      <c r="H352" s="116">
        <v>-0.16</v>
      </c>
      <c r="I352" s="116">
        <f>H352*1.04</f>
        <v>-0.16640000000000002</v>
      </c>
      <c r="J352" s="116">
        <f t="shared" si="200"/>
        <v>-0.16640000000000002</v>
      </c>
      <c r="K352" s="116">
        <f t="shared" si="200"/>
        <v>-0.16640000000000002</v>
      </c>
      <c r="L352" s="116">
        <f>K352*1.04</f>
        <v>-0.17305600000000002</v>
      </c>
      <c r="M352" s="116">
        <f t="shared" si="201"/>
        <v>-0.17305600000000002</v>
      </c>
      <c r="N352" s="116">
        <f t="shared" si="201"/>
        <v>-0.17305600000000002</v>
      </c>
      <c r="O352" s="116">
        <f>N352*1.04</f>
        <v>-0.17997824000000001</v>
      </c>
      <c r="P352" s="116">
        <f t="shared" si="202"/>
        <v>-0.17997824000000001</v>
      </c>
      <c r="Q352" s="116">
        <f t="shared" si="202"/>
        <v>-0.17997824000000001</v>
      </c>
      <c r="R352" s="116">
        <f>Q352*1.04</f>
        <v>-0.18717736960000003</v>
      </c>
    </row>
    <row r="353" spans="2:18" x14ac:dyDescent="0.25">
      <c r="B353" s="47" t="s">
        <v>195</v>
      </c>
      <c r="C353" s="9"/>
      <c r="D353" s="145">
        <f>SUM(D347:D352)</f>
        <v>30.919999999999998</v>
      </c>
      <c r="E353" s="145">
        <f>SUM(E347:E352)</f>
        <v>31.36</v>
      </c>
      <c r="F353" s="145">
        <f>SUM(F347:F352)</f>
        <v>31.36</v>
      </c>
      <c r="G353" s="145">
        <f>SUM(G347:G352)</f>
        <v>31.86</v>
      </c>
      <c r="H353" s="145">
        <f>SUM(H347:H352)</f>
        <v>32.31</v>
      </c>
      <c r="I353" s="145">
        <f t="shared" ref="I353:R353" si="203">SUM(I347:I352)</f>
        <v>32.777999999999999</v>
      </c>
      <c r="J353" s="145">
        <f t="shared" si="203"/>
        <v>33.245999999999995</v>
      </c>
      <c r="K353" s="145">
        <f t="shared" si="203"/>
        <v>33.713999999999992</v>
      </c>
      <c r="L353" s="145">
        <f t="shared" si="203"/>
        <v>34.20071999999999</v>
      </c>
      <c r="M353" s="145">
        <f t="shared" si="203"/>
        <v>34.687439999999988</v>
      </c>
      <c r="N353" s="145">
        <f t="shared" si="203"/>
        <v>35.174159999999986</v>
      </c>
      <c r="O353" s="145">
        <f t="shared" si="203"/>
        <v>35.68034879999999</v>
      </c>
      <c r="P353" s="145">
        <f t="shared" si="203"/>
        <v>36.186537599999994</v>
      </c>
      <c r="Q353" s="145">
        <f t="shared" si="203"/>
        <v>36.692726399999998</v>
      </c>
      <c r="R353" s="145">
        <f t="shared" si="203"/>
        <v>37.219162751999995</v>
      </c>
    </row>
    <row r="354" spans="2:18" x14ac:dyDescent="0.25">
      <c r="B354" s="46" t="s">
        <v>196</v>
      </c>
      <c r="D354" s="116">
        <v>2.14</v>
      </c>
      <c r="E354" s="116">
        <v>2.81</v>
      </c>
      <c r="F354" s="116">
        <v>3.52</v>
      </c>
      <c r="G354" s="116">
        <v>4.2300000000000004</v>
      </c>
      <c r="H354" s="116">
        <v>4.95</v>
      </c>
      <c r="I354" s="116">
        <f t="shared" ref="I354:R354" si="204">SUM(H354:H360)-H355</f>
        <v>5.45</v>
      </c>
      <c r="J354" s="116">
        <f t="shared" si="204"/>
        <v>5.9700000000000006</v>
      </c>
      <c r="K354" s="116">
        <f t="shared" si="204"/>
        <v>6.4900000000000011</v>
      </c>
      <c r="L354" s="116">
        <f t="shared" si="204"/>
        <v>7.0100000000000016</v>
      </c>
      <c r="M354" s="116">
        <f t="shared" si="204"/>
        <v>7.5508000000000015</v>
      </c>
      <c r="N354" s="116">
        <f t="shared" si="204"/>
        <v>8.0916000000000015</v>
      </c>
      <c r="O354" s="116">
        <f t="shared" si="204"/>
        <v>8.6324000000000005</v>
      </c>
      <c r="P354" s="116">
        <f t="shared" si="204"/>
        <v>9.1948319999999999</v>
      </c>
      <c r="Q354" s="116">
        <f t="shared" si="204"/>
        <v>9.7572639999999993</v>
      </c>
      <c r="R354" s="116">
        <f t="shared" si="204"/>
        <v>10.319695999999999</v>
      </c>
    </row>
    <row r="355" spans="2:18" x14ac:dyDescent="0.25">
      <c r="B355" s="46" t="s">
        <v>220</v>
      </c>
      <c r="D355" s="116"/>
      <c r="E355" s="116"/>
      <c r="F355" s="116"/>
      <c r="G355" s="116"/>
      <c r="H355" s="116"/>
      <c r="I355" s="116">
        <f t="shared" ref="I355:I360" si="205">H355*1.04</f>
        <v>0</v>
      </c>
      <c r="J355" s="116">
        <f t="shared" ref="J355:K360" si="206">I355</f>
        <v>0</v>
      </c>
      <c r="K355" s="116">
        <f t="shared" si="206"/>
        <v>0</v>
      </c>
      <c r="L355" s="116">
        <f t="shared" ref="L355:L360" si="207">K355*1.04</f>
        <v>0</v>
      </c>
      <c r="M355" s="116">
        <f t="shared" ref="M355:N360" si="208">L355</f>
        <v>0</v>
      </c>
      <c r="N355" s="116">
        <f t="shared" si="208"/>
        <v>0</v>
      </c>
      <c r="O355" s="116">
        <f t="shared" ref="O355:O360" si="209">N355*1.04</f>
        <v>0</v>
      </c>
      <c r="P355" s="116">
        <f t="shared" ref="P355:Q360" si="210">O355</f>
        <v>0</v>
      </c>
      <c r="Q355" s="116">
        <f t="shared" si="210"/>
        <v>0</v>
      </c>
      <c r="R355" s="116">
        <f t="shared" ref="R355:R360" si="211">Q355*1.04</f>
        <v>0</v>
      </c>
    </row>
    <row r="356" spans="2:18" x14ac:dyDescent="0.25">
      <c r="B356" t="s">
        <v>221</v>
      </c>
      <c r="D356" s="116">
        <v>0.67</v>
      </c>
      <c r="E356" s="116">
        <v>0.71</v>
      </c>
      <c r="F356" s="116">
        <v>0.71</v>
      </c>
      <c r="G356" s="116">
        <v>0.72</v>
      </c>
      <c r="H356" s="116">
        <v>0.65</v>
      </c>
      <c r="I356" s="116">
        <f t="shared" si="205"/>
        <v>0.67600000000000005</v>
      </c>
      <c r="J356" s="116">
        <f t="shared" si="206"/>
        <v>0.67600000000000005</v>
      </c>
      <c r="K356" s="116">
        <f t="shared" si="206"/>
        <v>0.67600000000000005</v>
      </c>
      <c r="L356" s="116">
        <f t="shared" si="207"/>
        <v>0.70304000000000011</v>
      </c>
      <c r="M356" s="116">
        <f t="shared" si="208"/>
        <v>0.70304000000000011</v>
      </c>
      <c r="N356" s="116">
        <f t="shared" si="208"/>
        <v>0.70304000000000011</v>
      </c>
      <c r="O356" s="116">
        <f t="shared" si="209"/>
        <v>0.73116160000000019</v>
      </c>
      <c r="P356" s="116">
        <f t="shared" si="210"/>
        <v>0.73116160000000019</v>
      </c>
      <c r="Q356" s="116">
        <f t="shared" si="210"/>
        <v>0.73116160000000019</v>
      </c>
      <c r="R356" s="116">
        <f t="shared" si="211"/>
        <v>0.76040806400000027</v>
      </c>
    </row>
    <row r="357" spans="2:18" x14ac:dyDescent="0.25">
      <c r="B357" t="s">
        <v>198</v>
      </c>
      <c r="D357" s="116"/>
      <c r="E357" s="116"/>
      <c r="F357" s="116"/>
      <c r="G357" s="116"/>
      <c r="H357" s="116"/>
      <c r="I357" s="116">
        <f t="shared" si="205"/>
        <v>0</v>
      </c>
      <c r="J357" s="116">
        <f t="shared" si="206"/>
        <v>0</v>
      </c>
      <c r="K357" s="116">
        <f t="shared" si="206"/>
        <v>0</v>
      </c>
      <c r="L357" s="116">
        <f t="shared" si="207"/>
        <v>0</v>
      </c>
      <c r="M357" s="116">
        <f t="shared" si="208"/>
        <v>0</v>
      </c>
      <c r="N357" s="116">
        <f t="shared" si="208"/>
        <v>0</v>
      </c>
      <c r="O357" s="116">
        <f t="shared" si="209"/>
        <v>0</v>
      </c>
      <c r="P357" s="116">
        <f t="shared" si="210"/>
        <v>0</v>
      </c>
      <c r="Q357" s="116">
        <f t="shared" si="210"/>
        <v>0</v>
      </c>
      <c r="R357" s="116">
        <f t="shared" si="211"/>
        <v>0</v>
      </c>
    </row>
    <row r="358" spans="2:18" x14ac:dyDescent="0.25">
      <c r="B358" t="s">
        <v>194</v>
      </c>
      <c r="D358" s="116"/>
      <c r="E358" s="116"/>
      <c r="F358" s="116"/>
      <c r="G358" s="116"/>
      <c r="H358" s="116">
        <v>-0.15</v>
      </c>
      <c r="I358" s="116">
        <f t="shared" si="205"/>
        <v>-0.156</v>
      </c>
      <c r="J358" s="116">
        <f t="shared" si="206"/>
        <v>-0.156</v>
      </c>
      <c r="K358" s="116">
        <f t="shared" si="206"/>
        <v>-0.156</v>
      </c>
      <c r="L358" s="116">
        <f t="shared" si="207"/>
        <v>-0.16224</v>
      </c>
      <c r="M358" s="116">
        <f t="shared" si="208"/>
        <v>-0.16224</v>
      </c>
      <c r="N358" s="116">
        <f t="shared" si="208"/>
        <v>-0.16224</v>
      </c>
      <c r="O358" s="116">
        <f t="shared" si="209"/>
        <v>-0.16872960000000001</v>
      </c>
      <c r="P358" s="116">
        <f t="shared" si="210"/>
        <v>-0.16872960000000001</v>
      </c>
      <c r="Q358" s="116">
        <f t="shared" si="210"/>
        <v>-0.16872960000000001</v>
      </c>
      <c r="R358" s="116">
        <f t="shared" si="211"/>
        <v>-0.17547878400000003</v>
      </c>
    </row>
    <row r="359" spans="2:18" x14ac:dyDescent="0.25">
      <c r="B359" t="s">
        <v>193</v>
      </c>
      <c r="D359" s="116"/>
      <c r="E359" s="116"/>
      <c r="F359" s="116"/>
      <c r="G359" s="116"/>
      <c r="H359" s="116"/>
      <c r="I359" s="116">
        <f t="shared" si="205"/>
        <v>0</v>
      </c>
      <c r="J359" s="116">
        <f t="shared" si="206"/>
        <v>0</v>
      </c>
      <c r="K359" s="116">
        <f t="shared" si="206"/>
        <v>0</v>
      </c>
      <c r="L359" s="116">
        <f t="shared" si="207"/>
        <v>0</v>
      </c>
      <c r="M359" s="116">
        <f t="shared" si="208"/>
        <v>0</v>
      </c>
      <c r="N359" s="116">
        <f t="shared" si="208"/>
        <v>0</v>
      </c>
      <c r="O359" s="116">
        <f t="shared" si="209"/>
        <v>0</v>
      </c>
      <c r="P359" s="116">
        <f t="shared" si="210"/>
        <v>0</v>
      </c>
      <c r="Q359" s="116">
        <f t="shared" si="210"/>
        <v>0</v>
      </c>
      <c r="R359" s="116">
        <f t="shared" si="211"/>
        <v>0</v>
      </c>
    </row>
    <row r="360" spans="2:18" x14ac:dyDescent="0.25">
      <c r="B360" t="s">
        <v>192</v>
      </c>
      <c r="D360" s="116"/>
      <c r="E360" s="116"/>
      <c r="F360" s="116"/>
      <c r="G360" s="116"/>
      <c r="H360" s="116"/>
      <c r="I360" s="116">
        <f t="shared" si="205"/>
        <v>0</v>
      </c>
      <c r="J360" s="116">
        <f t="shared" si="206"/>
        <v>0</v>
      </c>
      <c r="K360" s="116">
        <f t="shared" si="206"/>
        <v>0</v>
      </c>
      <c r="L360" s="116">
        <f t="shared" si="207"/>
        <v>0</v>
      </c>
      <c r="M360" s="116">
        <f t="shared" si="208"/>
        <v>0</v>
      </c>
      <c r="N360" s="116">
        <f t="shared" si="208"/>
        <v>0</v>
      </c>
      <c r="O360" s="116">
        <f t="shared" si="209"/>
        <v>0</v>
      </c>
      <c r="P360" s="116">
        <f t="shared" si="210"/>
        <v>0</v>
      </c>
      <c r="Q360" s="116">
        <f t="shared" si="210"/>
        <v>0</v>
      </c>
      <c r="R360" s="116">
        <f t="shared" si="211"/>
        <v>0</v>
      </c>
    </row>
    <row r="361" spans="2:18" x14ac:dyDescent="0.25">
      <c r="B361" s="47" t="s">
        <v>197</v>
      </c>
      <c r="C361" s="9"/>
      <c r="D361" s="145">
        <f>D353-SUM(D354:D358)</f>
        <v>28.11</v>
      </c>
      <c r="E361" s="145">
        <f>E353-SUM(E354:E358)</f>
        <v>27.84</v>
      </c>
      <c r="F361" s="145">
        <f>F353-SUM(F354:F358)</f>
        <v>27.13</v>
      </c>
      <c r="G361" s="145">
        <f>G353-SUM(G354:G358)</f>
        <v>26.91</v>
      </c>
      <c r="H361" s="145">
        <f>H353-SUM(H354:H358)</f>
        <v>26.860000000000003</v>
      </c>
      <c r="I361" s="145">
        <f t="shared" ref="I361:R361" si="212">I353-SUM(I354:I358)</f>
        <v>26.808</v>
      </c>
      <c r="J361" s="145">
        <f t="shared" si="212"/>
        <v>26.755999999999993</v>
      </c>
      <c r="K361" s="145">
        <f t="shared" si="212"/>
        <v>26.70399999999999</v>
      </c>
      <c r="L361" s="145">
        <f t="shared" si="212"/>
        <v>26.649919999999987</v>
      </c>
      <c r="M361" s="145">
        <f t="shared" si="212"/>
        <v>26.595839999999988</v>
      </c>
      <c r="N361" s="145">
        <f t="shared" si="212"/>
        <v>26.541759999999986</v>
      </c>
      <c r="O361" s="145">
        <f t="shared" si="212"/>
        <v>26.485516799999992</v>
      </c>
      <c r="P361" s="145">
        <f t="shared" si="212"/>
        <v>26.429273599999995</v>
      </c>
      <c r="Q361" s="145">
        <f t="shared" si="212"/>
        <v>26.373030399999998</v>
      </c>
      <c r="R361" s="145">
        <f t="shared" si="212"/>
        <v>26.314537471999998</v>
      </c>
    </row>
    <row r="362" spans="2:18" x14ac:dyDescent="0.25"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</row>
    <row r="363" spans="2:18" x14ac:dyDescent="0.25"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</row>
    <row r="364" spans="2:18" x14ac:dyDescent="0.25"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</row>
    <row r="365" spans="2:18" x14ac:dyDescent="0.25">
      <c r="B365" s="47" t="s">
        <v>191</v>
      </c>
      <c r="C365" s="5"/>
      <c r="D365" s="145">
        <f t="shared" ref="D365:H379" si="213">D347+D327+D272+D150</f>
        <v>3219.36</v>
      </c>
      <c r="E365" s="145">
        <f t="shared" si="213"/>
        <v>3737.4500000000003</v>
      </c>
      <c r="F365" s="145">
        <f t="shared" si="213"/>
        <v>5620.09</v>
      </c>
      <c r="G365" s="145">
        <f t="shared" si="213"/>
        <v>5813.27</v>
      </c>
      <c r="H365" s="145">
        <f t="shared" si="213"/>
        <v>3457.4700000000007</v>
      </c>
      <c r="I365" s="145">
        <f t="shared" ref="I365:R365" si="214">I347+I327+I272+I150</f>
        <v>5702.6700000000019</v>
      </c>
      <c r="J365" s="145">
        <f t="shared" si="214"/>
        <v>6170.8154666666687</v>
      </c>
      <c r="K365" s="145">
        <f t="shared" si="214"/>
        <v>6639.5791333333364</v>
      </c>
      <c r="L365" s="145">
        <f t="shared" si="214"/>
        <v>7109.0228200000029</v>
      </c>
      <c r="M365" s="145">
        <f t="shared" si="214"/>
        <v>7627.1448006666687</v>
      </c>
      <c r="N365" s="145">
        <f t="shared" si="214"/>
        <v>8146.0896055333378</v>
      </c>
      <c r="O365" s="145">
        <f t="shared" si="214"/>
        <v>8665.9395170200041</v>
      </c>
      <c r="P365" s="145">
        <f t="shared" si="214"/>
        <v>9236.6325286686697</v>
      </c>
      <c r="Q365" s="145">
        <f t="shared" si="214"/>
        <v>9808.4207193275379</v>
      </c>
      <c r="R365" s="145">
        <f t="shared" si="214"/>
        <v>10381.413606897626</v>
      </c>
    </row>
    <row r="366" spans="2:18" x14ac:dyDescent="0.25">
      <c r="B366" t="s">
        <v>190</v>
      </c>
      <c r="D366" s="116">
        <f t="shared" si="213"/>
        <v>904.92000000000007</v>
      </c>
      <c r="E366" s="116">
        <f t="shared" si="213"/>
        <v>2380.02</v>
      </c>
      <c r="F366" s="116">
        <f t="shared" si="213"/>
        <v>1581.95</v>
      </c>
      <c r="G366" s="116">
        <f t="shared" si="213"/>
        <v>2287.0500000000002</v>
      </c>
      <c r="H366" s="116">
        <f t="shared" si="213"/>
        <v>2476.2199999999993</v>
      </c>
      <c r="I366" s="116">
        <f t="shared" ref="I366:R366" si="215">I348+I328+I273+I151</f>
        <v>1751.0658666666668</v>
      </c>
      <c r="J366" s="116">
        <f t="shared" si="215"/>
        <v>1751.6840666666667</v>
      </c>
      <c r="K366" s="116">
        <f t="shared" si="215"/>
        <v>1752.3640866666667</v>
      </c>
      <c r="L366" s="116">
        <f t="shared" si="215"/>
        <v>1801.0490366666668</v>
      </c>
      <c r="M366" s="116">
        <f t="shared" si="215"/>
        <v>1801.8718608666668</v>
      </c>
      <c r="N366" s="116">
        <f t="shared" si="215"/>
        <v>1802.7769674866668</v>
      </c>
      <c r="O366" s="116">
        <f t="shared" si="215"/>
        <v>1853.6269898886669</v>
      </c>
      <c r="P366" s="116">
        <f t="shared" si="215"/>
        <v>1854.722168898867</v>
      </c>
      <c r="Q366" s="116">
        <f t="shared" si="215"/>
        <v>1855.9268658100871</v>
      </c>
      <c r="R366" s="116">
        <f t="shared" si="215"/>
        <v>1909.1006137372292</v>
      </c>
    </row>
    <row r="367" spans="2:18" x14ac:dyDescent="0.25">
      <c r="B367" t="s">
        <v>192</v>
      </c>
      <c r="D367" s="116">
        <f t="shared" si="213"/>
        <v>0</v>
      </c>
      <c r="E367" s="116">
        <f t="shared" si="213"/>
        <v>0</v>
      </c>
      <c r="F367" s="116">
        <f t="shared" si="213"/>
        <v>0</v>
      </c>
      <c r="G367" s="116">
        <f t="shared" si="213"/>
        <v>0</v>
      </c>
      <c r="H367" s="116">
        <f t="shared" si="213"/>
        <v>190.14000000000001</v>
      </c>
      <c r="I367" s="116">
        <f t="shared" ref="I367:R367" si="216">I349+I329+I274+I152</f>
        <v>190.14000000000001</v>
      </c>
      <c r="J367" s="116">
        <f t="shared" si="216"/>
        <v>190.14000000000001</v>
      </c>
      <c r="K367" s="116">
        <f t="shared" si="216"/>
        <v>190.14000000000001</v>
      </c>
      <c r="L367" s="116">
        <f t="shared" si="216"/>
        <v>190.14000000000001</v>
      </c>
      <c r="M367" s="116">
        <f t="shared" si="216"/>
        <v>190.14000000000001</v>
      </c>
      <c r="N367" s="116">
        <f t="shared" si="216"/>
        <v>190.14000000000001</v>
      </c>
      <c r="O367" s="116">
        <f t="shared" si="216"/>
        <v>190.14000000000001</v>
      </c>
      <c r="P367" s="116">
        <f t="shared" si="216"/>
        <v>190.14000000000001</v>
      </c>
      <c r="Q367" s="116">
        <f t="shared" si="216"/>
        <v>190.14000000000001</v>
      </c>
      <c r="R367" s="116">
        <f t="shared" si="216"/>
        <v>190.14000000000001</v>
      </c>
    </row>
    <row r="368" spans="2:18" x14ac:dyDescent="0.25">
      <c r="B368" t="s">
        <v>193</v>
      </c>
      <c r="D368" s="116">
        <f t="shared" si="213"/>
        <v>0</v>
      </c>
      <c r="E368" s="116">
        <f t="shared" si="213"/>
        <v>0</v>
      </c>
      <c r="F368" s="116">
        <f t="shared" si="213"/>
        <v>0</v>
      </c>
      <c r="G368" s="116">
        <f t="shared" si="213"/>
        <v>0</v>
      </c>
      <c r="H368" s="116">
        <f t="shared" si="213"/>
        <v>0.31000000000000005</v>
      </c>
      <c r="I368" s="116">
        <f t="shared" ref="I368:R368" si="217">I350+I330+I275+I153</f>
        <v>0.31000000000000005</v>
      </c>
      <c r="J368" s="116">
        <f t="shared" si="217"/>
        <v>0.31000000000000005</v>
      </c>
      <c r="K368" s="116">
        <f t="shared" si="217"/>
        <v>0.31000000000000005</v>
      </c>
      <c r="L368" s="116">
        <f t="shared" si="217"/>
        <v>0.31000000000000005</v>
      </c>
      <c r="M368" s="116">
        <f t="shared" si="217"/>
        <v>0.31000000000000005</v>
      </c>
      <c r="N368" s="116">
        <f t="shared" si="217"/>
        <v>0.31000000000000005</v>
      </c>
      <c r="O368" s="116">
        <f t="shared" si="217"/>
        <v>0.31000000000000005</v>
      </c>
      <c r="P368" s="116">
        <f t="shared" si="217"/>
        <v>0.31000000000000005</v>
      </c>
      <c r="Q368" s="116">
        <f t="shared" si="217"/>
        <v>0.31000000000000005</v>
      </c>
      <c r="R368" s="116">
        <f t="shared" si="217"/>
        <v>0.31000000000000005</v>
      </c>
    </row>
    <row r="369" spans="2:18" x14ac:dyDescent="0.25">
      <c r="B369" t="s">
        <v>198</v>
      </c>
      <c r="D369" s="116">
        <f t="shared" si="213"/>
        <v>-4.8</v>
      </c>
      <c r="E369" s="116">
        <f t="shared" si="213"/>
        <v>-8.02</v>
      </c>
      <c r="F369" s="116">
        <f t="shared" si="213"/>
        <v>0</v>
      </c>
      <c r="G369" s="116">
        <f t="shared" si="213"/>
        <v>0</v>
      </c>
      <c r="H369" s="116">
        <f t="shared" si="213"/>
        <v>0</v>
      </c>
      <c r="I369" s="116">
        <f t="shared" ref="I369:R369" si="218">I351+I331+I276+I154</f>
        <v>-5.66</v>
      </c>
      <c r="J369" s="116">
        <f t="shared" si="218"/>
        <v>-5.66</v>
      </c>
      <c r="K369" s="116">
        <f t="shared" si="218"/>
        <v>-5.66</v>
      </c>
      <c r="L369" s="116">
        <f t="shared" si="218"/>
        <v>-5.66</v>
      </c>
      <c r="M369" s="116">
        <f t="shared" si="218"/>
        <v>-5.66</v>
      </c>
      <c r="N369" s="116">
        <f t="shared" si="218"/>
        <v>-5.66</v>
      </c>
      <c r="O369" s="116">
        <f t="shared" si="218"/>
        <v>-5.66</v>
      </c>
      <c r="P369" s="116">
        <f t="shared" si="218"/>
        <v>-5.66</v>
      </c>
      <c r="Q369" s="116">
        <f t="shared" si="218"/>
        <v>-5.66</v>
      </c>
      <c r="R369" s="116">
        <f t="shared" si="218"/>
        <v>-5.66</v>
      </c>
    </row>
    <row r="370" spans="2:18" x14ac:dyDescent="0.25">
      <c r="B370" t="s">
        <v>194</v>
      </c>
      <c r="D370" s="116">
        <f t="shared" si="213"/>
        <v>-382.03000000000003</v>
      </c>
      <c r="E370" s="116">
        <f t="shared" si="213"/>
        <v>-489.36</v>
      </c>
      <c r="F370" s="116">
        <f t="shared" si="213"/>
        <v>-1388.7700000000002</v>
      </c>
      <c r="G370" s="116">
        <f t="shared" si="213"/>
        <v>-4642.8499999999995</v>
      </c>
      <c r="H370" s="116">
        <f t="shared" si="213"/>
        <v>-421.46999999999997</v>
      </c>
      <c r="I370" s="116">
        <f t="shared" ref="I370:R370" si="219">I352+I332+I277+I155</f>
        <v>-1467.7103999999999</v>
      </c>
      <c r="J370" s="116">
        <f t="shared" si="219"/>
        <v>-1467.7103999999999</v>
      </c>
      <c r="K370" s="116">
        <f t="shared" si="219"/>
        <v>-1467.7103999999999</v>
      </c>
      <c r="L370" s="116">
        <f t="shared" si="219"/>
        <v>-1467.717056</v>
      </c>
      <c r="M370" s="116">
        <f t="shared" si="219"/>
        <v>-1467.717056</v>
      </c>
      <c r="N370" s="116">
        <f t="shared" si="219"/>
        <v>-1467.717056</v>
      </c>
      <c r="O370" s="116">
        <f t="shared" si="219"/>
        <v>-1467.7239782400002</v>
      </c>
      <c r="P370" s="116">
        <f t="shared" si="219"/>
        <v>-1467.7239782400002</v>
      </c>
      <c r="Q370" s="116">
        <f t="shared" si="219"/>
        <v>-1467.7239782400002</v>
      </c>
      <c r="R370" s="116">
        <f t="shared" si="219"/>
        <v>-1467.7311773696001</v>
      </c>
    </row>
    <row r="371" spans="2:18" x14ac:dyDescent="0.25">
      <c r="B371" s="47" t="s">
        <v>195</v>
      </c>
      <c r="C371" s="5"/>
      <c r="D371" s="145">
        <f t="shared" si="213"/>
        <v>3737.4500000000003</v>
      </c>
      <c r="E371" s="145">
        <f t="shared" si="213"/>
        <v>5620.09</v>
      </c>
      <c r="F371" s="145">
        <f t="shared" si="213"/>
        <v>5813.27</v>
      </c>
      <c r="G371" s="145">
        <f t="shared" si="213"/>
        <v>3457.4700000000007</v>
      </c>
      <c r="H371" s="145">
        <f t="shared" si="213"/>
        <v>5702.6700000000019</v>
      </c>
      <c r="I371" s="145">
        <f t="shared" ref="I371:R371" si="220">I353+I333+I278+I156</f>
        <v>6170.8154666666687</v>
      </c>
      <c r="J371" s="145">
        <f t="shared" si="220"/>
        <v>6639.5791333333364</v>
      </c>
      <c r="K371" s="145">
        <f t="shared" si="220"/>
        <v>7109.0228200000029</v>
      </c>
      <c r="L371" s="145">
        <f t="shared" si="220"/>
        <v>7627.1448006666687</v>
      </c>
      <c r="M371" s="145">
        <f t="shared" si="220"/>
        <v>8146.0896055333378</v>
      </c>
      <c r="N371" s="145">
        <f t="shared" si="220"/>
        <v>8665.9395170200041</v>
      </c>
      <c r="O371" s="145">
        <f t="shared" si="220"/>
        <v>9236.6325286686697</v>
      </c>
      <c r="P371" s="145">
        <f t="shared" si="220"/>
        <v>9808.4207193275379</v>
      </c>
      <c r="Q371" s="145">
        <f t="shared" si="220"/>
        <v>10381.413606897626</v>
      </c>
      <c r="R371" s="145">
        <f t="shared" si="220"/>
        <v>11007.573043265254</v>
      </c>
    </row>
    <row r="372" spans="2:18" x14ac:dyDescent="0.25">
      <c r="B372" s="46" t="s">
        <v>196</v>
      </c>
      <c r="D372" s="116">
        <f t="shared" si="213"/>
        <v>501.84</v>
      </c>
      <c r="E372" s="116">
        <f t="shared" si="213"/>
        <v>703.27</v>
      </c>
      <c r="F372" s="116">
        <f t="shared" si="213"/>
        <v>952.9799999999999</v>
      </c>
      <c r="G372" s="116">
        <f t="shared" si="213"/>
        <v>1305.48</v>
      </c>
      <c r="H372" s="116">
        <f t="shared" si="213"/>
        <v>1027.3</v>
      </c>
      <c r="I372" s="116">
        <f t="shared" ref="I372:R372" si="221">I354+I334+I279+I157</f>
        <v>1824.9299999999998</v>
      </c>
      <c r="J372" s="116">
        <f t="shared" si="221"/>
        <v>2131.6698333333329</v>
      </c>
      <c r="K372" s="116">
        <f t="shared" si="221"/>
        <v>2438.4096666666665</v>
      </c>
      <c r="L372" s="116">
        <f t="shared" si="221"/>
        <v>2745.1495000000004</v>
      </c>
      <c r="M372" s="116">
        <f t="shared" si="221"/>
        <v>3051.9101333333329</v>
      </c>
      <c r="N372" s="116">
        <f t="shared" si="221"/>
        <v>3358.6707666666671</v>
      </c>
      <c r="O372" s="116">
        <f t="shared" si="221"/>
        <v>3665.4313999999995</v>
      </c>
      <c r="P372" s="116">
        <f t="shared" si="221"/>
        <v>3972.2136653333337</v>
      </c>
      <c r="Q372" s="116">
        <f t="shared" si="221"/>
        <v>4278.995930666666</v>
      </c>
      <c r="R372" s="116">
        <f t="shared" si="221"/>
        <v>4585.7781959999993</v>
      </c>
    </row>
    <row r="373" spans="2:18" x14ac:dyDescent="0.25">
      <c r="B373" s="46" t="s">
        <v>220</v>
      </c>
      <c r="D373" s="116">
        <f t="shared" si="213"/>
        <v>7.5500000000000007</v>
      </c>
      <c r="E373" s="116">
        <f t="shared" si="213"/>
        <v>7.6000000000000005</v>
      </c>
      <c r="F373" s="116">
        <f t="shared" si="213"/>
        <v>8.0299999999999994</v>
      </c>
      <c r="G373" s="116">
        <f t="shared" si="213"/>
        <v>7.44</v>
      </c>
      <c r="H373" s="116">
        <f t="shared" si="213"/>
        <v>9.8000000000000007</v>
      </c>
      <c r="I373" s="116">
        <f t="shared" ref="I373:R373" si="222">I355+I335+I280+I158</f>
        <v>8.0839999999999996</v>
      </c>
      <c r="J373" s="116">
        <f t="shared" si="222"/>
        <v>8.0839999999999996</v>
      </c>
      <c r="K373" s="116">
        <f t="shared" si="222"/>
        <v>8.0839999999999996</v>
      </c>
      <c r="L373" s="116">
        <f t="shared" si="222"/>
        <v>8.0839999999999996</v>
      </c>
      <c r="M373" s="116">
        <f t="shared" si="222"/>
        <v>8.0839999999999996</v>
      </c>
      <c r="N373" s="116">
        <f t="shared" si="222"/>
        <v>8.0839999999999996</v>
      </c>
      <c r="O373" s="116">
        <f t="shared" si="222"/>
        <v>8.0839999999999996</v>
      </c>
      <c r="P373" s="116">
        <f t="shared" si="222"/>
        <v>8.0839999999999996</v>
      </c>
      <c r="Q373" s="116">
        <f t="shared" si="222"/>
        <v>8.0839999999999996</v>
      </c>
      <c r="R373" s="116">
        <f t="shared" si="222"/>
        <v>8.0839999999999996</v>
      </c>
    </row>
    <row r="374" spans="2:18" x14ac:dyDescent="0.25">
      <c r="B374" s="1" t="s">
        <v>221</v>
      </c>
      <c r="C374" s="1"/>
      <c r="D374" s="161">
        <f t="shared" si="213"/>
        <v>257.31</v>
      </c>
      <c r="E374" s="161">
        <f t="shared" si="213"/>
        <v>310.8</v>
      </c>
      <c r="F374" s="161">
        <f t="shared" si="213"/>
        <v>493.68999999999994</v>
      </c>
      <c r="G374" s="161">
        <f t="shared" si="213"/>
        <v>671.11</v>
      </c>
      <c r="H374" s="161">
        <f t="shared" si="213"/>
        <v>895.18000000000006</v>
      </c>
      <c r="I374" s="161">
        <f t="shared" ref="I374:R374" si="223">I356+I336+I281+I159</f>
        <v>525.60199999999986</v>
      </c>
      <c r="J374" s="161">
        <f t="shared" si="223"/>
        <v>525.60199999999986</v>
      </c>
      <c r="K374" s="161">
        <f t="shared" si="223"/>
        <v>525.60199999999986</v>
      </c>
      <c r="L374" s="161">
        <f t="shared" si="223"/>
        <v>525.62903999999992</v>
      </c>
      <c r="M374" s="161">
        <f t="shared" si="223"/>
        <v>525.62903999999992</v>
      </c>
      <c r="N374" s="161">
        <f t="shared" si="223"/>
        <v>525.62903999999992</v>
      </c>
      <c r="O374" s="161">
        <f t="shared" si="223"/>
        <v>525.65716159999988</v>
      </c>
      <c r="P374" s="161">
        <f t="shared" si="223"/>
        <v>525.65716159999988</v>
      </c>
      <c r="Q374" s="161">
        <f t="shared" si="223"/>
        <v>525.65716159999988</v>
      </c>
      <c r="R374" s="161">
        <f t="shared" si="223"/>
        <v>525.68640806399992</v>
      </c>
    </row>
    <row r="375" spans="2:18" x14ac:dyDescent="0.25">
      <c r="B375" t="s">
        <v>198</v>
      </c>
      <c r="D375" s="116">
        <f t="shared" si="213"/>
        <v>-0.46000000000000008</v>
      </c>
      <c r="E375" s="116">
        <f t="shared" si="213"/>
        <v>-1.6300000000000001</v>
      </c>
      <c r="F375" s="116">
        <f t="shared" si="213"/>
        <v>-1.98</v>
      </c>
      <c r="G375" s="116">
        <f t="shared" si="213"/>
        <v>0</v>
      </c>
      <c r="H375" s="116">
        <f t="shared" si="213"/>
        <v>0</v>
      </c>
      <c r="I375" s="116">
        <f t="shared" ref="I375:R375" si="224">I357+I337+I282+I160</f>
        <v>-1.69</v>
      </c>
      <c r="J375" s="116">
        <f t="shared" si="224"/>
        <v>-1.69</v>
      </c>
      <c r="K375" s="116">
        <f t="shared" si="224"/>
        <v>-1.69</v>
      </c>
      <c r="L375" s="116">
        <f t="shared" si="224"/>
        <v>-1.69</v>
      </c>
      <c r="M375" s="116">
        <f t="shared" si="224"/>
        <v>-1.69</v>
      </c>
      <c r="N375" s="116">
        <f t="shared" si="224"/>
        <v>-1.69</v>
      </c>
      <c r="O375" s="116">
        <f t="shared" si="224"/>
        <v>-1.69</v>
      </c>
      <c r="P375" s="116">
        <f t="shared" si="224"/>
        <v>-1.69</v>
      </c>
      <c r="Q375" s="116">
        <f t="shared" si="224"/>
        <v>-1.69</v>
      </c>
      <c r="R375" s="116">
        <f t="shared" si="224"/>
        <v>-1.69</v>
      </c>
    </row>
    <row r="376" spans="2:18" x14ac:dyDescent="0.25">
      <c r="B376" t="s">
        <v>194</v>
      </c>
      <c r="D376" s="116">
        <f t="shared" si="213"/>
        <v>-55.419999999999995</v>
      </c>
      <c r="E376" s="116">
        <f t="shared" si="213"/>
        <v>-59.470000000000006</v>
      </c>
      <c r="F376" s="116">
        <f t="shared" si="213"/>
        <v>-139.21</v>
      </c>
      <c r="G376" s="116">
        <f t="shared" si="213"/>
        <v>-949.29000000000008</v>
      </c>
      <c r="H376" s="116">
        <f t="shared" si="213"/>
        <v>-152.74</v>
      </c>
      <c r="I376" s="116">
        <f t="shared" ref="I376:R376" si="225">I358+I338+I283+I161</f>
        <v>-272.36216666666667</v>
      </c>
      <c r="J376" s="116">
        <f t="shared" si="225"/>
        <v>-272.36216666666667</v>
      </c>
      <c r="K376" s="116">
        <f t="shared" si="225"/>
        <v>-272.36216666666667</v>
      </c>
      <c r="L376" s="116">
        <f t="shared" si="225"/>
        <v>-272.36840666666666</v>
      </c>
      <c r="M376" s="116">
        <f t="shared" si="225"/>
        <v>-272.36840666666666</v>
      </c>
      <c r="N376" s="116">
        <f t="shared" si="225"/>
        <v>-272.36840666666666</v>
      </c>
      <c r="O376" s="116">
        <f t="shared" si="225"/>
        <v>-272.37489626666667</v>
      </c>
      <c r="P376" s="116">
        <f t="shared" si="225"/>
        <v>-272.37489626666667</v>
      </c>
      <c r="Q376" s="116">
        <f t="shared" si="225"/>
        <v>-272.37489626666667</v>
      </c>
      <c r="R376" s="116">
        <f t="shared" si="225"/>
        <v>-272.38164545066667</v>
      </c>
    </row>
    <row r="377" spans="2:18" x14ac:dyDescent="0.25">
      <c r="B377" t="s">
        <v>193</v>
      </c>
      <c r="D377" s="116">
        <f t="shared" si="213"/>
        <v>0</v>
      </c>
      <c r="E377" s="116">
        <f t="shared" si="213"/>
        <v>0</v>
      </c>
      <c r="F377" s="116">
        <f t="shared" si="213"/>
        <v>0</v>
      </c>
      <c r="G377" s="116">
        <f t="shared" si="213"/>
        <v>0</v>
      </c>
      <c r="H377" s="116">
        <f t="shared" si="213"/>
        <v>0.05</v>
      </c>
      <c r="I377" s="116">
        <f t="shared" ref="I377:R377" si="226">I359+I339+I284+I162</f>
        <v>0.05</v>
      </c>
      <c r="J377" s="116">
        <f t="shared" si="226"/>
        <v>0.05</v>
      </c>
      <c r="K377" s="116">
        <f t="shared" si="226"/>
        <v>0.05</v>
      </c>
      <c r="L377" s="116">
        <f t="shared" si="226"/>
        <v>0.05</v>
      </c>
      <c r="M377" s="116">
        <f t="shared" si="226"/>
        <v>0.05</v>
      </c>
      <c r="N377" s="116">
        <f t="shared" si="226"/>
        <v>0.05</v>
      </c>
      <c r="O377" s="116">
        <f t="shared" si="226"/>
        <v>0.05</v>
      </c>
      <c r="P377" s="116">
        <f t="shared" si="226"/>
        <v>0.05</v>
      </c>
      <c r="Q377" s="116">
        <f t="shared" si="226"/>
        <v>0.05</v>
      </c>
      <c r="R377" s="116">
        <f t="shared" si="226"/>
        <v>0.05</v>
      </c>
    </row>
    <row r="378" spans="2:18" x14ac:dyDescent="0.25">
      <c r="B378" t="s">
        <v>192</v>
      </c>
      <c r="D378" s="116">
        <f t="shared" si="213"/>
        <v>0</v>
      </c>
      <c r="E378" s="116">
        <f t="shared" si="213"/>
        <v>0</v>
      </c>
      <c r="F378" s="116">
        <f t="shared" si="213"/>
        <v>0</v>
      </c>
      <c r="G378" s="116">
        <f t="shared" si="213"/>
        <v>0</v>
      </c>
      <c r="H378" s="116">
        <f t="shared" si="213"/>
        <v>55.140000000000008</v>
      </c>
      <c r="I378" s="116">
        <f t="shared" ref="I378:R378" si="227">I360+I340+I285+I163</f>
        <v>55.140000000000008</v>
      </c>
      <c r="J378" s="116">
        <f t="shared" si="227"/>
        <v>55.140000000000008</v>
      </c>
      <c r="K378" s="116">
        <f t="shared" si="227"/>
        <v>55.140000000000008</v>
      </c>
      <c r="L378" s="116">
        <f t="shared" si="227"/>
        <v>55.140000000000008</v>
      </c>
      <c r="M378" s="116">
        <f t="shared" si="227"/>
        <v>55.140000000000008</v>
      </c>
      <c r="N378" s="116">
        <f t="shared" si="227"/>
        <v>55.140000000000008</v>
      </c>
      <c r="O378" s="116">
        <f t="shared" si="227"/>
        <v>55.140000000000008</v>
      </c>
      <c r="P378" s="116">
        <f t="shared" si="227"/>
        <v>55.140000000000008</v>
      </c>
      <c r="Q378" s="116">
        <f t="shared" si="227"/>
        <v>55.140000000000008</v>
      </c>
      <c r="R378" s="116">
        <f t="shared" si="227"/>
        <v>55.140000000000008</v>
      </c>
    </row>
    <row r="379" spans="2:18" x14ac:dyDescent="0.25">
      <c r="B379" s="47" t="s">
        <v>197</v>
      </c>
      <c r="C379" s="5"/>
      <c r="D379" s="145">
        <f t="shared" si="213"/>
        <v>3026.63</v>
      </c>
      <c r="E379" s="145">
        <f t="shared" si="213"/>
        <v>4659.5200000000004</v>
      </c>
      <c r="F379" s="145">
        <f t="shared" si="213"/>
        <v>4499.76</v>
      </c>
      <c r="G379" s="145">
        <f t="shared" si="213"/>
        <v>2422.7300000000009</v>
      </c>
      <c r="H379" s="145">
        <f t="shared" si="213"/>
        <v>3867.9400000000014</v>
      </c>
      <c r="I379" s="145">
        <f t="shared" ref="I379:R379" si="228">I361+I341+I286+I164</f>
        <v>4031.0616333333355</v>
      </c>
      <c r="J379" s="145">
        <f t="shared" si="228"/>
        <v>4193.0854666666692</v>
      </c>
      <c r="K379" s="145">
        <f t="shared" si="228"/>
        <v>4355.7893200000035</v>
      </c>
      <c r="L379" s="145">
        <f t="shared" si="228"/>
        <v>4567.1506673333361</v>
      </c>
      <c r="M379" s="145">
        <f t="shared" si="228"/>
        <v>4779.33483886667</v>
      </c>
      <c r="N379" s="145">
        <f t="shared" si="228"/>
        <v>4992.4241170200057</v>
      </c>
      <c r="O379" s="145">
        <f t="shared" si="228"/>
        <v>5256.3348633353371</v>
      </c>
      <c r="P379" s="145">
        <f t="shared" si="228"/>
        <v>5521.340788660872</v>
      </c>
      <c r="Q379" s="145">
        <f t="shared" si="228"/>
        <v>5787.5514108976258</v>
      </c>
      <c r="R379" s="145">
        <f t="shared" si="228"/>
        <v>6106.9060846519233</v>
      </c>
    </row>
    <row r="380" spans="2:18" x14ac:dyDescent="0.25">
      <c r="D380" s="116"/>
      <c r="E380" s="177"/>
      <c r="F380" s="177"/>
      <c r="G380" s="177"/>
      <c r="H380" s="177"/>
      <c r="I380" s="177"/>
      <c r="J380" s="177"/>
      <c r="K380" s="177"/>
      <c r="L380" s="177"/>
      <c r="M380" s="177"/>
      <c r="N380" s="177"/>
      <c r="O380" s="177"/>
      <c r="P380" s="177"/>
      <c r="Q380" s="177"/>
      <c r="R380" s="177"/>
    </row>
    <row r="381" spans="2:18" x14ac:dyDescent="0.25">
      <c r="B381" s="5" t="s">
        <v>221</v>
      </c>
      <c r="C381" s="5"/>
      <c r="D381" s="145">
        <f>D374</f>
        <v>257.31</v>
      </c>
      <c r="E381" s="145">
        <f t="shared" ref="E381:R381" si="229">E374</f>
        <v>310.8</v>
      </c>
      <c r="F381" s="145">
        <f t="shared" si="229"/>
        <v>493.68999999999994</v>
      </c>
      <c r="G381" s="145">
        <f t="shared" si="229"/>
        <v>671.11</v>
      </c>
      <c r="H381" s="145">
        <f t="shared" si="229"/>
        <v>895.18000000000006</v>
      </c>
      <c r="I381" s="145">
        <f t="shared" si="229"/>
        <v>525.60199999999986</v>
      </c>
      <c r="J381" s="145">
        <f t="shared" si="229"/>
        <v>525.60199999999986</v>
      </c>
      <c r="K381" s="145">
        <f t="shared" si="229"/>
        <v>525.60199999999986</v>
      </c>
      <c r="L381" s="145">
        <f t="shared" si="229"/>
        <v>525.62903999999992</v>
      </c>
      <c r="M381" s="145">
        <f t="shared" si="229"/>
        <v>525.62903999999992</v>
      </c>
      <c r="N381" s="145">
        <f t="shared" si="229"/>
        <v>525.62903999999992</v>
      </c>
      <c r="O381" s="145">
        <f t="shared" si="229"/>
        <v>525.65716159999988</v>
      </c>
      <c r="P381" s="145">
        <f t="shared" si="229"/>
        <v>525.65716159999988</v>
      </c>
      <c r="Q381" s="145">
        <f t="shared" si="229"/>
        <v>525.65716159999988</v>
      </c>
      <c r="R381" s="145">
        <f t="shared" si="229"/>
        <v>525.68640806399992</v>
      </c>
    </row>
    <row r="382" spans="2:18" x14ac:dyDescent="0.25"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</row>
    <row r="383" spans="2:18" x14ac:dyDescent="0.25">
      <c r="B383" s="5" t="s">
        <v>222</v>
      </c>
      <c r="C383" s="9"/>
      <c r="D383" s="145">
        <v>107.98</v>
      </c>
      <c r="E383" s="145">
        <v>104.72</v>
      </c>
      <c r="F383" s="145">
        <v>101.72</v>
      </c>
      <c r="G383" s="145">
        <v>223.78</v>
      </c>
      <c r="H383" s="145">
        <v>179.5</v>
      </c>
      <c r="I383" s="145">
        <f>H383+I384</f>
        <v>197.38</v>
      </c>
      <c r="J383" s="145">
        <f t="shared" ref="J383:R383" si="230">I383+J384</f>
        <v>215.26</v>
      </c>
      <c r="K383" s="145">
        <f t="shared" si="230"/>
        <v>233.14</v>
      </c>
      <c r="L383" s="145">
        <f t="shared" si="230"/>
        <v>251.01999999999998</v>
      </c>
      <c r="M383" s="145">
        <f t="shared" si="230"/>
        <v>268.89999999999998</v>
      </c>
      <c r="N383" s="145">
        <f t="shared" si="230"/>
        <v>286.77999999999997</v>
      </c>
      <c r="O383" s="145">
        <f t="shared" si="230"/>
        <v>304.65999999999997</v>
      </c>
      <c r="P383" s="145">
        <f t="shared" si="230"/>
        <v>322.53999999999996</v>
      </c>
      <c r="Q383" s="145">
        <f t="shared" si="230"/>
        <v>340.41999999999996</v>
      </c>
      <c r="R383" s="145">
        <f t="shared" si="230"/>
        <v>358.29999999999995</v>
      </c>
    </row>
    <row r="384" spans="2:18" x14ac:dyDescent="0.25">
      <c r="D384" s="116"/>
      <c r="E384" s="116">
        <f>E383-D383</f>
        <v>-3.2600000000000051</v>
      </c>
      <c r="F384" s="116">
        <f>F383-E383</f>
        <v>-3</v>
      </c>
      <c r="G384" s="116">
        <f>G383-F383</f>
        <v>122.06</v>
      </c>
      <c r="H384" s="116">
        <f>H383-G383</f>
        <v>-44.28</v>
      </c>
      <c r="I384" s="116">
        <f>AVERAGE(E384:H384)</f>
        <v>17.88</v>
      </c>
      <c r="J384" s="116">
        <f>I384</f>
        <v>17.88</v>
      </c>
      <c r="K384" s="116">
        <f t="shared" ref="K384:R384" si="231">J384</f>
        <v>17.88</v>
      </c>
      <c r="L384" s="116">
        <f t="shared" si="231"/>
        <v>17.88</v>
      </c>
      <c r="M384" s="116">
        <f t="shared" si="231"/>
        <v>17.88</v>
      </c>
      <c r="N384" s="116">
        <f t="shared" si="231"/>
        <v>17.88</v>
      </c>
      <c r="O384" s="116">
        <f t="shared" si="231"/>
        <v>17.88</v>
      </c>
      <c r="P384" s="116">
        <f t="shared" si="231"/>
        <v>17.88</v>
      </c>
      <c r="Q384" s="116">
        <f t="shared" si="231"/>
        <v>17.88</v>
      </c>
      <c r="R384" s="116">
        <f t="shared" si="231"/>
        <v>17.88</v>
      </c>
    </row>
    <row r="385" spans="2:18" x14ac:dyDescent="0.25"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</row>
    <row r="386" spans="2:18" x14ac:dyDescent="0.25">
      <c r="B386" s="5" t="s">
        <v>219</v>
      </c>
      <c r="C386" s="5"/>
      <c r="D386" s="145">
        <f>D383+D379</f>
        <v>3134.61</v>
      </c>
      <c r="E386" s="145">
        <f t="shared" ref="E386:R386" si="232">E383+E379</f>
        <v>4764.2400000000007</v>
      </c>
      <c r="F386" s="145">
        <f t="shared" si="232"/>
        <v>4601.4800000000005</v>
      </c>
      <c r="G386" s="145">
        <f t="shared" si="232"/>
        <v>2646.5100000000011</v>
      </c>
      <c r="H386" s="145">
        <f t="shared" si="232"/>
        <v>4047.4400000000014</v>
      </c>
      <c r="I386" s="145">
        <f t="shared" si="232"/>
        <v>4228.4416333333356</v>
      </c>
      <c r="J386" s="145">
        <f t="shared" si="232"/>
        <v>4408.3454666666694</v>
      </c>
      <c r="K386" s="145">
        <f t="shared" si="232"/>
        <v>4588.9293200000038</v>
      </c>
      <c r="L386" s="145">
        <f t="shared" si="232"/>
        <v>4818.1706673333356</v>
      </c>
      <c r="M386" s="145">
        <f t="shared" si="232"/>
        <v>5048.2348388666696</v>
      </c>
      <c r="N386" s="145">
        <f t="shared" si="232"/>
        <v>5279.2041170200055</v>
      </c>
      <c r="O386" s="145">
        <f t="shared" si="232"/>
        <v>5560.994863335337</v>
      </c>
      <c r="P386" s="145">
        <f t="shared" si="232"/>
        <v>5843.880788660872</v>
      </c>
      <c r="Q386" s="145">
        <f t="shared" si="232"/>
        <v>6127.9714108976259</v>
      </c>
      <c r="R386" s="145">
        <f t="shared" si="232"/>
        <v>6465.2060846519234</v>
      </c>
    </row>
    <row r="388" spans="2:18" x14ac:dyDescent="0.25"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</row>
  </sheetData>
  <mergeCells count="4">
    <mergeCell ref="B10:R10"/>
    <mergeCell ref="B167:R167"/>
    <mergeCell ref="B289:R289"/>
    <mergeCell ref="B344:R344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40"/>
  <sheetViews>
    <sheetView showGridLines="0" topLeftCell="C6" zoomScale="90" zoomScaleNormal="90" workbookViewId="0">
      <pane ySplit="3" topLeftCell="A29" activePane="bottomLeft" state="frozen"/>
      <selection activeCell="A6" sqref="A6"/>
      <selection pane="bottomLeft" activeCell="B40" sqref="B40:R40"/>
    </sheetView>
  </sheetViews>
  <sheetFormatPr defaultRowHeight="15" x14ac:dyDescent="0.25"/>
  <cols>
    <col min="1" max="1" width="1.85546875" style="23" customWidth="1"/>
    <col min="2" max="2" width="59.85546875" bestFit="1" customWidth="1"/>
    <col min="4" max="8" width="8.42578125" customWidth="1"/>
    <col min="9" max="18" width="11.140625" bestFit="1" customWidth="1"/>
  </cols>
  <sheetData>
    <row r="7" spans="2:18" ht="15.75" thickBot="1" x14ac:dyDescent="0.3">
      <c r="B7" s="122" t="s">
        <v>0</v>
      </c>
      <c r="C7" s="122"/>
      <c r="D7" s="122">
        <v>2021</v>
      </c>
      <c r="E7" s="122">
        <f>D7+1</f>
        <v>2022</v>
      </c>
      <c r="F7" s="122">
        <f>E7+1</f>
        <v>2023</v>
      </c>
      <c r="G7" s="122">
        <f>F7+1</f>
        <v>2024</v>
      </c>
      <c r="H7" s="122">
        <f>G7+1</f>
        <v>2025</v>
      </c>
      <c r="I7" s="122">
        <f>H7+1</f>
        <v>2026</v>
      </c>
      <c r="J7" s="122">
        <f t="shared" ref="J7:R7" si="0">I7+1</f>
        <v>2027</v>
      </c>
      <c r="K7" s="122">
        <f t="shared" si="0"/>
        <v>2028</v>
      </c>
      <c r="L7" s="122">
        <f t="shared" si="0"/>
        <v>2029</v>
      </c>
      <c r="M7" s="122">
        <f t="shared" si="0"/>
        <v>2030</v>
      </c>
      <c r="N7" s="122">
        <f t="shared" si="0"/>
        <v>2031</v>
      </c>
      <c r="O7" s="122">
        <f t="shared" si="0"/>
        <v>2032</v>
      </c>
      <c r="P7" s="122">
        <f t="shared" si="0"/>
        <v>2033</v>
      </c>
      <c r="Q7" s="122">
        <f t="shared" si="0"/>
        <v>2034</v>
      </c>
      <c r="R7" s="122">
        <f t="shared" si="0"/>
        <v>2035</v>
      </c>
    </row>
    <row r="8" spans="2:18" x14ac:dyDescent="0.25">
      <c r="B8" s="119" t="s">
        <v>326</v>
      </c>
      <c r="C8" s="150"/>
      <c r="D8" s="151" t="s">
        <v>162</v>
      </c>
      <c r="E8" s="151" t="s">
        <v>162</v>
      </c>
      <c r="F8" s="151" t="s">
        <v>162</v>
      </c>
      <c r="G8" s="151" t="s">
        <v>162</v>
      </c>
      <c r="H8" s="151" t="s">
        <v>162</v>
      </c>
      <c r="I8" s="151" t="s">
        <v>167</v>
      </c>
      <c r="J8" s="151" t="s">
        <v>167</v>
      </c>
      <c r="K8" s="151" t="s">
        <v>167</v>
      </c>
      <c r="L8" s="151" t="s">
        <v>167</v>
      </c>
      <c r="M8" s="151" t="s">
        <v>167</v>
      </c>
      <c r="N8" s="151" t="s">
        <v>167</v>
      </c>
      <c r="O8" s="151" t="s">
        <v>167</v>
      </c>
      <c r="P8" s="151" t="s">
        <v>167</v>
      </c>
      <c r="Q8" s="151" t="s">
        <v>167</v>
      </c>
      <c r="R8" s="151" t="s">
        <v>167</v>
      </c>
    </row>
    <row r="9" spans="2:18" ht="15.75" thickBot="1" x14ac:dyDescent="0.3">
      <c r="B9" s="152" t="s">
        <v>188</v>
      </c>
      <c r="C9" s="152"/>
      <c r="D9" s="159">
        <v>360</v>
      </c>
      <c r="E9" s="159">
        <f>D9</f>
        <v>360</v>
      </c>
      <c r="F9" s="159">
        <f t="shared" ref="F9:R9" si="1">E9</f>
        <v>360</v>
      </c>
      <c r="G9" s="159">
        <f t="shared" si="1"/>
        <v>360</v>
      </c>
      <c r="H9" s="159">
        <f t="shared" si="1"/>
        <v>360</v>
      </c>
      <c r="I9" s="159">
        <f t="shared" si="1"/>
        <v>360</v>
      </c>
      <c r="J9" s="159">
        <f t="shared" si="1"/>
        <v>360</v>
      </c>
      <c r="K9" s="159">
        <f t="shared" si="1"/>
        <v>360</v>
      </c>
      <c r="L9" s="159">
        <f t="shared" si="1"/>
        <v>360</v>
      </c>
      <c r="M9" s="159">
        <f t="shared" si="1"/>
        <v>360</v>
      </c>
      <c r="N9" s="159">
        <f t="shared" si="1"/>
        <v>360</v>
      </c>
      <c r="O9" s="159">
        <f t="shared" si="1"/>
        <v>360</v>
      </c>
      <c r="P9" s="159">
        <f t="shared" si="1"/>
        <v>360</v>
      </c>
      <c r="Q9" s="159">
        <f t="shared" si="1"/>
        <v>360</v>
      </c>
      <c r="R9" s="159">
        <f t="shared" si="1"/>
        <v>360</v>
      </c>
    </row>
    <row r="12" spans="2:18" x14ac:dyDescent="0.25">
      <c r="B12" t="s">
        <v>179</v>
      </c>
      <c r="D12" s="116">
        <f>'Historical Balance Sheet'!D26</f>
        <v>428.39</v>
      </c>
      <c r="E12" s="116">
        <f>'Historical Balance Sheet'!E26</f>
        <v>867.78</v>
      </c>
      <c r="F12" s="116">
        <f>'Historical Balance Sheet'!F26</f>
        <v>1361.16</v>
      </c>
      <c r="G12" s="116">
        <f>'Historical Balance Sheet'!G26</f>
        <v>1582.73</v>
      </c>
      <c r="H12" s="116">
        <f>'Historical Balance Sheet'!H26</f>
        <v>2045.05</v>
      </c>
      <c r="I12" s="116">
        <f>(I19*'Cost Build-up'!I19)/'Working Capital Build-up'!I9</f>
        <v>4263.3477648853723</v>
      </c>
      <c r="J12" s="116">
        <f>(J19*'Cost Build-up'!J19)/'Working Capital Build-up'!J9</f>
        <v>6485.7972634440248</v>
      </c>
      <c r="K12" s="116">
        <f>(K19*'Cost Build-up'!K19)/'Working Capital Build-up'!K9</f>
        <v>9359.6428937311284</v>
      </c>
      <c r="L12" s="116">
        <f>(L19*'Cost Build-up'!L19)/'Working Capital Build-up'!L9</f>
        <v>12884.798333816021</v>
      </c>
      <c r="M12" s="116">
        <f>(M19*'Cost Build-up'!M19)/'Working Capital Build-up'!M9</f>
        <v>17009.718465713322</v>
      </c>
      <c r="N12" s="116">
        <f>(N19*'Cost Build-up'!N19)/'Working Capital Build-up'!N9</f>
        <v>21638.364492716701</v>
      </c>
      <c r="O12" s="116">
        <f>(O19*'Cost Build-up'!O19)/'Working Capital Build-up'!O9</f>
        <v>26643.319779640336</v>
      </c>
      <c r="P12" s="116">
        <f>(P19*'Cost Build-up'!P19)/'Working Capital Build-up'!P9</f>
        <v>31881.53131829952</v>
      </c>
      <c r="Q12" s="116">
        <f>(Q19*'Cost Build-up'!Q19)/'Working Capital Build-up'!Q9</f>
        <v>37209.391195088137</v>
      </c>
      <c r="R12" s="116">
        <f>(R19*'Cost Build-up'!R19)/'Working Capital Build-up'!R9</f>
        <v>42494.879440538687</v>
      </c>
    </row>
    <row r="13" spans="2:18" x14ac:dyDescent="0.25">
      <c r="B13" t="s">
        <v>180</v>
      </c>
      <c r="D13" s="116">
        <f>'Historical Balance Sheet'!D30</f>
        <v>20.77</v>
      </c>
      <c r="E13" s="116">
        <f>'Historical Balance Sheet'!E30</f>
        <v>17.86</v>
      </c>
      <c r="F13" s="116">
        <f>'Historical Balance Sheet'!F30</f>
        <v>34.39</v>
      </c>
      <c r="G13" s="116">
        <f>'Historical Balance Sheet'!G30</f>
        <v>81.739999999999995</v>
      </c>
      <c r="H13" s="116">
        <f>'Historical Balance Sheet'!H30</f>
        <v>62.95</v>
      </c>
      <c r="I13" s="116">
        <f>(I20*'Cost Build-up'!I10)/'Working Capital Build-up'!I9</f>
        <v>146.13393369223215</v>
      </c>
      <c r="J13" s="116">
        <f>(J20*'Cost Build-up'!J10)/'Working Capital Build-up'!J9</f>
        <v>222.31239849674171</v>
      </c>
      <c r="K13" s="116">
        <f>(K20*'Cost Build-up'!K10)/'Working Capital Build-up'!K9</f>
        <v>320.81864052491892</v>
      </c>
      <c r="L13" s="116">
        <f>(L20*'Cost Build-up'!L10)/'Working Capital Build-up'!L9</f>
        <v>441.64970093690658</v>
      </c>
      <c r="M13" s="116">
        <f>(M20*'Cost Build-up'!M10)/'Working Capital Build-up'!M9</f>
        <v>583.03877785088912</v>
      </c>
      <c r="N13" s="116">
        <f>(N20*'Cost Build-up'!N10)/'Working Capital Build-up'!N9</f>
        <v>741.69396830146502</v>
      </c>
      <c r="O13" s="116">
        <f>(O20*'Cost Build-up'!O10)/'Working Capital Build-up'!O9</f>
        <v>913.24783731865739</v>
      </c>
      <c r="P13" s="116">
        <f>(P20*'Cost Build-up'!P10)/'Working Capital Build-up'!P9</f>
        <v>1092.796985047376</v>
      </c>
      <c r="Q13" s="116">
        <f>(Q20*'Cost Build-up'!Q10)/'Working Capital Build-up'!Q9</f>
        <v>1275.4189912484269</v>
      </c>
      <c r="R13" s="116">
        <f>(R20*'Cost Build-up'!R10)/'Working Capital Build-up'!R9</f>
        <v>1456.5886333671037</v>
      </c>
    </row>
    <row r="14" spans="2:18" x14ac:dyDescent="0.25">
      <c r="B14" t="s">
        <v>66</v>
      </c>
      <c r="D14" s="116">
        <f>'Historical Balance Sheet'!D66</f>
        <v>274.57</v>
      </c>
      <c r="E14" s="116">
        <f>'Historical Balance Sheet'!E66</f>
        <v>378.03</v>
      </c>
      <c r="F14" s="116">
        <f>'Historical Balance Sheet'!F66</f>
        <v>665.22</v>
      </c>
      <c r="G14" s="116">
        <f>'Historical Balance Sheet'!G66</f>
        <v>773.91000000000008</v>
      </c>
      <c r="H14" s="116">
        <f>'Historical Balance Sheet'!H66</f>
        <v>928.19</v>
      </c>
      <c r="I14" s="116">
        <f>(I21*'Cost Build-up'!I19)/'Working Capital Build-up'!I9</f>
        <v>2135.9150131939805</v>
      </c>
      <c r="J14" s="116">
        <f>(J21*'Cost Build-up'!J19)/'Working Capital Build-up'!J9</f>
        <v>3249.350630418252</v>
      </c>
      <c r="K14" s="116">
        <f>(K21*'Cost Build-up'!K19)/'Working Capital Build-up'!K9</f>
        <v>4689.1323151050001</v>
      </c>
      <c r="L14" s="116">
        <f>(L21*'Cost Build-up'!L19)/'Working Capital Build-up'!L9</f>
        <v>6455.2168204168011</v>
      </c>
      <c r="M14" s="116">
        <f>(M21*'Cost Build-up'!M19)/'Working Capital Build-up'!M9</f>
        <v>8521.7803108531534</v>
      </c>
      <c r="N14" s="116">
        <f>(N21*'Cost Build-up'!N19)/'Working Capital Build-up'!N9</f>
        <v>10840.707849738317</v>
      </c>
      <c r="O14" s="116">
        <f>(O21*'Cost Build-up'!O19)/'Working Capital Build-up'!O9</f>
        <v>13348.164366833447</v>
      </c>
      <c r="P14" s="116">
        <f>(P21*'Cost Build-up'!P19)/'Working Capital Build-up'!P9</f>
        <v>15972.481050511</v>
      </c>
      <c r="Q14" s="116">
        <f>(Q21*'Cost Build-up'!Q19)/'Working Capital Build-up'!Q9</f>
        <v>18641.711084419014</v>
      </c>
      <c r="R14" s="116">
        <f>(R21*'Cost Build-up'!R19)/'Working Capital Build-up'!R9</f>
        <v>21289.713151832271</v>
      </c>
    </row>
    <row r="15" spans="2:18" ht="15.75" thickBot="1" x14ac:dyDescent="0.3">
      <c r="B15" s="10" t="s">
        <v>234</v>
      </c>
      <c r="C15" s="10"/>
      <c r="D15" s="118">
        <f t="shared" ref="D15:R15" si="2">D12+D13-D14</f>
        <v>174.58999999999997</v>
      </c>
      <c r="E15" s="118">
        <f t="shared" si="2"/>
        <v>507.61</v>
      </c>
      <c r="F15" s="118">
        <f t="shared" si="2"/>
        <v>730.33000000000015</v>
      </c>
      <c r="G15" s="118">
        <f t="shared" si="2"/>
        <v>890.56</v>
      </c>
      <c r="H15" s="118">
        <f t="shared" si="2"/>
        <v>1179.81</v>
      </c>
      <c r="I15" s="118">
        <f t="shared" si="2"/>
        <v>2273.5666853836237</v>
      </c>
      <c r="J15" s="118">
        <f t="shared" si="2"/>
        <v>3458.7590315225143</v>
      </c>
      <c r="K15" s="118">
        <f t="shared" si="2"/>
        <v>4991.3292191510463</v>
      </c>
      <c r="L15" s="118">
        <f t="shared" si="2"/>
        <v>6871.2312143361269</v>
      </c>
      <c r="M15" s="118">
        <f t="shared" si="2"/>
        <v>9070.9769327110571</v>
      </c>
      <c r="N15" s="118">
        <f t="shared" si="2"/>
        <v>11539.350611279848</v>
      </c>
      <c r="O15" s="118">
        <f t="shared" si="2"/>
        <v>14208.403250125546</v>
      </c>
      <c r="P15" s="118">
        <f t="shared" si="2"/>
        <v>17001.847252835898</v>
      </c>
      <c r="Q15" s="118">
        <f t="shared" si="2"/>
        <v>19843.099101917553</v>
      </c>
      <c r="R15" s="118">
        <f t="shared" si="2"/>
        <v>22661.754922073516</v>
      </c>
    </row>
    <row r="18" spans="1:18" x14ac:dyDescent="0.25">
      <c r="B18" s="293" t="s">
        <v>136</v>
      </c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</row>
    <row r="19" spans="1:18" x14ac:dyDescent="0.25">
      <c r="B19" t="s">
        <v>181</v>
      </c>
      <c r="D19" s="116">
        <f>(D12/'Cost Build-up'!D19)*'Working Capital Build-up'!D9</f>
        <v>100.53481095176011</v>
      </c>
      <c r="E19" s="116">
        <f>(E12/'Cost Build-up'!E19)*'Working Capital Build-up'!E9</f>
        <v>125.88989095481031</v>
      </c>
      <c r="F19" s="116">
        <f>(F12/'Cost Build-up'!F19)*'Working Capital Build-up'!F9</f>
        <v>103.82300719954915</v>
      </c>
      <c r="G19" s="116">
        <f>(G12/'Cost Build-up'!G19)*'Working Capital Build-up'!G9</f>
        <v>81.878403021171479</v>
      </c>
      <c r="H19" s="116">
        <f>(H12/'Cost Build-up'!H19)*'Working Capital Build-up'!H9</f>
        <v>75.983833446518474</v>
      </c>
      <c r="I19" s="116">
        <f>AVERAGE(D19:H19)</f>
        <v>97.621989114761917</v>
      </c>
      <c r="J19" s="116">
        <f>I19</f>
        <v>97.621989114761917</v>
      </c>
      <c r="K19" s="116">
        <f t="shared" ref="K19:R19" si="3">J19</f>
        <v>97.621989114761917</v>
      </c>
      <c r="L19" s="116">
        <f t="shared" si="3"/>
        <v>97.621989114761917</v>
      </c>
      <c r="M19" s="116">
        <f t="shared" si="3"/>
        <v>97.621989114761917</v>
      </c>
      <c r="N19" s="116">
        <f t="shared" si="3"/>
        <v>97.621989114761917</v>
      </c>
      <c r="O19" s="116">
        <f t="shared" si="3"/>
        <v>97.621989114761917</v>
      </c>
      <c r="P19" s="116">
        <f t="shared" si="3"/>
        <v>97.621989114761917</v>
      </c>
      <c r="Q19" s="116">
        <f t="shared" si="3"/>
        <v>97.621989114761917</v>
      </c>
      <c r="R19" s="116">
        <f t="shared" si="3"/>
        <v>97.621989114761917</v>
      </c>
    </row>
    <row r="20" spans="1:18" x14ac:dyDescent="0.25">
      <c r="B20" s="22" t="s">
        <v>182</v>
      </c>
      <c r="D20" s="116">
        <f>(D13/'Cost Build-up'!D10)*'Working Capital Build-up'!D9</f>
        <v>2.883654202147353</v>
      </c>
      <c r="E20" s="116">
        <f>(E13/'Cost Build-up'!E10)*'Working Capital Build-up'!E9</f>
        <v>1.4294289487374443</v>
      </c>
      <c r="F20" s="116">
        <f>(F13/'Cost Build-up'!F10)*'Working Capital Build-up'!F9</f>
        <v>1.5021074930660201</v>
      </c>
      <c r="G20" s="116">
        <f>(G13/'Cost Build-up'!G10)*'Working Capital Build-up'!G9</f>
        <v>2.3778697724707092</v>
      </c>
      <c r="H20" s="116">
        <f>(H13/'Cost Build-up'!H10)*'Working Capital Build-up'!H9</f>
        <v>1.3225862742134196</v>
      </c>
      <c r="I20" s="116">
        <f>AVERAGE(D20:H20)</f>
        <v>1.9031293381269894</v>
      </c>
      <c r="J20" s="116">
        <f t="shared" ref="J20:R21" si="4">I20</f>
        <v>1.9031293381269894</v>
      </c>
      <c r="K20" s="116">
        <f t="shared" si="4"/>
        <v>1.9031293381269894</v>
      </c>
      <c r="L20" s="116">
        <f t="shared" si="4"/>
        <v>1.9031293381269894</v>
      </c>
      <c r="M20" s="116">
        <f t="shared" si="4"/>
        <v>1.9031293381269894</v>
      </c>
      <c r="N20" s="116">
        <f t="shared" si="4"/>
        <v>1.9031293381269894</v>
      </c>
      <c r="O20" s="116">
        <f t="shared" si="4"/>
        <v>1.9031293381269894</v>
      </c>
      <c r="P20" s="116">
        <f t="shared" si="4"/>
        <v>1.9031293381269894</v>
      </c>
      <c r="Q20" s="116">
        <f t="shared" si="4"/>
        <v>1.9031293381269894</v>
      </c>
      <c r="R20" s="116">
        <f t="shared" si="4"/>
        <v>1.9031293381269894</v>
      </c>
    </row>
    <row r="21" spans="1:18" x14ac:dyDescent="0.25">
      <c r="B21" t="s">
        <v>183</v>
      </c>
      <c r="D21" s="116">
        <f>(D14/'Cost Build-up'!D19)*'Working Capital Build-up'!D9</f>
        <v>64.436245110821375</v>
      </c>
      <c r="E21" s="116">
        <f>(E14/'Cost Build-up'!E19)*'Working Capital Build-up'!E9</f>
        <v>54.841267922338545</v>
      </c>
      <c r="F21" s="116">
        <f>(F14/'Cost Build-up'!F19)*'Working Capital Build-up'!F9</f>
        <v>50.739913639310643</v>
      </c>
      <c r="G21" s="116">
        <f>(G14/'Cost Build-up'!G19)*'Working Capital Build-up'!G9</f>
        <v>40.036212671848531</v>
      </c>
      <c r="H21" s="116">
        <f>(H14/'Cost Build-up'!H19)*'Working Capital Build-up'!H9</f>
        <v>34.486899766129916</v>
      </c>
      <c r="I21" s="116">
        <f>AVERAGE(D21:H21)</f>
        <v>48.908107822089804</v>
      </c>
      <c r="J21" s="116">
        <f t="shared" si="4"/>
        <v>48.908107822089804</v>
      </c>
      <c r="K21" s="116">
        <f t="shared" si="4"/>
        <v>48.908107822089804</v>
      </c>
      <c r="L21" s="116">
        <f t="shared" si="4"/>
        <v>48.908107822089804</v>
      </c>
      <c r="M21" s="116">
        <f t="shared" si="4"/>
        <v>48.908107822089804</v>
      </c>
      <c r="N21" s="116">
        <f t="shared" si="4"/>
        <v>48.908107822089804</v>
      </c>
      <c r="O21" s="116">
        <f t="shared" si="4"/>
        <v>48.908107822089804</v>
      </c>
      <c r="P21" s="116">
        <f t="shared" si="4"/>
        <v>48.908107822089804</v>
      </c>
      <c r="Q21" s="116">
        <f t="shared" si="4"/>
        <v>48.908107822089804</v>
      </c>
      <c r="R21" s="116">
        <f t="shared" si="4"/>
        <v>48.908107822089804</v>
      </c>
    </row>
    <row r="22" spans="1:18" ht="15.75" thickBot="1" x14ac:dyDescent="0.3">
      <c r="B22" s="10" t="s">
        <v>184</v>
      </c>
      <c r="C22" s="10"/>
      <c r="D22" s="118">
        <f>D19+D20-D21</f>
        <v>38.982220043086087</v>
      </c>
      <c r="E22" s="118">
        <f t="shared" ref="E22:R22" si="5">E19+E20-E21</f>
        <v>72.478051981209205</v>
      </c>
      <c r="F22" s="118">
        <f t="shared" si="5"/>
        <v>54.58520105330453</v>
      </c>
      <c r="G22" s="118">
        <f t="shared" si="5"/>
        <v>44.220060121793651</v>
      </c>
      <c r="H22" s="118">
        <f t="shared" si="5"/>
        <v>42.819519954601979</v>
      </c>
      <c r="I22" s="118">
        <f t="shared" si="5"/>
        <v>50.617010630799101</v>
      </c>
      <c r="J22" s="118">
        <f t="shared" si="5"/>
        <v>50.617010630799101</v>
      </c>
      <c r="K22" s="118">
        <f t="shared" si="5"/>
        <v>50.617010630799101</v>
      </c>
      <c r="L22" s="118">
        <f t="shared" si="5"/>
        <v>50.617010630799101</v>
      </c>
      <c r="M22" s="118">
        <f t="shared" si="5"/>
        <v>50.617010630799101</v>
      </c>
      <c r="N22" s="118">
        <f t="shared" si="5"/>
        <v>50.617010630799101</v>
      </c>
      <c r="O22" s="118">
        <f t="shared" si="5"/>
        <v>50.617010630799101</v>
      </c>
      <c r="P22" s="118">
        <f t="shared" si="5"/>
        <v>50.617010630799101</v>
      </c>
      <c r="Q22" s="118">
        <f t="shared" si="5"/>
        <v>50.617010630799101</v>
      </c>
      <c r="R22" s="118">
        <f t="shared" si="5"/>
        <v>50.617010630799101</v>
      </c>
    </row>
    <row r="25" spans="1:18" x14ac:dyDescent="0.25">
      <c r="B25" t="s">
        <v>47</v>
      </c>
      <c r="D25" s="33">
        <f>'Historical Balance Sheet'!D39</f>
        <v>106.03</v>
      </c>
      <c r="E25" s="33">
        <f>'Historical Balance Sheet'!E39</f>
        <v>152.19999999999999</v>
      </c>
      <c r="F25" s="33">
        <f>'Historical Balance Sheet'!F39</f>
        <v>188.01</v>
      </c>
      <c r="G25" s="33">
        <f>'Historical Balance Sheet'!G39</f>
        <v>253.63</v>
      </c>
      <c r="H25" s="33">
        <f>'Historical Balance Sheet'!H39</f>
        <v>402.61</v>
      </c>
      <c r="I25" s="33">
        <f>I26*'Cost Build-up'!I10</f>
        <v>782.47297134405619</v>
      </c>
      <c r="J25" s="33">
        <f>J26*'Cost Build-up'!J10</f>
        <v>1190.3699477817861</v>
      </c>
      <c r="K25" s="33">
        <f>K26*'Cost Build-up'!K10</f>
        <v>1717.8208275894631</v>
      </c>
      <c r="L25" s="33">
        <f>L26*'Cost Build-up'!L10</f>
        <v>2364.8097676828947</v>
      </c>
      <c r="M25" s="33">
        <f>M26*'Cost Build-up'!M10</f>
        <v>3121.8764416114709</v>
      </c>
      <c r="N25" s="33">
        <f>N26*'Cost Build-up'!N10</f>
        <v>3971.3943814520112</v>
      </c>
      <c r="O25" s="33">
        <f>O26*'Cost Build-up'!O10</f>
        <v>4889.9781918225863</v>
      </c>
      <c r="P25" s="33">
        <f>P26*'Cost Build-up'!P10</f>
        <v>5851.372657679296</v>
      </c>
      <c r="Q25" s="33">
        <f>Q26*'Cost Build-up'!Q10</f>
        <v>6829.2207194847024</v>
      </c>
      <c r="R25" s="33">
        <f>R26*'Cost Build-up'!R10</f>
        <v>7799.2921095048805</v>
      </c>
    </row>
    <row r="26" spans="1:18" x14ac:dyDescent="0.25">
      <c r="B26" s="154" t="s">
        <v>185</v>
      </c>
      <c r="C26" s="34"/>
      <c r="D26" s="155">
        <f>D25/'Cost Build-up'!D10</f>
        <v>4.089149080587437E-2</v>
      </c>
      <c r="E26" s="155">
        <f>E25/'Cost Build-up'!E10</f>
        <v>3.3837110550864594E-2</v>
      </c>
      <c r="F26" s="155">
        <f>F25/'Cost Build-up'!F10</f>
        <v>2.2811155517700757E-2</v>
      </c>
      <c r="G26" s="155">
        <f>G25/'Cost Build-up'!G10</f>
        <v>2.0495171356052593E-2</v>
      </c>
      <c r="H26" s="155">
        <f>H25/'Cost Build-up'!H10</f>
        <v>2.3496887294195783E-2</v>
      </c>
      <c r="I26" s="156">
        <f>AVERAGE(D26:H26)</f>
        <v>2.8306363104937622E-2</v>
      </c>
      <c r="J26" s="156">
        <f>I26</f>
        <v>2.8306363104937622E-2</v>
      </c>
      <c r="K26" s="156">
        <f t="shared" ref="K26:R26" si="6">J26</f>
        <v>2.8306363104937622E-2</v>
      </c>
      <c r="L26" s="156">
        <f t="shared" si="6"/>
        <v>2.8306363104937622E-2</v>
      </c>
      <c r="M26" s="156">
        <f t="shared" si="6"/>
        <v>2.8306363104937622E-2</v>
      </c>
      <c r="N26" s="156">
        <f t="shared" si="6"/>
        <v>2.8306363104937622E-2</v>
      </c>
      <c r="O26" s="156">
        <f t="shared" si="6"/>
        <v>2.8306363104937622E-2</v>
      </c>
      <c r="P26" s="156">
        <f t="shared" si="6"/>
        <v>2.8306363104937622E-2</v>
      </c>
      <c r="Q26" s="156">
        <f t="shared" si="6"/>
        <v>2.8306363104937622E-2</v>
      </c>
      <c r="R26" s="156">
        <f t="shared" si="6"/>
        <v>2.8306363104937622E-2</v>
      </c>
    </row>
    <row r="27" spans="1:18" x14ac:dyDescent="0.25">
      <c r="B27" t="s">
        <v>186</v>
      </c>
      <c r="D27" s="33">
        <f>'Historical Balance Sheet'!D64</f>
        <v>299.93</v>
      </c>
      <c r="E27">
        <f>'Historical Balance Sheet'!E64</f>
        <v>0</v>
      </c>
      <c r="F27">
        <f>'Historical Balance Sheet'!F64</f>
        <v>0</v>
      </c>
      <c r="G27">
        <f>'Historical Balance Sheet'!G64</f>
        <v>0</v>
      </c>
      <c r="H27">
        <f>'Historical Balance Sheet'!H64</f>
        <v>0</v>
      </c>
      <c r="I27">
        <f>I28*'Cost Build-up'!I10</f>
        <v>0</v>
      </c>
      <c r="J27">
        <f>J28*'Cost Build-up'!J10</f>
        <v>0</v>
      </c>
      <c r="K27">
        <f>K28*'Cost Build-up'!K10</f>
        <v>0</v>
      </c>
      <c r="L27">
        <f>L28*'Cost Build-up'!L10</f>
        <v>0</v>
      </c>
      <c r="M27">
        <f>M28*'Cost Build-up'!M10</f>
        <v>0</v>
      </c>
      <c r="N27">
        <f>N28*'Cost Build-up'!N10</f>
        <v>0</v>
      </c>
      <c r="O27">
        <f>O28*'Cost Build-up'!O10</f>
        <v>0</v>
      </c>
      <c r="P27">
        <f>P28*'Cost Build-up'!P10</f>
        <v>0</v>
      </c>
      <c r="Q27">
        <f>Q28*'Cost Build-up'!Q10</f>
        <v>0</v>
      </c>
      <c r="R27">
        <f>R28*'Cost Build-up'!R10</f>
        <v>0</v>
      </c>
    </row>
    <row r="28" spans="1:18" x14ac:dyDescent="0.25">
      <c r="B28" s="154" t="s">
        <v>185</v>
      </c>
      <c r="C28" s="34"/>
      <c r="D28" s="155">
        <f>D27/'Cost Build-up'!D10</f>
        <v>0.11567089349623597</v>
      </c>
      <c r="E28" s="155">
        <f>E27/'Cost Build-up'!E10</f>
        <v>0</v>
      </c>
      <c r="F28" s="155">
        <f>F27/'Cost Build-up'!F10</f>
        <v>0</v>
      </c>
      <c r="G28" s="155">
        <f>G27/'Cost Build-up'!G10</f>
        <v>0</v>
      </c>
      <c r="H28" s="155">
        <f>H27/'Cost Build-up'!H10</f>
        <v>0</v>
      </c>
      <c r="I28" s="156">
        <v>0</v>
      </c>
      <c r="J28" s="156">
        <f>I28</f>
        <v>0</v>
      </c>
      <c r="K28" s="156">
        <f t="shared" ref="K28:R28" si="7">J28</f>
        <v>0</v>
      </c>
      <c r="L28" s="156">
        <f t="shared" si="7"/>
        <v>0</v>
      </c>
      <c r="M28" s="156">
        <f t="shared" si="7"/>
        <v>0</v>
      </c>
      <c r="N28" s="156">
        <f t="shared" si="7"/>
        <v>0</v>
      </c>
      <c r="O28" s="156">
        <f t="shared" si="7"/>
        <v>0</v>
      </c>
      <c r="P28" s="156">
        <f t="shared" si="7"/>
        <v>0</v>
      </c>
      <c r="Q28" s="156">
        <f t="shared" si="7"/>
        <v>0</v>
      </c>
      <c r="R28" s="156">
        <f t="shared" si="7"/>
        <v>0</v>
      </c>
    </row>
    <row r="29" spans="1:18" x14ac:dyDescent="0.25">
      <c r="B29" t="s">
        <v>187</v>
      </c>
      <c r="D29" s="33">
        <f>'Historical Balance Sheet'!D68</f>
        <v>46.17</v>
      </c>
      <c r="E29" s="33">
        <f>'Historical Balance Sheet'!E68</f>
        <v>71.900000000000006</v>
      </c>
      <c r="F29" s="33">
        <f>'Historical Balance Sheet'!F68</f>
        <v>118.44</v>
      </c>
      <c r="G29" s="33">
        <f>'Historical Balance Sheet'!G68</f>
        <v>150.05000000000001</v>
      </c>
      <c r="H29" s="33">
        <f>'Historical Balance Sheet'!H68</f>
        <v>172.6</v>
      </c>
      <c r="I29" s="33">
        <f>I30*'Cost Build-up'!I10</f>
        <v>388.9885357916088</v>
      </c>
      <c r="J29" s="33">
        <f>J30*'Cost Build-up'!J10</f>
        <v>591.76518550232493</v>
      </c>
      <c r="K29" s="33">
        <f>K30*'Cost Build-up'!K10</f>
        <v>853.97532304350921</v>
      </c>
      <c r="L29" s="33">
        <f>L30*'Cost Build-up'!L10</f>
        <v>1175.6110723883237</v>
      </c>
      <c r="M29" s="33">
        <f>M30*'Cost Build-up'!M10</f>
        <v>1551.9694486811857</v>
      </c>
      <c r="N29" s="33">
        <f>N30*'Cost Build-up'!N10</f>
        <v>1974.2878566635804</v>
      </c>
      <c r="O29" s="33">
        <f>O30*'Cost Build-up'!O10</f>
        <v>2430.9407820472647</v>
      </c>
      <c r="P29" s="33">
        <f>P30*'Cost Build-up'!P10</f>
        <v>2908.8760453565969</v>
      </c>
      <c r="Q29" s="33">
        <f>Q30*'Cost Build-up'!Q10</f>
        <v>3394.9908374560378</v>
      </c>
      <c r="R29" s="33">
        <f>R30*'Cost Build-up'!R10</f>
        <v>3877.2396350970739</v>
      </c>
    </row>
    <row r="30" spans="1:18" x14ac:dyDescent="0.25">
      <c r="B30" s="154" t="s">
        <v>185</v>
      </c>
      <c r="C30" s="34"/>
      <c r="D30" s="155">
        <f>D29/'Cost Build-up'!D10</f>
        <v>1.7805905220288781E-2</v>
      </c>
      <c r="E30" s="155">
        <f>E29/'Cost Build-up'!E10</f>
        <v>1.5984811094659428E-2</v>
      </c>
      <c r="F30" s="155">
        <f>F29/'Cost Build-up'!F10</f>
        <v>1.4370263600428049E-2</v>
      </c>
      <c r="G30" s="155">
        <f>G29/'Cost Build-up'!G10</f>
        <v>1.2125144746188117E-2</v>
      </c>
      <c r="H30" s="155">
        <f>H29/'Cost Build-up'!H10</f>
        <v>1.00731793720429E-2</v>
      </c>
      <c r="I30" s="156">
        <f>AVERAGE(D30:H30)</f>
        <v>1.4071860806721454E-2</v>
      </c>
      <c r="J30" s="156">
        <f>I30</f>
        <v>1.4071860806721454E-2</v>
      </c>
      <c r="K30" s="156">
        <f t="shared" ref="K30:R30" si="8">J30</f>
        <v>1.4071860806721454E-2</v>
      </c>
      <c r="L30" s="156">
        <f t="shared" si="8"/>
        <v>1.4071860806721454E-2</v>
      </c>
      <c r="M30" s="156">
        <f t="shared" si="8"/>
        <v>1.4071860806721454E-2</v>
      </c>
      <c r="N30" s="156">
        <f t="shared" si="8"/>
        <v>1.4071860806721454E-2</v>
      </c>
      <c r="O30" s="156">
        <f t="shared" si="8"/>
        <v>1.4071860806721454E-2</v>
      </c>
      <c r="P30" s="156">
        <f t="shared" si="8"/>
        <v>1.4071860806721454E-2</v>
      </c>
      <c r="Q30" s="156">
        <f t="shared" si="8"/>
        <v>1.4071860806721454E-2</v>
      </c>
      <c r="R30" s="156">
        <f t="shared" si="8"/>
        <v>1.4071860806721454E-2</v>
      </c>
    </row>
    <row r="31" spans="1:18" s="108" customFormat="1" x14ac:dyDescent="0.25">
      <c r="A31" s="23"/>
      <c r="B31" s="157"/>
      <c r="C31" s="157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</row>
    <row r="32" spans="1:18" x14ac:dyDescent="0.25">
      <c r="B32" s="295" t="s">
        <v>233</v>
      </c>
      <c r="C32" s="295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295"/>
      <c r="Q32" s="295"/>
      <c r="R32" s="295"/>
    </row>
    <row r="33" spans="2:18" x14ac:dyDescent="0.25">
      <c r="B33" t="s">
        <v>97</v>
      </c>
      <c r="D33" s="116">
        <v>179.42</v>
      </c>
      <c r="E33" s="116">
        <v>-439.39</v>
      </c>
      <c r="F33" s="116">
        <v>-494.44</v>
      </c>
      <c r="G33" s="116">
        <v>-221.57</v>
      </c>
      <c r="H33" s="116">
        <v>-462.28</v>
      </c>
      <c r="I33" s="116">
        <f>H12-I12</f>
        <v>-2218.2977648853721</v>
      </c>
      <c r="J33" s="116">
        <f t="shared" ref="J33:R33" si="9">I12-J12</f>
        <v>-2222.4494985586525</v>
      </c>
      <c r="K33" s="116">
        <f t="shared" si="9"/>
        <v>-2873.8456302871036</v>
      </c>
      <c r="L33" s="116">
        <f t="shared" si="9"/>
        <v>-3525.1554400848927</v>
      </c>
      <c r="M33" s="116">
        <f t="shared" si="9"/>
        <v>-4124.920131897301</v>
      </c>
      <c r="N33" s="116">
        <f t="shared" si="9"/>
        <v>-4628.6460270033785</v>
      </c>
      <c r="O33" s="116">
        <f t="shared" si="9"/>
        <v>-5004.9552869236359</v>
      </c>
      <c r="P33" s="116">
        <f t="shared" si="9"/>
        <v>-5238.2115386591831</v>
      </c>
      <c r="Q33" s="116">
        <f t="shared" si="9"/>
        <v>-5327.8598767886178</v>
      </c>
      <c r="R33" s="116">
        <f t="shared" si="9"/>
        <v>-5285.4882454505496</v>
      </c>
    </row>
    <row r="34" spans="2:18" x14ac:dyDescent="0.25">
      <c r="B34" t="s">
        <v>98</v>
      </c>
      <c r="D34" s="116">
        <v>-38.86</v>
      </c>
      <c r="E34" s="116">
        <v>-102.22</v>
      </c>
      <c r="F34" s="116">
        <v>-101.23</v>
      </c>
      <c r="G34" s="116">
        <v>-207.69</v>
      </c>
      <c r="H34" s="116">
        <v>-202.76</v>
      </c>
      <c r="I34" s="116">
        <f>H13-I13</f>
        <v>-83.183933692232145</v>
      </c>
      <c r="J34" s="116">
        <f t="shared" ref="J34:R34" si="10">I13-J13</f>
        <v>-76.178464804509559</v>
      </c>
      <c r="K34" s="116">
        <f t="shared" si="10"/>
        <v>-98.506242028177212</v>
      </c>
      <c r="L34" s="116">
        <f t="shared" si="10"/>
        <v>-120.83106041198766</v>
      </c>
      <c r="M34" s="116">
        <f t="shared" si="10"/>
        <v>-141.38907691398254</v>
      </c>
      <c r="N34" s="116">
        <f t="shared" si="10"/>
        <v>-158.6551904505759</v>
      </c>
      <c r="O34" s="116">
        <f t="shared" si="10"/>
        <v>-171.55386901719237</v>
      </c>
      <c r="P34" s="116">
        <f t="shared" si="10"/>
        <v>-179.54914772871859</v>
      </c>
      <c r="Q34" s="116">
        <f t="shared" si="10"/>
        <v>-182.62200620105091</v>
      </c>
      <c r="R34" s="116">
        <f t="shared" si="10"/>
        <v>-181.16964211867685</v>
      </c>
    </row>
    <row r="35" spans="2:18" x14ac:dyDescent="0.25">
      <c r="B35" t="s">
        <v>99</v>
      </c>
      <c r="D35" s="116">
        <v>-22.35</v>
      </c>
      <c r="E35" s="116">
        <v>-45.55</v>
      </c>
      <c r="F35" s="116">
        <v>-71.83</v>
      </c>
      <c r="G35" s="116">
        <v>-112.63</v>
      </c>
      <c r="H35" s="116">
        <v>-128.6</v>
      </c>
      <c r="I35" s="116">
        <v>0</v>
      </c>
      <c r="J35" s="116">
        <v>0</v>
      </c>
      <c r="K35" s="116">
        <v>0</v>
      </c>
      <c r="L35" s="116">
        <v>0</v>
      </c>
      <c r="M35" s="116">
        <v>0</v>
      </c>
      <c r="N35" s="116">
        <v>0</v>
      </c>
      <c r="O35" s="116">
        <v>0</v>
      </c>
      <c r="P35" s="116">
        <v>0</v>
      </c>
      <c r="Q35" s="116">
        <v>0</v>
      </c>
      <c r="R35" s="116">
        <v>0</v>
      </c>
    </row>
    <row r="36" spans="2:18" x14ac:dyDescent="0.25">
      <c r="B36" t="s">
        <v>100</v>
      </c>
      <c r="D36" s="116">
        <v>-10.81</v>
      </c>
      <c r="E36" s="116">
        <v>134.1</v>
      </c>
      <c r="F36" s="116">
        <v>332.16</v>
      </c>
      <c r="G36" s="116">
        <v>177.6</v>
      </c>
      <c r="H36" s="116">
        <v>211.89</v>
      </c>
      <c r="I36" s="116">
        <f>I14-H14</f>
        <v>1207.7250131939804</v>
      </c>
      <c r="J36" s="116">
        <f t="shared" ref="J36:R36" si="11">J14-I14</f>
        <v>1113.4356172242715</v>
      </c>
      <c r="K36" s="116">
        <f t="shared" si="11"/>
        <v>1439.7816846867481</v>
      </c>
      <c r="L36" s="116">
        <f t="shared" si="11"/>
        <v>1766.084505311801</v>
      </c>
      <c r="M36" s="116">
        <f t="shared" si="11"/>
        <v>2066.5634904363524</v>
      </c>
      <c r="N36" s="116">
        <f t="shared" si="11"/>
        <v>2318.9275388851638</v>
      </c>
      <c r="O36" s="116">
        <f t="shared" si="11"/>
        <v>2507.45651709513</v>
      </c>
      <c r="P36" s="116">
        <f t="shared" si="11"/>
        <v>2624.3166836775526</v>
      </c>
      <c r="Q36" s="116">
        <f t="shared" si="11"/>
        <v>2669.2300339080139</v>
      </c>
      <c r="R36" s="116">
        <f t="shared" si="11"/>
        <v>2648.0020674132575</v>
      </c>
    </row>
    <row r="37" spans="2:18" x14ac:dyDescent="0.25">
      <c r="B37" t="s">
        <v>101</v>
      </c>
      <c r="D37" s="116">
        <v>-1.1399999999999999</v>
      </c>
      <c r="E37" s="116">
        <v>23.72</v>
      </c>
      <c r="F37" s="116">
        <v>42.18</v>
      </c>
      <c r="G37" s="116">
        <v>92.79</v>
      </c>
      <c r="H37" s="116">
        <v>14.06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  <c r="P37" s="116">
        <v>0</v>
      </c>
      <c r="Q37" s="116">
        <v>0</v>
      </c>
      <c r="R37" s="116">
        <v>0</v>
      </c>
    </row>
    <row r="38" spans="2:18" ht="15.75" thickBot="1" x14ac:dyDescent="0.3">
      <c r="B38" s="10" t="s">
        <v>233</v>
      </c>
      <c r="C38" s="10"/>
      <c r="D38" s="118">
        <f>SUM(D33:D37)</f>
        <v>106.26</v>
      </c>
      <c r="E38" s="118">
        <f t="shared" ref="E38:R38" si="12">SUM(E33:E37)</f>
        <v>-429.33999999999992</v>
      </c>
      <c r="F38" s="118">
        <f t="shared" si="12"/>
        <v>-293.15999999999997</v>
      </c>
      <c r="G38" s="118">
        <f t="shared" si="12"/>
        <v>-271.49999999999994</v>
      </c>
      <c r="H38" s="118">
        <f t="shared" si="12"/>
        <v>-567.69000000000005</v>
      </c>
      <c r="I38" s="118">
        <f t="shared" si="12"/>
        <v>-1093.7566853836238</v>
      </c>
      <c r="J38" s="118">
        <f t="shared" si="12"/>
        <v>-1185.1923461388906</v>
      </c>
      <c r="K38" s="118">
        <f t="shared" si="12"/>
        <v>-1532.5701876285329</v>
      </c>
      <c r="L38" s="118">
        <f t="shared" si="12"/>
        <v>-1879.9019951850796</v>
      </c>
      <c r="M38" s="118">
        <f t="shared" si="12"/>
        <v>-2199.7457183749311</v>
      </c>
      <c r="N38" s="118">
        <f t="shared" si="12"/>
        <v>-2468.3736785687906</v>
      </c>
      <c r="O38" s="118">
        <f t="shared" si="12"/>
        <v>-2669.0526388456983</v>
      </c>
      <c r="P38" s="118">
        <f t="shared" si="12"/>
        <v>-2793.4440027103492</v>
      </c>
      <c r="Q38" s="118">
        <f t="shared" si="12"/>
        <v>-2841.2518490816547</v>
      </c>
      <c r="R38" s="118">
        <f t="shared" si="12"/>
        <v>-2818.6558201559692</v>
      </c>
    </row>
    <row r="39" spans="2:18" x14ac:dyDescent="0.25">
      <c r="E39" s="33"/>
      <c r="F39" s="33"/>
      <c r="G39" s="33"/>
      <c r="H39" s="33"/>
    </row>
    <row r="40" spans="2:18" x14ac:dyDescent="0.25">
      <c r="B40" s="56"/>
      <c r="C40" s="56"/>
      <c r="D40" s="56"/>
      <c r="E40" s="56"/>
      <c r="F40" s="56"/>
      <c r="G40" s="56"/>
      <c r="H40" s="230"/>
      <c r="I40" s="56"/>
      <c r="J40" s="56"/>
      <c r="K40" s="56"/>
      <c r="L40" s="56"/>
      <c r="M40" s="56"/>
      <c r="N40" s="56"/>
      <c r="O40" s="56"/>
      <c r="P40" s="56"/>
      <c r="Q40" s="56"/>
      <c r="R40" s="56"/>
    </row>
  </sheetData>
  <mergeCells count="2">
    <mergeCell ref="B18:R18"/>
    <mergeCell ref="B32:R32"/>
  </mergeCells>
  <pageMargins left="0.7" right="0.7" top="0.75" bottom="0.75" header="0.3" footer="0.3"/>
  <pageSetup orientation="portrait" r:id="rId1"/>
  <ignoredErrors>
    <ignoredError sqref="D20:H20 I13:R13 I26:R26 D27:H27 J28:R28 D29:R29 J27:R27" formula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488"/>
  <sheetViews>
    <sheetView showGridLines="0" topLeftCell="A2466" workbookViewId="0">
      <selection activeCell="B2488" sqref="B2488:J2488"/>
    </sheetView>
  </sheetViews>
  <sheetFormatPr defaultRowHeight="15" x14ac:dyDescent="0.25"/>
  <cols>
    <col min="1" max="1" width="1.85546875" customWidth="1"/>
    <col min="2" max="2" width="10.140625" bestFit="1" customWidth="1"/>
    <col min="3" max="3" width="10.7109375" bestFit="1" customWidth="1"/>
  </cols>
  <sheetData>
    <row r="8" spans="2:6" x14ac:dyDescent="0.25">
      <c r="B8" s="140" t="s">
        <v>252</v>
      </c>
      <c r="C8" s="140" t="s">
        <v>251</v>
      </c>
    </row>
    <row r="9" spans="2:6" x14ac:dyDescent="0.25">
      <c r="B9" s="141">
        <v>42186</v>
      </c>
      <c r="C9" s="128">
        <v>28020.87</v>
      </c>
      <c r="E9" s="132" t="s">
        <v>253</v>
      </c>
      <c r="F9" s="133">
        <f>YEARFRAC(B9,B2486)</f>
        <v>10</v>
      </c>
    </row>
    <row r="10" spans="2:6" x14ac:dyDescent="0.25">
      <c r="B10" s="141">
        <v>42187</v>
      </c>
      <c r="C10" s="128">
        <v>27945.8</v>
      </c>
      <c r="E10" s="134" t="s">
        <v>254</v>
      </c>
      <c r="F10" s="135">
        <f>_xlfn.RRI(F9,C9,C2486)</f>
        <v>0.11563717710177235</v>
      </c>
    </row>
    <row r="11" spans="2:6" x14ac:dyDescent="0.25">
      <c r="B11" s="141">
        <v>42188</v>
      </c>
      <c r="C11" s="128">
        <v>28092.79</v>
      </c>
      <c r="E11" s="136" t="s">
        <v>255</v>
      </c>
      <c r="F11" s="137">
        <f>RATE(F9,,-C9,C2486,0,)</f>
        <v>0.11563717710177103</v>
      </c>
    </row>
    <row r="12" spans="2:6" x14ac:dyDescent="0.25">
      <c r="B12" s="141">
        <v>42191</v>
      </c>
      <c r="C12" s="128">
        <v>28208.76</v>
      </c>
      <c r="E12" s="138" t="s">
        <v>256</v>
      </c>
      <c r="F12" s="139">
        <f>((C2486/C9)^(1/F9)-1)</f>
        <v>0.11563717710177235</v>
      </c>
    </row>
    <row r="13" spans="2:6" x14ac:dyDescent="0.25">
      <c r="B13" s="141">
        <v>42192</v>
      </c>
      <c r="C13" s="128">
        <v>28171.69</v>
      </c>
    </row>
    <row r="14" spans="2:6" x14ac:dyDescent="0.25">
      <c r="B14" s="141">
        <v>42193</v>
      </c>
      <c r="C14" s="128">
        <v>27687.72</v>
      </c>
    </row>
    <row r="15" spans="2:6" x14ac:dyDescent="0.25">
      <c r="B15" s="141">
        <v>42194</v>
      </c>
      <c r="C15" s="128">
        <v>27573.66</v>
      </c>
    </row>
    <row r="16" spans="2:6" x14ac:dyDescent="0.25">
      <c r="B16" s="141">
        <v>42195</v>
      </c>
      <c r="C16" s="128">
        <v>27661.4</v>
      </c>
    </row>
    <row r="17" spans="2:3" x14ac:dyDescent="0.25">
      <c r="B17" s="141">
        <v>42198</v>
      </c>
      <c r="C17" s="128">
        <v>27961.19</v>
      </c>
    </row>
    <row r="18" spans="2:3" x14ac:dyDescent="0.25">
      <c r="B18" s="141">
        <v>42199</v>
      </c>
      <c r="C18" s="128">
        <v>27932.9</v>
      </c>
    </row>
    <row r="19" spans="2:3" x14ac:dyDescent="0.25">
      <c r="B19" s="141">
        <v>42200</v>
      </c>
      <c r="C19" s="128">
        <v>28198.29</v>
      </c>
    </row>
    <row r="20" spans="2:3" x14ac:dyDescent="0.25">
      <c r="B20" s="141">
        <v>42201</v>
      </c>
      <c r="C20" s="128">
        <v>28446.12</v>
      </c>
    </row>
    <row r="21" spans="2:3" x14ac:dyDescent="0.25">
      <c r="B21" s="141">
        <v>42202</v>
      </c>
      <c r="C21" s="128">
        <v>28463.31</v>
      </c>
    </row>
    <row r="22" spans="2:3" x14ac:dyDescent="0.25">
      <c r="B22" s="141">
        <v>42205</v>
      </c>
      <c r="C22" s="128">
        <v>28420.12</v>
      </c>
    </row>
    <row r="23" spans="2:3" x14ac:dyDescent="0.25">
      <c r="B23" s="141">
        <v>42206</v>
      </c>
      <c r="C23" s="128">
        <v>28182.14</v>
      </c>
    </row>
    <row r="24" spans="2:3" x14ac:dyDescent="0.25">
      <c r="B24" s="141">
        <v>42207</v>
      </c>
      <c r="C24" s="128">
        <v>28504.93</v>
      </c>
    </row>
    <row r="25" spans="2:3" x14ac:dyDescent="0.25">
      <c r="B25" s="141">
        <v>42208</v>
      </c>
      <c r="C25" s="128">
        <v>28370.84</v>
      </c>
    </row>
    <row r="26" spans="2:3" x14ac:dyDescent="0.25">
      <c r="B26" s="141">
        <v>42209</v>
      </c>
      <c r="C26" s="128">
        <v>28112.31</v>
      </c>
    </row>
    <row r="27" spans="2:3" x14ac:dyDescent="0.25">
      <c r="B27" s="141">
        <v>42212</v>
      </c>
      <c r="C27" s="128">
        <v>27561.38</v>
      </c>
    </row>
    <row r="28" spans="2:3" x14ac:dyDescent="0.25">
      <c r="B28" s="141">
        <v>42213</v>
      </c>
      <c r="C28" s="128">
        <v>27459.23</v>
      </c>
    </row>
    <row r="29" spans="2:3" x14ac:dyDescent="0.25">
      <c r="B29" s="141">
        <v>42214</v>
      </c>
      <c r="C29" s="128">
        <v>27563.43</v>
      </c>
    </row>
    <row r="30" spans="2:3" x14ac:dyDescent="0.25">
      <c r="B30" s="141">
        <v>42215</v>
      </c>
      <c r="C30" s="128">
        <v>27705.35</v>
      </c>
    </row>
    <row r="31" spans="2:3" x14ac:dyDescent="0.25">
      <c r="B31" s="141">
        <v>42216</v>
      </c>
      <c r="C31" s="128">
        <v>28114.560000000001</v>
      </c>
    </row>
    <row r="32" spans="2:3" x14ac:dyDescent="0.25">
      <c r="B32" s="141">
        <v>42219</v>
      </c>
      <c r="C32" s="128">
        <v>28187.06</v>
      </c>
    </row>
    <row r="33" spans="2:3" x14ac:dyDescent="0.25">
      <c r="B33" s="141">
        <v>42220</v>
      </c>
      <c r="C33" s="128">
        <v>28071.93</v>
      </c>
    </row>
    <row r="34" spans="2:3" x14ac:dyDescent="0.25">
      <c r="B34" s="141">
        <v>42221</v>
      </c>
      <c r="C34" s="128">
        <v>28223.08</v>
      </c>
    </row>
    <row r="35" spans="2:3" x14ac:dyDescent="0.25">
      <c r="B35" s="141">
        <v>42222</v>
      </c>
      <c r="C35" s="128">
        <v>28298.13</v>
      </c>
    </row>
    <row r="36" spans="2:3" x14ac:dyDescent="0.25">
      <c r="B36" s="141">
        <v>42223</v>
      </c>
      <c r="C36" s="128">
        <v>28236.39</v>
      </c>
    </row>
    <row r="37" spans="2:3" x14ac:dyDescent="0.25">
      <c r="B37" s="141">
        <v>42226</v>
      </c>
      <c r="C37" s="128">
        <v>28101.72</v>
      </c>
    </row>
    <row r="38" spans="2:3" x14ac:dyDescent="0.25">
      <c r="B38" s="141">
        <v>42227</v>
      </c>
      <c r="C38" s="128">
        <v>27866.09</v>
      </c>
    </row>
    <row r="39" spans="2:3" x14ac:dyDescent="0.25">
      <c r="B39" s="141">
        <v>42228</v>
      </c>
      <c r="C39" s="128">
        <v>27512.26</v>
      </c>
    </row>
    <row r="40" spans="2:3" x14ac:dyDescent="0.25">
      <c r="B40" s="141">
        <v>42229</v>
      </c>
      <c r="C40" s="128">
        <v>27549.53</v>
      </c>
    </row>
    <row r="41" spans="2:3" x14ac:dyDescent="0.25">
      <c r="B41" s="141">
        <v>42230</v>
      </c>
      <c r="C41" s="128">
        <v>28067.31</v>
      </c>
    </row>
    <row r="42" spans="2:3" x14ac:dyDescent="0.25">
      <c r="B42" s="141">
        <v>42233</v>
      </c>
      <c r="C42" s="128">
        <v>27878.27</v>
      </c>
    </row>
    <row r="43" spans="2:3" x14ac:dyDescent="0.25">
      <c r="B43" s="141">
        <v>42234</v>
      </c>
      <c r="C43" s="128">
        <v>27831.54</v>
      </c>
    </row>
    <row r="44" spans="2:3" x14ac:dyDescent="0.25">
      <c r="B44" s="141">
        <v>42235</v>
      </c>
      <c r="C44" s="128">
        <v>27931.64</v>
      </c>
    </row>
    <row r="45" spans="2:3" x14ac:dyDescent="0.25">
      <c r="B45" s="141">
        <v>42236</v>
      </c>
      <c r="C45" s="128">
        <v>27607.82</v>
      </c>
    </row>
    <row r="46" spans="2:3" x14ac:dyDescent="0.25">
      <c r="B46" s="141">
        <v>42237</v>
      </c>
      <c r="C46" s="128">
        <v>27366.07</v>
      </c>
    </row>
    <row r="47" spans="2:3" x14ac:dyDescent="0.25">
      <c r="B47" s="141">
        <v>42240</v>
      </c>
      <c r="C47" s="128">
        <v>25741.56</v>
      </c>
    </row>
    <row r="48" spans="2:3" x14ac:dyDescent="0.25">
      <c r="B48" s="141">
        <v>42241</v>
      </c>
      <c r="C48" s="128">
        <v>26032.38</v>
      </c>
    </row>
    <row r="49" spans="2:3" x14ac:dyDescent="0.25">
      <c r="B49" s="141">
        <v>42242</v>
      </c>
      <c r="C49" s="128">
        <v>25714.66</v>
      </c>
    </row>
    <row r="50" spans="2:3" x14ac:dyDescent="0.25">
      <c r="B50" s="141">
        <v>42243</v>
      </c>
      <c r="C50" s="128">
        <v>26231.19</v>
      </c>
    </row>
    <row r="51" spans="2:3" x14ac:dyDescent="0.25">
      <c r="B51" s="141">
        <v>42244</v>
      </c>
      <c r="C51" s="128">
        <v>26392.38</v>
      </c>
    </row>
    <row r="52" spans="2:3" x14ac:dyDescent="0.25">
      <c r="B52" s="141">
        <v>42247</v>
      </c>
      <c r="C52" s="128">
        <v>26283.09</v>
      </c>
    </row>
    <row r="53" spans="2:3" x14ac:dyDescent="0.25">
      <c r="B53" s="141">
        <v>42248</v>
      </c>
      <c r="C53" s="128">
        <v>25696.44</v>
      </c>
    </row>
    <row r="54" spans="2:3" x14ac:dyDescent="0.25">
      <c r="B54" s="141">
        <v>42249</v>
      </c>
      <c r="C54" s="128">
        <v>25453.56</v>
      </c>
    </row>
    <row r="55" spans="2:3" x14ac:dyDescent="0.25">
      <c r="B55" s="141">
        <v>42250</v>
      </c>
      <c r="C55" s="128">
        <v>25764.78</v>
      </c>
    </row>
    <row r="56" spans="2:3" x14ac:dyDescent="0.25">
      <c r="B56" s="141">
        <v>42251</v>
      </c>
      <c r="C56" s="128">
        <v>25201.9</v>
      </c>
    </row>
    <row r="57" spans="2:3" x14ac:dyDescent="0.25">
      <c r="B57" s="141">
        <v>42254</v>
      </c>
      <c r="C57" s="128">
        <v>24893.81</v>
      </c>
    </row>
    <row r="58" spans="2:3" x14ac:dyDescent="0.25">
      <c r="B58" s="141">
        <v>42255</v>
      </c>
      <c r="C58" s="128">
        <v>25317.87</v>
      </c>
    </row>
    <row r="59" spans="2:3" x14ac:dyDescent="0.25">
      <c r="B59" s="141">
        <v>42256</v>
      </c>
      <c r="C59" s="128">
        <v>25719.58</v>
      </c>
    </row>
    <row r="60" spans="2:3" x14ac:dyDescent="0.25">
      <c r="B60" s="141">
        <v>42257</v>
      </c>
      <c r="C60" s="128">
        <v>25622.17</v>
      </c>
    </row>
    <row r="61" spans="2:3" x14ac:dyDescent="0.25">
      <c r="B61" s="141">
        <v>42258</v>
      </c>
      <c r="C61" s="128">
        <v>25610.21</v>
      </c>
    </row>
    <row r="62" spans="2:3" x14ac:dyDescent="0.25">
      <c r="B62" s="141">
        <v>42261</v>
      </c>
      <c r="C62" s="128">
        <v>25856.7</v>
      </c>
    </row>
    <row r="63" spans="2:3" x14ac:dyDescent="0.25">
      <c r="B63" s="141">
        <v>42262</v>
      </c>
      <c r="C63" s="128">
        <v>25705.93</v>
      </c>
    </row>
    <row r="64" spans="2:3" x14ac:dyDescent="0.25">
      <c r="B64" s="141">
        <v>42263</v>
      </c>
      <c r="C64" s="128">
        <v>25963.97</v>
      </c>
    </row>
    <row r="65" spans="2:3" x14ac:dyDescent="0.25">
      <c r="B65" s="141">
        <v>42265</v>
      </c>
      <c r="C65" s="128">
        <v>26218.91</v>
      </c>
    </row>
    <row r="66" spans="2:3" x14ac:dyDescent="0.25">
      <c r="B66" s="141">
        <v>42268</v>
      </c>
      <c r="C66" s="128">
        <v>26192.98</v>
      </c>
    </row>
    <row r="67" spans="2:3" x14ac:dyDescent="0.25">
      <c r="B67" s="141">
        <v>42269</v>
      </c>
      <c r="C67" s="128">
        <v>25651.84</v>
      </c>
    </row>
    <row r="68" spans="2:3" x14ac:dyDescent="0.25">
      <c r="B68" s="141">
        <v>42270</v>
      </c>
      <c r="C68" s="128">
        <v>25822.99</v>
      </c>
    </row>
    <row r="69" spans="2:3" x14ac:dyDescent="0.25">
      <c r="B69" s="141">
        <v>42271</v>
      </c>
      <c r="C69" s="128">
        <v>25863.5</v>
      </c>
    </row>
    <row r="70" spans="2:3" x14ac:dyDescent="0.25">
      <c r="B70" s="141">
        <v>42275</v>
      </c>
      <c r="C70" s="128">
        <v>25616.84</v>
      </c>
    </row>
    <row r="71" spans="2:3" x14ac:dyDescent="0.25">
      <c r="B71" s="141">
        <v>42276</v>
      </c>
      <c r="C71" s="128">
        <v>25778.66</v>
      </c>
    </row>
    <row r="72" spans="2:3" x14ac:dyDescent="0.25">
      <c r="B72" s="141">
        <v>42277</v>
      </c>
      <c r="C72" s="128">
        <v>26154.83</v>
      </c>
    </row>
    <row r="73" spans="2:3" x14ac:dyDescent="0.25">
      <c r="B73" s="141">
        <v>42278</v>
      </c>
      <c r="C73" s="128">
        <v>26220.95</v>
      </c>
    </row>
    <row r="74" spans="2:3" x14ac:dyDescent="0.25">
      <c r="B74" s="141">
        <v>42282</v>
      </c>
      <c r="C74" s="128">
        <v>26785.55</v>
      </c>
    </row>
    <row r="75" spans="2:3" x14ac:dyDescent="0.25">
      <c r="B75" s="141">
        <v>42283</v>
      </c>
      <c r="C75" s="128">
        <v>26932.880000000001</v>
      </c>
    </row>
    <row r="76" spans="2:3" x14ac:dyDescent="0.25">
      <c r="B76" s="141">
        <v>42284</v>
      </c>
      <c r="C76" s="128">
        <v>27035.85</v>
      </c>
    </row>
    <row r="77" spans="2:3" x14ac:dyDescent="0.25">
      <c r="B77" s="141">
        <v>42285</v>
      </c>
      <c r="C77" s="128">
        <v>26845.81</v>
      </c>
    </row>
    <row r="78" spans="2:3" x14ac:dyDescent="0.25">
      <c r="B78" s="141">
        <v>42286</v>
      </c>
      <c r="C78" s="128">
        <v>27079.51</v>
      </c>
    </row>
    <row r="79" spans="2:3" x14ac:dyDescent="0.25">
      <c r="B79" s="141">
        <v>42289</v>
      </c>
      <c r="C79" s="128">
        <v>26904.11</v>
      </c>
    </row>
    <row r="80" spans="2:3" x14ac:dyDescent="0.25">
      <c r="B80" s="141">
        <v>42290</v>
      </c>
      <c r="C80" s="128">
        <v>26846.53</v>
      </c>
    </row>
    <row r="81" spans="2:3" x14ac:dyDescent="0.25">
      <c r="B81" s="141">
        <v>42291</v>
      </c>
      <c r="C81" s="128">
        <v>26779.66</v>
      </c>
    </row>
    <row r="82" spans="2:3" x14ac:dyDescent="0.25">
      <c r="B82" s="141">
        <v>42292</v>
      </c>
      <c r="C82" s="128">
        <v>27010.14</v>
      </c>
    </row>
    <row r="83" spans="2:3" x14ac:dyDescent="0.25">
      <c r="B83" s="141">
        <v>42293</v>
      </c>
      <c r="C83" s="128">
        <v>27214.6</v>
      </c>
    </row>
    <row r="84" spans="2:3" x14ac:dyDescent="0.25">
      <c r="B84" s="141">
        <v>42296</v>
      </c>
      <c r="C84" s="128">
        <v>27364.92</v>
      </c>
    </row>
    <row r="85" spans="2:3" x14ac:dyDescent="0.25">
      <c r="B85" s="141">
        <v>42297</v>
      </c>
      <c r="C85" s="128">
        <v>27306.83</v>
      </c>
    </row>
    <row r="86" spans="2:3" x14ac:dyDescent="0.25">
      <c r="B86" s="141">
        <v>42298</v>
      </c>
      <c r="C86" s="128">
        <v>27287.66</v>
      </c>
    </row>
    <row r="87" spans="2:3" x14ac:dyDescent="0.25">
      <c r="B87" s="141">
        <v>42300</v>
      </c>
      <c r="C87" s="128">
        <v>27470.81</v>
      </c>
    </row>
    <row r="88" spans="2:3" x14ac:dyDescent="0.25">
      <c r="B88" s="141">
        <v>42303</v>
      </c>
      <c r="C88" s="128">
        <v>27361.96</v>
      </c>
    </row>
    <row r="89" spans="2:3" x14ac:dyDescent="0.25">
      <c r="B89" s="141">
        <v>42304</v>
      </c>
      <c r="C89" s="128">
        <v>27253.439999999999</v>
      </c>
    </row>
    <row r="90" spans="2:3" x14ac:dyDescent="0.25">
      <c r="B90" s="141">
        <v>42305</v>
      </c>
      <c r="C90" s="128">
        <v>27039.759999999998</v>
      </c>
    </row>
    <row r="91" spans="2:3" x14ac:dyDescent="0.25">
      <c r="B91" s="141">
        <v>42306</v>
      </c>
      <c r="C91" s="128">
        <v>26838.14</v>
      </c>
    </row>
    <row r="92" spans="2:3" x14ac:dyDescent="0.25">
      <c r="B92" s="141">
        <v>42307</v>
      </c>
      <c r="C92" s="128">
        <v>26656.83</v>
      </c>
    </row>
    <row r="93" spans="2:3" x14ac:dyDescent="0.25">
      <c r="B93" s="141">
        <v>42310</v>
      </c>
      <c r="C93" s="128">
        <v>26559.15</v>
      </c>
    </row>
    <row r="94" spans="2:3" x14ac:dyDescent="0.25">
      <c r="B94" s="141">
        <v>42311</v>
      </c>
      <c r="C94" s="128">
        <v>26590.59</v>
      </c>
    </row>
    <row r="95" spans="2:3" x14ac:dyDescent="0.25">
      <c r="B95" s="141">
        <v>42312</v>
      </c>
      <c r="C95" s="128">
        <v>26552.92</v>
      </c>
    </row>
    <row r="96" spans="2:3" x14ac:dyDescent="0.25">
      <c r="B96" s="141">
        <v>42313</v>
      </c>
      <c r="C96" s="128">
        <v>26304.2</v>
      </c>
    </row>
    <row r="97" spans="2:3" x14ac:dyDescent="0.25">
      <c r="B97" s="141">
        <v>42314</v>
      </c>
      <c r="C97" s="128">
        <v>26265.24</v>
      </c>
    </row>
    <row r="98" spans="2:3" x14ac:dyDescent="0.25">
      <c r="B98" s="141">
        <v>42317</v>
      </c>
      <c r="C98" s="128">
        <v>26121.4</v>
      </c>
    </row>
    <row r="99" spans="2:3" x14ac:dyDescent="0.25">
      <c r="B99" s="141">
        <v>42318</v>
      </c>
      <c r="C99" s="128">
        <v>25743.26</v>
      </c>
    </row>
    <row r="100" spans="2:3" x14ac:dyDescent="0.25">
      <c r="B100" s="141">
        <v>42319</v>
      </c>
      <c r="C100" s="128">
        <v>25866.95</v>
      </c>
    </row>
    <row r="101" spans="2:3" x14ac:dyDescent="0.25">
      <c r="B101" s="141">
        <v>42321</v>
      </c>
      <c r="C101" s="128">
        <v>25610.53</v>
      </c>
    </row>
    <row r="102" spans="2:3" x14ac:dyDescent="0.25">
      <c r="B102" s="141">
        <v>42324</v>
      </c>
      <c r="C102" s="128">
        <v>25760.1</v>
      </c>
    </row>
    <row r="103" spans="2:3" x14ac:dyDescent="0.25">
      <c r="B103" s="141">
        <v>42325</v>
      </c>
      <c r="C103" s="128">
        <v>25864.47</v>
      </c>
    </row>
    <row r="104" spans="2:3" x14ac:dyDescent="0.25">
      <c r="B104" s="141">
        <v>42326</v>
      </c>
      <c r="C104" s="128">
        <v>25482.52</v>
      </c>
    </row>
    <row r="105" spans="2:3" x14ac:dyDescent="0.25">
      <c r="B105" s="141">
        <v>42327</v>
      </c>
      <c r="C105" s="128">
        <v>25841.919999999998</v>
      </c>
    </row>
    <row r="106" spans="2:3" x14ac:dyDescent="0.25">
      <c r="B106" s="141">
        <v>42328</v>
      </c>
      <c r="C106" s="128">
        <v>25868.49</v>
      </c>
    </row>
    <row r="107" spans="2:3" x14ac:dyDescent="0.25">
      <c r="B107" s="141">
        <v>42331</v>
      </c>
      <c r="C107" s="128">
        <v>25819.34</v>
      </c>
    </row>
    <row r="108" spans="2:3" x14ac:dyDescent="0.25">
      <c r="B108" s="141">
        <v>42332</v>
      </c>
      <c r="C108" s="128">
        <v>25775.74</v>
      </c>
    </row>
    <row r="109" spans="2:3" x14ac:dyDescent="0.25">
      <c r="B109" s="141">
        <v>42334</v>
      </c>
      <c r="C109" s="128">
        <v>25958.63</v>
      </c>
    </row>
    <row r="110" spans="2:3" x14ac:dyDescent="0.25">
      <c r="B110" s="141">
        <v>42335</v>
      </c>
      <c r="C110" s="128">
        <v>26128.2</v>
      </c>
    </row>
    <row r="111" spans="2:3" x14ac:dyDescent="0.25">
      <c r="B111" s="141">
        <v>42338</v>
      </c>
      <c r="C111" s="128">
        <v>26145.67</v>
      </c>
    </row>
    <row r="112" spans="2:3" x14ac:dyDescent="0.25">
      <c r="B112" s="141">
        <v>42339</v>
      </c>
      <c r="C112" s="128">
        <v>26169.41</v>
      </c>
    </row>
    <row r="113" spans="2:3" x14ac:dyDescent="0.25">
      <c r="B113" s="141">
        <v>42340</v>
      </c>
      <c r="C113" s="128">
        <v>26117.85</v>
      </c>
    </row>
    <row r="114" spans="2:3" x14ac:dyDescent="0.25">
      <c r="B114" s="141">
        <v>42341</v>
      </c>
      <c r="C114" s="128">
        <v>25886.62</v>
      </c>
    </row>
    <row r="115" spans="2:3" x14ac:dyDescent="0.25">
      <c r="B115" s="141">
        <v>42342</v>
      </c>
      <c r="C115" s="128">
        <v>25638.11</v>
      </c>
    </row>
    <row r="116" spans="2:3" x14ac:dyDescent="0.25">
      <c r="B116" s="141">
        <v>42345</v>
      </c>
      <c r="C116" s="128">
        <v>25530.11</v>
      </c>
    </row>
    <row r="117" spans="2:3" x14ac:dyDescent="0.25">
      <c r="B117" s="141">
        <v>42346</v>
      </c>
      <c r="C117" s="128">
        <v>25310.33</v>
      </c>
    </row>
    <row r="118" spans="2:3" x14ac:dyDescent="0.25">
      <c r="B118" s="141">
        <v>42347</v>
      </c>
      <c r="C118" s="128">
        <v>25036.05</v>
      </c>
    </row>
    <row r="119" spans="2:3" x14ac:dyDescent="0.25">
      <c r="B119" s="141">
        <v>42348</v>
      </c>
      <c r="C119" s="128">
        <v>25252.32</v>
      </c>
    </row>
    <row r="120" spans="2:3" x14ac:dyDescent="0.25">
      <c r="B120" s="141">
        <v>42349</v>
      </c>
      <c r="C120" s="128">
        <v>25044.43</v>
      </c>
    </row>
    <row r="121" spans="2:3" x14ac:dyDescent="0.25">
      <c r="B121" s="141">
        <v>42352</v>
      </c>
      <c r="C121" s="128">
        <v>25150.35</v>
      </c>
    </row>
    <row r="122" spans="2:3" x14ac:dyDescent="0.25">
      <c r="B122" s="141">
        <v>42353</v>
      </c>
      <c r="C122" s="128">
        <v>25320.44</v>
      </c>
    </row>
    <row r="123" spans="2:3" x14ac:dyDescent="0.25">
      <c r="B123" s="141">
        <v>42354</v>
      </c>
      <c r="C123" s="128">
        <v>25494.37</v>
      </c>
    </row>
    <row r="124" spans="2:3" x14ac:dyDescent="0.25">
      <c r="B124" s="141">
        <v>42355</v>
      </c>
      <c r="C124" s="128">
        <v>25803.78</v>
      </c>
    </row>
    <row r="125" spans="2:3" x14ac:dyDescent="0.25">
      <c r="B125" s="141">
        <v>42356</v>
      </c>
      <c r="C125" s="128">
        <v>25519.22</v>
      </c>
    </row>
    <row r="126" spans="2:3" x14ac:dyDescent="0.25">
      <c r="B126" s="141">
        <v>42359</v>
      </c>
      <c r="C126" s="128">
        <v>25735.9</v>
      </c>
    </row>
    <row r="127" spans="2:3" x14ac:dyDescent="0.25">
      <c r="B127" s="141">
        <v>42360</v>
      </c>
      <c r="C127" s="128">
        <v>25590.65</v>
      </c>
    </row>
    <row r="128" spans="2:3" x14ac:dyDescent="0.25">
      <c r="B128" s="141">
        <v>42361</v>
      </c>
      <c r="C128" s="128">
        <v>25850.3</v>
      </c>
    </row>
    <row r="129" spans="2:3" x14ac:dyDescent="0.25">
      <c r="B129" s="141">
        <v>42362</v>
      </c>
      <c r="C129" s="128">
        <v>25838.71</v>
      </c>
    </row>
    <row r="130" spans="2:3" x14ac:dyDescent="0.25">
      <c r="B130" s="141">
        <v>42366</v>
      </c>
      <c r="C130" s="128">
        <v>26034.13</v>
      </c>
    </row>
    <row r="131" spans="2:3" x14ac:dyDescent="0.25">
      <c r="B131" s="141">
        <v>42367</v>
      </c>
      <c r="C131" s="128">
        <v>26079.48</v>
      </c>
    </row>
    <row r="132" spans="2:3" x14ac:dyDescent="0.25">
      <c r="B132" s="141">
        <v>42368</v>
      </c>
      <c r="C132" s="128">
        <v>25960.03</v>
      </c>
    </row>
    <row r="133" spans="2:3" x14ac:dyDescent="0.25">
      <c r="B133" s="141">
        <v>42369</v>
      </c>
      <c r="C133" s="128">
        <v>26117.54</v>
      </c>
    </row>
    <row r="134" spans="2:3" x14ac:dyDescent="0.25">
      <c r="B134" s="141">
        <v>42370</v>
      </c>
      <c r="C134" s="128">
        <v>26160.9</v>
      </c>
    </row>
    <row r="135" spans="2:3" x14ac:dyDescent="0.25">
      <c r="B135" s="141">
        <v>42373</v>
      </c>
      <c r="C135" s="128">
        <v>25623.35</v>
      </c>
    </row>
    <row r="136" spans="2:3" x14ac:dyDescent="0.25">
      <c r="B136" s="141">
        <v>42374</v>
      </c>
      <c r="C136" s="128">
        <v>25580.34</v>
      </c>
    </row>
    <row r="137" spans="2:3" x14ac:dyDescent="0.25">
      <c r="B137" s="141">
        <v>42375</v>
      </c>
      <c r="C137" s="128">
        <v>25406.33</v>
      </c>
    </row>
    <row r="138" spans="2:3" x14ac:dyDescent="0.25">
      <c r="B138" s="141">
        <v>42376</v>
      </c>
      <c r="C138" s="128">
        <v>24851.83</v>
      </c>
    </row>
    <row r="139" spans="2:3" x14ac:dyDescent="0.25">
      <c r="B139" s="141">
        <v>42377</v>
      </c>
      <c r="C139" s="128">
        <v>24934.33</v>
      </c>
    </row>
    <row r="140" spans="2:3" x14ac:dyDescent="0.25">
      <c r="B140" s="141">
        <v>42380</v>
      </c>
      <c r="C140" s="128">
        <v>24825.040000000001</v>
      </c>
    </row>
    <row r="141" spans="2:3" x14ac:dyDescent="0.25">
      <c r="B141" s="141">
        <v>42381</v>
      </c>
      <c r="C141" s="128">
        <v>24682.03</v>
      </c>
    </row>
    <row r="142" spans="2:3" x14ac:dyDescent="0.25">
      <c r="B142" s="141">
        <v>42382</v>
      </c>
      <c r="C142" s="128">
        <v>24854.11</v>
      </c>
    </row>
    <row r="143" spans="2:3" x14ac:dyDescent="0.25">
      <c r="B143" s="141">
        <v>42383</v>
      </c>
      <c r="C143" s="128">
        <v>24772.97</v>
      </c>
    </row>
    <row r="144" spans="2:3" x14ac:dyDescent="0.25">
      <c r="B144" s="141">
        <v>42384</v>
      </c>
      <c r="C144" s="128">
        <v>24455.040000000001</v>
      </c>
    </row>
    <row r="145" spans="2:3" x14ac:dyDescent="0.25">
      <c r="B145" s="141">
        <v>42387</v>
      </c>
      <c r="C145" s="128">
        <v>24188.37</v>
      </c>
    </row>
    <row r="146" spans="2:3" x14ac:dyDescent="0.25">
      <c r="B146" s="141">
        <v>42388</v>
      </c>
      <c r="C146" s="128">
        <v>24479.84</v>
      </c>
    </row>
    <row r="147" spans="2:3" x14ac:dyDescent="0.25">
      <c r="B147" s="141">
        <v>42389</v>
      </c>
      <c r="C147" s="128">
        <v>24062.04</v>
      </c>
    </row>
    <row r="148" spans="2:3" x14ac:dyDescent="0.25">
      <c r="B148" s="141">
        <v>42390</v>
      </c>
      <c r="C148" s="128">
        <v>23962.21</v>
      </c>
    </row>
    <row r="149" spans="2:3" x14ac:dyDescent="0.25">
      <c r="B149" s="141">
        <v>42391</v>
      </c>
      <c r="C149" s="128">
        <v>24435.66</v>
      </c>
    </row>
    <row r="150" spans="2:3" x14ac:dyDescent="0.25">
      <c r="B150" s="141">
        <v>42394</v>
      </c>
      <c r="C150" s="128">
        <v>24485.95</v>
      </c>
    </row>
    <row r="151" spans="2:3" x14ac:dyDescent="0.25">
      <c r="B151" s="141">
        <v>42396</v>
      </c>
      <c r="C151" s="128">
        <v>24492.39</v>
      </c>
    </row>
    <row r="152" spans="2:3" x14ac:dyDescent="0.25">
      <c r="B152" s="141">
        <v>42397</v>
      </c>
      <c r="C152" s="128">
        <v>24469.57</v>
      </c>
    </row>
    <row r="153" spans="2:3" x14ac:dyDescent="0.25">
      <c r="B153" s="141">
        <v>42398</v>
      </c>
      <c r="C153" s="128">
        <v>24870.69</v>
      </c>
    </row>
    <row r="154" spans="2:3" x14ac:dyDescent="0.25">
      <c r="B154" s="141">
        <v>42401</v>
      </c>
      <c r="C154" s="128">
        <v>24824.83</v>
      </c>
    </row>
    <row r="155" spans="2:3" x14ac:dyDescent="0.25">
      <c r="B155" s="141">
        <v>42402</v>
      </c>
      <c r="C155" s="128">
        <v>24539</v>
      </c>
    </row>
    <row r="156" spans="2:3" x14ac:dyDescent="0.25">
      <c r="B156" s="141">
        <v>42403</v>
      </c>
      <c r="C156" s="128">
        <v>24223.32</v>
      </c>
    </row>
    <row r="157" spans="2:3" x14ac:dyDescent="0.25">
      <c r="B157" s="141">
        <v>42404</v>
      </c>
      <c r="C157" s="128">
        <v>24338.43</v>
      </c>
    </row>
    <row r="158" spans="2:3" x14ac:dyDescent="0.25">
      <c r="B158" s="141">
        <v>42405</v>
      </c>
      <c r="C158" s="128">
        <v>24616.97</v>
      </c>
    </row>
    <row r="159" spans="2:3" x14ac:dyDescent="0.25">
      <c r="B159" s="141">
        <v>42408</v>
      </c>
      <c r="C159" s="128">
        <v>24287.42</v>
      </c>
    </row>
    <row r="160" spans="2:3" x14ac:dyDescent="0.25">
      <c r="B160" s="141">
        <v>42409</v>
      </c>
      <c r="C160" s="128">
        <v>24020.98</v>
      </c>
    </row>
    <row r="161" spans="2:3" x14ac:dyDescent="0.25">
      <c r="B161" s="141">
        <v>42410</v>
      </c>
      <c r="C161" s="128">
        <v>23758.9</v>
      </c>
    </row>
    <row r="162" spans="2:3" x14ac:dyDescent="0.25">
      <c r="B162" s="141">
        <v>42411</v>
      </c>
      <c r="C162" s="128">
        <v>22951.83</v>
      </c>
    </row>
    <row r="163" spans="2:3" x14ac:dyDescent="0.25">
      <c r="B163" s="141">
        <v>42412</v>
      </c>
      <c r="C163" s="128">
        <v>22986.12</v>
      </c>
    </row>
    <row r="164" spans="2:3" x14ac:dyDescent="0.25">
      <c r="B164" s="141">
        <v>42415</v>
      </c>
      <c r="C164" s="128">
        <v>23554.12</v>
      </c>
    </row>
    <row r="165" spans="2:3" x14ac:dyDescent="0.25">
      <c r="B165" s="141">
        <v>42416</v>
      </c>
      <c r="C165" s="128">
        <v>23191.97</v>
      </c>
    </row>
    <row r="166" spans="2:3" x14ac:dyDescent="0.25">
      <c r="B166" s="141">
        <v>42417</v>
      </c>
      <c r="C166" s="128">
        <v>23381.87</v>
      </c>
    </row>
    <row r="167" spans="2:3" x14ac:dyDescent="0.25">
      <c r="B167" s="141">
        <v>42418</v>
      </c>
      <c r="C167" s="128">
        <v>23649.22</v>
      </c>
    </row>
    <row r="168" spans="2:3" x14ac:dyDescent="0.25">
      <c r="B168" s="141">
        <v>42419</v>
      </c>
      <c r="C168" s="128">
        <v>23709.15</v>
      </c>
    </row>
    <row r="169" spans="2:3" x14ac:dyDescent="0.25">
      <c r="B169" s="141">
        <v>42422</v>
      </c>
      <c r="C169" s="128">
        <v>23788.79</v>
      </c>
    </row>
    <row r="170" spans="2:3" x14ac:dyDescent="0.25">
      <c r="B170" s="141">
        <v>42423</v>
      </c>
      <c r="C170" s="128">
        <v>23410.18</v>
      </c>
    </row>
    <row r="171" spans="2:3" x14ac:dyDescent="0.25">
      <c r="B171" s="141">
        <v>42424</v>
      </c>
      <c r="C171" s="128">
        <v>23088.93</v>
      </c>
    </row>
    <row r="172" spans="2:3" x14ac:dyDescent="0.25">
      <c r="B172" s="141">
        <v>42425</v>
      </c>
      <c r="C172" s="128">
        <v>22976</v>
      </c>
    </row>
    <row r="173" spans="2:3" x14ac:dyDescent="0.25">
      <c r="B173" s="141">
        <v>42426</v>
      </c>
      <c r="C173" s="128">
        <v>23154.3</v>
      </c>
    </row>
    <row r="174" spans="2:3" x14ac:dyDescent="0.25">
      <c r="B174" s="141">
        <v>42429</v>
      </c>
      <c r="C174" s="128">
        <v>23002</v>
      </c>
    </row>
    <row r="175" spans="2:3" x14ac:dyDescent="0.25">
      <c r="B175" s="141">
        <v>42430</v>
      </c>
      <c r="C175" s="128">
        <v>23779.35</v>
      </c>
    </row>
    <row r="176" spans="2:3" x14ac:dyDescent="0.25">
      <c r="B176" s="141">
        <v>42431</v>
      </c>
      <c r="C176" s="128">
        <v>24242.98</v>
      </c>
    </row>
    <row r="177" spans="2:3" x14ac:dyDescent="0.25">
      <c r="B177" s="141">
        <v>42432</v>
      </c>
      <c r="C177" s="128">
        <v>24606.99</v>
      </c>
    </row>
    <row r="178" spans="2:3" x14ac:dyDescent="0.25">
      <c r="B178" s="141">
        <v>42433</v>
      </c>
      <c r="C178" s="128">
        <v>24646.48</v>
      </c>
    </row>
    <row r="179" spans="2:3" x14ac:dyDescent="0.25">
      <c r="B179" s="141">
        <v>42437</v>
      </c>
      <c r="C179" s="128">
        <v>24659.23</v>
      </c>
    </row>
    <row r="180" spans="2:3" x14ac:dyDescent="0.25">
      <c r="B180" s="141">
        <v>42438</v>
      </c>
      <c r="C180" s="128">
        <v>24793.96</v>
      </c>
    </row>
    <row r="181" spans="2:3" x14ac:dyDescent="0.25">
      <c r="B181" s="141">
        <v>42439</v>
      </c>
      <c r="C181" s="128">
        <v>24623.34</v>
      </c>
    </row>
    <row r="182" spans="2:3" x14ac:dyDescent="0.25">
      <c r="B182" s="141">
        <v>42440</v>
      </c>
      <c r="C182" s="128">
        <v>24717.99</v>
      </c>
    </row>
    <row r="183" spans="2:3" x14ac:dyDescent="0.25">
      <c r="B183" s="141">
        <v>42443</v>
      </c>
      <c r="C183" s="128">
        <v>24804.28</v>
      </c>
    </row>
    <row r="184" spans="2:3" x14ac:dyDescent="0.25">
      <c r="B184" s="141">
        <v>42444</v>
      </c>
      <c r="C184" s="128">
        <v>24551.17</v>
      </c>
    </row>
    <row r="185" spans="2:3" x14ac:dyDescent="0.25">
      <c r="B185" s="141">
        <v>42445</v>
      </c>
      <c r="C185" s="128">
        <v>24682.48</v>
      </c>
    </row>
    <row r="186" spans="2:3" x14ac:dyDescent="0.25">
      <c r="B186" s="141">
        <v>42446</v>
      </c>
      <c r="C186" s="128">
        <v>24677.37</v>
      </c>
    </row>
    <row r="187" spans="2:3" x14ac:dyDescent="0.25">
      <c r="B187" s="141">
        <v>42447</v>
      </c>
      <c r="C187" s="128">
        <v>24952.74</v>
      </c>
    </row>
    <row r="188" spans="2:3" x14ac:dyDescent="0.25">
      <c r="B188" s="141">
        <v>42450</v>
      </c>
      <c r="C188" s="128">
        <v>25285.37</v>
      </c>
    </row>
    <row r="189" spans="2:3" x14ac:dyDescent="0.25">
      <c r="B189" s="141">
        <v>42451</v>
      </c>
      <c r="C189" s="128">
        <v>25330.49</v>
      </c>
    </row>
    <row r="190" spans="2:3" x14ac:dyDescent="0.25">
      <c r="B190" s="141">
        <v>42452</v>
      </c>
      <c r="C190" s="128">
        <v>25337.56</v>
      </c>
    </row>
    <row r="191" spans="2:3" x14ac:dyDescent="0.25">
      <c r="B191" s="141">
        <v>42457</v>
      </c>
      <c r="C191" s="128">
        <v>24966.400000000001</v>
      </c>
    </row>
    <row r="192" spans="2:3" x14ac:dyDescent="0.25">
      <c r="B192" s="141">
        <v>42458</v>
      </c>
      <c r="C192" s="128">
        <v>24900.46</v>
      </c>
    </row>
    <row r="193" spans="2:3" x14ac:dyDescent="0.25">
      <c r="B193" s="141">
        <v>42459</v>
      </c>
      <c r="C193" s="128">
        <v>25338.58</v>
      </c>
    </row>
    <row r="194" spans="2:3" x14ac:dyDescent="0.25">
      <c r="B194" s="141">
        <v>42460</v>
      </c>
      <c r="C194" s="128">
        <v>25341.86</v>
      </c>
    </row>
    <row r="195" spans="2:3" x14ac:dyDescent="0.25">
      <c r="B195" s="141">
        <v>42461</v>
      </c>
      <c r="C195" s="128">
        <v>25269.64</v>
      </c>
    </row>
    <row r="196" spans="2:3" x14ac:dyDescent="0.25">
      <c r="B196" s="141">
        <v>42464</v>
      </c>
      <c r="C196" s="128">
        <v>25399.65</v>
      </c>
    </row>
    <row r="197" spans="2:3" x14ac:dyDescent="0.25">
      <c r="B197" s="141">
        <v>42465</v>
      </c>
      <c r="C197" s="128">
        <v>24883.59</v>
      </c>
    </row>
    <row r="198" spans="2:3" x14ac:dyDescent="0.25">
      <c r="B198" s="141">
        <v>42466</v>
      </c>
      <c r="C198" s="128">
        <v>24900.63</v>
      </c>
    </row>
    <row r="199" spans="2:3" x14ac:dyDescent="0.25">
      <c r="B199" s="141">
        <v>42467</v>
      </c>
      <c r="C199" s="128">
        <v>24685.42</v>
      </c>
    </row>
    <row r="200" spans="2:3" x14ac:dyDescent="0.25">
      <c r="B200" s="141">
        <v>42468</v>
      </c>
      <c r="C200" s="128">
        <v>24673.84</v>
      </c>
    </row>
    <row r="201" spans="2:3" x14ac:dyDescent="0.25">
      <c r="B201" s="141">
        <v>42471</v>
      </c>
      <c r="C201" s="128">
        <v>25022.16</v>
      </c>
    </row>
    <row r="202" spans="2:3" x14ac:dyDescent="0.25">
      <c r="B202" s="141">
        <v>42472</v>
      </c>
      <c r="C202" s="128">
        <v>25145.59</v>
      </c>
    </row>
    <row r="203" spans="2:3" x14ac:dyDescent="0.25">
      <c r="B203" s="141">
        <v>42473</v>
      </c>
      <c r="C203" s="128">
        <v>25626.75</v>
      </c>
    </row>
    <row r="204" spans="2:3" x14ac:dyDescent="0.25">
      <c r="B204" s="141">
        <v>42478</v>
      </c>
      <c r="C204" s="128">
        <v>25816.36</v>
      </c>
    </row>
    <row r="205" spans="2:3" x14ac:dyDescent="0.25">
      <c r="B205" s="141">
        <v>42480</v>
      </c>
      <c r="C205" s="128">
        <v>25844.18</v>
      </c>
    </row>
    <row r="206" spans="2:3" x14ac:dyDescent="0.25">
      <c r="B206" s="141">
        <v>42481</v>
      </c>
      <c r="C206" s="128">
        <v>25880.38</v>
      </c>
    </row>
    <row r="207" spans="2:3" x14ac:dyDescent="0.25">
      <c r="B207" s="141">
        <v>42482</v>
      </c>
      <c r="C207" s="128">
        <v>25838.14</v>
      </c>
    </row>
    <row r="208" spans="2:3" x14ac:dyDescent="0.25">
      <c r="B208" s="141">
        <v>42485</v>
      </c>
      <c r="C208" s="128">
        <v>25678.93</v>
      </c>
    </row>
    <row r="209" spans="2:3" x14ac:dyDescent="0.25">
      <c r="B209" s="141">
        <v>42486</v>
      </c>
      <c r="C209" s="128">
        <v>26007.3</v>
      </c>
    </row>
    <row r="210" spans="2:3" x14ac:dyDescent="0.25">
      <c r="B210" s="141">
        <v>42487</v>
      </c>
      <c r="C210" s="128">
        <v>26064.12</v>
      </c>
    </row>
    <row r="211" spans="2:3" x14ac:dyDescent="0.25">
      <c r="B211" s="141">
        <v>42488</v>
      </c>
      <c r="C211" s="128">
        <v>25603.1</v>
      </c>
    </row>
    <row r="212" spans="2:3" x14ac:dyDescent="0.25">
      <c r="B212" s="141">
        <v>42489</v>
      </c>
      <c r="C212" s="128">
        <v>25606.62</v>
      </c>
    </row>
    <row r="213" spans="2:3" x14ac:dyDescent="0.25">
      <c r="B213" s="141">
        <v>42492</v>
      </c>
      <c r="C213" s="128">
        <v>25436.97</v>
      </c>
    </row>
    <row r="214" spans="2:3" x14ac:dyDescent="0.25">
      <c r="B214" s="141">
        <v>42493</v>
      </c>
      <c r="C214" s="128">
        <v>25229.7</v>
      </c>
    </row>
    <row r="215" spans="2:3" x14ac:dyDescent="0.25">
      <c r="B215" s="141">
        <v>42494</v>
      </c>
      <c r="C215" s="128">
        <v>25101.73</v>
      </c>
    </row>
    <row r="216" spans="2:3" x14ac:dyDescent="0.25">
      <c r="B216" s="141">
        <v>42495</v>
      </c>
      <c r="C216" s="128">
        <v>25262.21</v>
      </c>
    </row>
    <row r="217" spans="2:3" x14ac:dyDescent="0.25">
      <c r="B217" s="141">
        <v>42496</v>
      </c>
      <c r="C217" s="128">
        <v>25228.5</v>
      </c>
    </row>
    <row r="218" spans="2:3" x14ac:dyDescent="0.25">
      <c r="B218" s="141">
        <v>42499</v>
      </c>
      <c r="C218" s="128">
        <v>25688.86</v>
      </c>
    </row>
    <row r="219" spans="2:3" x14ac:dyDescent="0.25">
      <c r="B219" s="141">
        <v>42500</v>
      </c>
      <c r="C219" s="128">
        <v>25772.53</v>
      </c>
    </row>
    <row r="220" spans="2:3" x14ac:dyDescent="0.25">
      <c r="B220" s="141">
        <v>42501</v>
      </c>
      <c r="C220" s="128">
        <v>25597.02</v>
      </c>
    </row>
    <row r="221" spans="2:3" x14ac:dyDescent="0.25">
      <c r="B221" s="141">
        <v>42502</v>
      </c>
      <c r="C221" s="128">
        <v>25790.22</v>
      </c>
    </row>
    <row r="222" spans="2:3" x14ac:dyDescent="0.25">
      <c r="B222" s="141">
        <v>42503</v>
      </c>
      <c r="C222" s="128">
        <v>25489.57</v>
      </c>
    </row>
    <row r="223" spans="2:3" x14ac:dyDescent="0.25">
      <c r="B223" s="141">
        <v>42506</v>
      </c>
      <c r="C223" s="128">
        <v>25653.23</v>
      </c>
    </row>
    <row r="224" spans="2:3" x14ac:dyDescent="0.25">
      <c r="B224" s="141">
        <v>42507</v>
      </c>
      <c r="C224" s="128">
        <v>25773.61</v>
      </c>
    </row>
    <row r="225" spans="2:3" x14ac:dyDescent="0.25">
      <c r="B225" s="141">
        <v>42508</v>
      </c>
      <c r="C225" s="128">
        <v>25704.61</v>
      </c>
    </row>
    <row r="226" spans="2:3" x14ac:dyDescent="0.25">
      <c r="B226" s="141">
        <v>42509</v>
      </c>
      <c r="C226" s="128">
        <v>25399.72</v>
      </c>
    </row>
    <row r="227" spans="2:3" x14ac:dyDescent="0.25">
      <c r="B227" s="141">
        <v>42510</v>
      </c>
      <c r="C227" s="128">
        <v>25301.9</v>
      </c>
    </row>
    <row r="228" spans="2:3" x14ac:dyDescent="0.25">
      <c r="B228" s="141">
        <v>42513</v>
      </c>
      <c r="C228" s="128">
        <v>25230.36</v>
      </c>
    </row>
    <row r="229" spans="2:3" x14ac:dyDescent="0.25">
      <c r="B229" s="141">
        <v>42514</v>
      </c>
      <c r="C229" s="128">
        <v>25305.47</v>
      </c>
    </row>
    <row r="230" spans="2:3" x14ac:dyDescent="0.25">
      <c r="B230" s="141">
        <v>42515</v>
      </c>
      <c r="C230" s="128">
        <v>25881.17</v>
      </c>
    </row>
    <row r="231" spans="2:3" x14ac:dyDescent="0.25">
      <c r="B231" s="141">
        <v>42516</v>
      </c>
      <c r="C231" s="128">
        <v>26366.68</v>
      </c>
    </row>
    <row r="232" spans="2:3" x14ac:dyDescent="0.25">
      <c r="B232" s="141">
        <v>42517</v>
      </c>
      <c r="C232" s="128">
        <v>26653.599999999999</v>
      </c>
    </row>
    <row r="233" spans="2:3" x14ac:dyDescent="0.25">
      <c r="B233" s="141">
        <v>42520</v>
      </c>
      <c r="C233" s="128">
        <v>26725.599999999999</v>
      </c>
    </row>
    <row r="234" spans="2:3" x14ac:dyDescent="0.25">
      <c r="B234" s="141">
        <v>42521</v>
      </c>
      <c r="C234" s="128">
        <v>26667.96</v>
      </c>
    </row>
    <row r="235" spans="2:3" x14ac:dyDescent="0.25">
      <c r="B235" s="141">
        <v>42522</v>
      </c>
      <c r="C235" s="128">
        <v>26713.93</v>
      </c>
    </row>
    <row r="236" spans="2:3" x14ac:dyDescent="0.25">
      <c r="B236" s="141">
        <v>42523</v>
      </c>
      <c r="C236" s="128">
        <v>26843.14</v>
      </c>
    </row>
    <row r="237" spans="2:3" x14ac:dyDescent="0.25">
      <c r="B237" s="141">
        <v>42524</v>
      </c>
      <c r="C237" s="128">
        <v>26843.03</v>
      </c>
    </row>
    <row r="238" spans="2:3" x14ac:dyDescent="0.25">
      <c r="B238" s="141">
        <v>42527</v>
      </c>
      <c r="C238" s="128">
        <v>26777.45</v>
      </c>
    </row>
    <row r="239" spans="2:3" x14ac:dyDescent="0.25">
      <c r="B239" s="141">
        <v>42528</v>
      </c>
      <c r="C239" s="128">
        <v>27009.67</v>
      </c>
    </row>
    <row r="240" spans="2:3" x14ac:dyDescent="0.25">
      <c r="B240" s="141">
        <v>42529</v>
      </c>
      <c r="C240" s="128">
        <v>27020.66</v>
      </c>
    </row>
    <row r="241" spans="2:3" x14ac:dyDescent="0.25">
      <c r="B241" s="141">
        <v>42530</v>
      </c>
      <c r="C241" s="128">
        <v>26763.46</v>
      </c>
    </row>
    <row r="242" spans="2:3" x14ac:dyDescent="0.25">
      <c r="B242" s="141">
        <v>42531</v>
      </c>
      <c r="C242" s="128">
        <v>26635.75</v>
      </c>
    </row>
    <row r="243" spans="2:3" x14ac:dyDescent="0.25">
      <c r="B243" s="141">
        <v>42534</v>
      </c>
      <c r="C243" s="128">
        <v>26396.77</v>
      </c>
    </row>
    <row r="244" spans="2:3" x14ac:dyDescent="0.25">
      <c r="B244" s="141">
        <v>42535</v>
      </c>
      <c r="C244" s="128">
        <v>26395.71</v>
      </c>
    </row>
    <row r="245" spans="2:3" x14ac:dyDescent="0.25">
      <c r="B245" s="141">
        <v>42536</v>
      </c>
      <c r="C245" s="128">
        <v>26726.34</v>
      </c>
    </row>
    <row r="246" spans="2:3" x14ac:dyDescent="0.25">
      <c r="B246" s="141">
        <v>42537</v>
      </c>
      <c r="C246" s="128">
        <v>26525.46</v>
      </c>
    </row>
    <row r="247" spans="2:3" x14ac:dyDescent="0.25">
      <c r="B247" s="141">
        <v>42538</v>
      </c>
      <c r="C247" s="128">
        <v>26625.91</v>
      </c>
    </row>
    <row r="248" spans="2:3" x14ac:dyDescent="0.25">
      <c r="B248" s="141">
        <v>42541</v>
      </c>
      <c r="C248" s="128">
        <v>26866.92</v>
      </c>
    </row>
    <row r="249" spans="2:3" x14ac:dyDescent="0.25">
      <c r="B249" s="141">
        <v>42542</v>
      </c>
      <c r="C249" s="128">
        <v>26812.78</v>
      </c>
    </row>
    <row r="250" spans="2:3" x14ac:dyDescent="0.25">
      <c r="B250" s="141">
        <v>42543</v>
      </c>
      <c r="C250" s="128">
        <v>26765.65</v>
      </c>
    </row>
    <row r="251" spans="2:3" x14ac:dyDescent="0.25">
      <c r="B251" s="141">
        <v>42544</v>
      </c>
      <c r="C251" s="128">
        <v>27002.22</v>
      </c>
    </row>
    <row r="252" spans="2:3" x14ac:dyDescent="0.25">
      <c r="B252" s="141">
        <v>42545</v>
      </c>
      <c r="C252" s="128">
        <v>26397.71</v>
      </c>
    </row>
    <row r="253" spans="2:3" x14ac:dyDescent="0.25">
      <c r="B253" s="141">
        <v>42548</v>
      </c>
      <c r="C253" s="128">
        <v>26402.959999999999</v>
      </c>
    </row>
    <row r="254" spans="2:3" x14ac:dyDescent="0.25">
      <c r="B254" s="141">
        <v>42549</v>
      </c>
      <c r="C254" s="128">
        <v>26524.55</v>
      </c>
    </row>
    <row r="255" spans="2:3" x14ac:dyDescent="0.25">
      <c r="B255" s="141">
        <v>42550</v>
      </c>
      <c r="C255" s="128">
        <v>26740.39</v>
      </c>
    </row>
    <row r="256" spans="2:3" x14ac:dyDescent="0.25">
      <c r="B256" s="141">
        <v>42551</v>
      </c>
      <c r="C256" s="128">
        <v>26999.72</v>
      </c>
    </row>
    <row r="257" spans="2:3" x14ac:dyDescent="0.25">
      <c r="B257" s="141">
        <v>42552</v>
      </c>
      <c r="C257" s="128">
        <v>27144.91</v>
      </c>
    </row>
    <row r="258" spans="2:3" x14ac:dyDescent="0.25">
      <c r="B258" s="141">
        <v>42555</v>
      </c>
      <c r="C258" s="128">
        <v>27278.76</v>
      </c>
    </row>
    <row r="259" spans="2:3" x14ac:dyDescent="0.25">
      <c r="B259" s="141">
        <v>42556</v>
      </c>
      <c r="C259" s="128">
        <v>27166.87</v>
      </c>
    </row>
    <row r="260" spans="2:3" x14ac:dyDescent="0.25">
      <c r="B260" s="141">
        <v>42558</v>
      </c>
      <c r="C260" s="128">
        <v>27201.49</v>
      </c>
    </row>
    <row r="261" spans="2:3" x14ac:dyDescent="0.25">
      <c r="B261" s="141">
        <v>42559</v>
      </c>
      <c r="C261" s="128">
        <v>27126.9</v>
      </c>
    </row>
    <row r="262" spans="2:3" x14ac:dyDescent="0.25">
      <c r="B262" s="141">
        <v>42562</v>
      </c>
      <c r="C262" s="128">
        <v>27626.69</v>
      </c>
    </row>
    <row r="263" spans="2:3" x14ac:dyDescent="0.25">
      <c r="B263" s="141">
        <v>42563</v>
      </c>
      <c r="C263" s="128">
        <v>27808.14</v>
      </c>
    </row>
    <row r="264" spans="2:3" x14ac:dyDescent="0.25">
      <c r="B264" s="141">
        <v>42564</v>
      </c>
      <c r="C264" s="128">
        <v>27815.18</v>
      </c>
    </row>
    <row r="265" spans="2:3" x14ac:dyDescent="0.25">
      <c r="B265" s="141">
        <v>42565</v>
      </c>
      <c r="C265" s="128">
        <v>27942.11</v>
      </c>
    </row>
    <row r="266" spans="2:3" x14ac:dyDescent="0.25">
      <c r="B266" s="141">
        <v>42566</v>
      </c>
      <c r="C266" s="128">
        <v>27836.5</v>
      </c>
    </row>
    <row r="267" spans="2:3" x14ac:dyDescent="0.25">
      <c r="B267" s="141">
        <v>42569</v>
      </c>
      <c r="C267" s="128">
        <v>27746.66</v>
      </c>
    </row>
    <row r="268" spans="2:3" x14ac:dyDescent="0.25">
      <c r="B268" s="141">
        <v>42570</v>
      </c>
      <c r="C268" s="128">
        <v>27787.62</v>
      </c>
    </row>
    <row r="269" spans="2:3" x14ac:dyDescent="0.25">
      <c r="B269" s="141">
        <v>42571</v>
      </c>
      <c r="C269" s="128">
        <v>27915.89</v>
      </c>
    </row>
    <row r="270" spans="2:3" x14ac:dyDescent="0.25">
      <c r="B270" s="141">
        <v>42572</v>
      </c>
      <c r="C270" s="128">
        <v>27710.52</v>
      </c>
    </row>
    <row r="271" spans="2:3" x14ac:dyDescent="0.25">
      <c r="B271" s="141">
        <v>42573</v>
      </c>
      <c r="C271" s="128">
        <v>27803.24</v>
      </c>
    </row>
    <row r="272" spans="2:3" x14ac:dyDescent="0.25">
      <c r="B272" s="141">
        <v>42576</v>
      </c>
      <c r="C272" s="128">
        <v>28095.34</v>
      </c>
    </row>
    <row r="273" spans="2:3" x14ac:dyDescent="0.25">
      <c r="B273" s="141">
        <v>42577</v>
      </c>
      <c r="C273" s="128">
        <v>27976.52</v>
      </c>
    </row>
    <row r="274" spans="2:3" x14ac:dyDescent="0.25">
      <c r="B274" s="141">
        <v>42578</v>
      </c>
      <c r="C274" s="128">
        <v>28024.33</v>
      </c>
    </row>
    <row r="275" spans="2:3" x14ac:dyDescent="0.25">
      <c r="B275" s="141">
        <v>42579</v>
      </c>
      <c r="C275" s="128">
        <v>28208.62</v>
      </c>
    </row>
    <row r="276" spans="2:3" x14ac:dyDescent="0.25">
      <c r="B276" s="141">
        <v>42580</v>
      </c>
      <c r="C276" s="128">
        <v>28051.86</v>
      </c>
    </row>
    <row r="277" spans="2:3" x14ac:dyDescent="0.25">
      <c r="B277" s="141">
        <v>42583</v>
      </c>
      <c r="C277" s="128">
        <v>28003.119999999999</v>
      </c>
    </row>
    <row r="278" spans="2:3" x14ac:dyDescent="0.25">
      <c r="B278" s="141">
        <v>42584</v>
      </c>
      <c r="C278" s="128">
        <v>27981.71</v>
      </c>
    </row>
    <row r="279" spans="2:3" x14ac:dyDescent="0.25">
      <c r="B279" s="141">
        <v>42585</v>
      </c>
      <c r="C279" s="128">
        <v>27697.51</v>
      </c>
    </row>
    <row r="280" spans="2:3" x14ac:dyDescent="0.25">
      <c r="B280" s="141">
        <v>42586</v>
      </c>
      <c r="C280" s="128">
        <v>27714.37</v>
      </c>
    </row>
    <row r="281" spans="2:3" x14ac:dyDescent="0.25">
      <c r="B281" s="141">
        <v>42587</v>
      </c>
      <c r="C281" s="128">
        <v>28078.35</v>
      </c>
    </row>
    <row r="282" spans="2:3" x14ac:dyDescent="0.25">
      <c r="B282" s="141">
        <v>42590</v>
      </c>
      <c r="C282" s="128">
        <v>28182.57</v>
      </c>
    </row>
    <row r="283" spans="2:3" x14ac:dyDescent="0.25">
      <c r="B283" s="141">
        <v>42591</v>
      </c>
      <c r="C283" s="128">
        <v>28085.16</v>
      </c>
    </row>
    <row r="284" spans="2:3" x14ac:dyDescent="0.25">
      <c r="B284" s="141">
        <v>42592</v>
      </c>
      <c r="C284" s="128">
        <v>27774.880000000001</v>
      </c>
    </row>
    <row r="285" spans="2:3" x14ac:dyDescent="0.25">
      <c r="B285" s="141">
        <v>42593</v>
      </c>
      <c r="C285" s="128">
        <v>27859.599999999999</v>
      </c>
    </row>
    <row r="286" spans="2:3" x14ac:dyDescent="0.25">
      <c r="B286" s="141">
        <v>42594</v>
      </c>
      <c r="C286" s="128">
        <v>28152.400000000001</v>
      </c>
    </row>
    <row r="287" spans="2:3" x14ac:dyDescent="0.25">
      <c r="B287" s="141">
        <v>42598</v>
      </c>
      <c r="C287" s="128">
        <v>28064.61</v>
      </c>
    </row>
    <row r="288" spans="2:3" x14ac:dyDescent="0.25">
      <c r="B288" s="141">
        <v>42599</v>
      </c>
      <c r="C288" s="128">
        <v>28005.37</v>
      </c>
    </row>
    <row r="289" spans="2:3" x14ac:dyDescent="0.25">
      <c r="B289" s="141">
        <v>42600</v>
      </c>
      <c r="C289" s="128">
        <v>28123.439999999999</v>
      </c>
    </row>
    <row r="290" spans="2:3" x14ac:dyDescent="0.25">
      <c r="B290" s="141">
        <v>42601</v>
      </c>
      <c r="C290" s="128">
        <v>28077</v>
      </c>
    </row>
    <row r="291" spans="2:3" x14ac:dyDescent="0.25">
      <c r="B291" s="141">
        <v>42604</v>
      </c>
      <c r="C291" s="128">
        <v>27985.54</v>
      </c>
    </row>
    <row r="292" spans="2:3" x14ac:dyDescent="0.25">
      <c r="B292" s="141">
        <v>42605</v>
      </c>
      <c r="C292" s="128">
        <v>27990.21</v>
      </c>
    </row>
    <row r="293" spans="2:3" x14ac:dyDescent="0.25">
      <c r="B293" s="141">
        <v>42606</v>
      </c>
      <c r="C293" s="128">
        <v>28059.94</v>
      </c>
    </row>
    <row r="294" spans="2:3" x14ac:dyDescent="0.25">
      <c r="B294" s="141">
        <v>42607</v>
      </c>
      <c r="C294" s="128">
        <v>27835.91</v>
      </c>
    </row>
    <row r="295" spans="2:3" x14ac:dyDescent="0.25">
      <c r="B295" s="141">
        <v>42608</v>
      </c>
      <c r="C295" s="128">
        <v>27782.25</v>
      </c>
    </row>
    <row r="296" spans="2:3" x14ac:dyDescent="0.25">
      <c r="B296" s="141">
        <v>42611</v>
      </c>
      <c r="C296" s="128">
        <v>27902.66</v>
      </c>
    </row>
    <row r="297" spans="2:3" x14ac:dyDescent="0.25">
      <c r="B297" s="141">
        <v>42612</v>
      </c>
      <c r="C297" s="128">
        <v>28343.01</v>
      </c>
    </row>
    <row r="298" spans="2:3" x14ac:dyDescent="0.25">
      <c r="B298" s="141">
        <v>42613</v>
      </c>
      <c r="C298" s="128">
        <v>28452.17</v>
      </c>
    </row>
    <row r="299" spans="2:3" x14ac:dyDescent="0.25">
      <c r="B299" s="141">
        <v>42614</v>
      </c>
      <c r="C299" s="128">
        <v>28423.48</v>
      </c>
    </row>
    <row r="300" spans="2:3" x14ac:dyDescent="0.25">
      <c r="B300" s="141">
        <v>42615</v>
      </c>
      <c r="C300" s="128">
        <v>28532.11</v>
      </c>
    </row>
    <row r="301" spans="2:3" x14ac:dyDescent="0.25">
      <c r="B301" s="141">
        <v>42619</v>
      </c>
      <c r="C301" s="128">
        <v>28978.02</v>
      </c>
    </row>
    <row r="302" spans="2:3" x14ac:dyDescent="0.25">
      <c r="B302" s="141">
        <v>42620</v>
      </c>
      <c r="C302" s="128">
        <v>28926.36</v>
      </c>
    </row>
    <row r="303" spans="2:3" x14ac:dyDescent="0.25">
      <c r="B303" s="141">
        <v>42621</v>
      </c>
      <c r="C303" s="128">
        <v>29045.279999999999</v>
      </c>
    </row>
    <row r="304" spans="2:3" x14ac:dyDescent="0.25">
      <c r="B304" s="141">
        <v>42622</v>
      </c>
      <c r="C304" s="128">
        <v>28797.25</v>
      </c>
    </row>
    <row r="305" spans="2:3" x14ac:dyDescent="0.25">
      <c r="B305" s="141">
        <v>42625</v>
      </c>
      <c r="C305" s="128">
        <v>28353.54</v>
      </c>
    </row>
    <row r="306" spans="2:3" x14ac:dyDescent="0.25">
      <c r="B306" s="141">
        <v>42627</v>
      </c>
      <c r="C306" s="128">
        <v>28372.23</v>
      </c>
    </row>
    <row r="307" spans="2:3" x14ac:dyDescent="0.25">
      <c r="B307" s="141">
        <v>42628</v>
      </c>
      <c r="C307" s="128">
        <v>28412.89</v>
      </c>
    </row>
    <row r="308" spans="2:3" x14ac:dyDescent="0.25">
      <c r="B308" s="141">
        <v>42629</v>
      </c>
      <c r="C308" s="128">
        <v>28599.03</v>
      </c>
    </row>
    <row r="309" spans="2:3" x14ac:dyDescent="0.25">
      <c r="B309" s="141">
        <v>42632</v>
      </c>
      <c r="C309" s="128">
        <v>28634.5</v>
      </c>
    </row>
    <row r="310" spans="2:3" x14ac:dyDescent="0.25">
      <c r="B310" s="141">
        <v>42633</v>
      </c>
      <c r="C310" s="128">
        <v>28523.200000000001</v>
      </c>
    </row>
    <row r="311" spans="2:3" x14ac:dyDescent="0.25">
      <c r="B311" s="141">
        <v>42634</v>
      </c>
      <c r="C311" s="128">
        <v>28507.42</v>
      </c>
    </row>
    <row r="312" spans="2:3" x14ac:dyDescent="0.25">
      <c r="B312" s="141">
        <v>42635</v>
      </c>
      <c r="C312" s="128">
        <v>28773.13</v>
      </c>
    </row>
    <row r="313" spans="2:3" x14ac:dyDescent="0.25">
      <c r="B313" s="141">
        <v>42636</v>
      </c>
      <c r="C313" s="128">
        <v>28668.22</v>
      </c>
    </row>
    <row r="314" spans="2:3" x14ac:dyDescent="0.25">
      <c r="B314" s="141">
        <v>42639</v>
      </c>
      <c r="C314" s="128">
        <v>28294.28</v>
      </c>
    </row>
    <row r="315" spans="2:3" x14ac:dyDescent="0.25">
      <c r="B315" s="141">
        <v>42640</v>
      </c>
      <c r="C315" s="128">
        <v>28223.7</v>
      </c>
    </row>
    <row r="316" spans="2:3" x14ac:dyDescent="0.25">
      <c r="B316" s="141">
        <v>42641</v>
      </c>
      <c r="C316" s="128">
        <v>28292.81</v>
      </c>
    </row>
    <row r="317" spans="2:3" x14ac:dyDescent="0.25">
      <c r="B317" s="141">
        <v>42642</v>
      </c>
      <c r="C317" s="128">
        <v>27827.53</v>
      </c>
    </row>
    <row r="318" spans="2:3" x14ac:dyDescent="0.25">
      <c r="B318" s="141">
        <v>42643</v>
      </c>
      <c r="C318" s="128">
        <v>27865.96</v>
      </c>
    </row>
    <row r="319" spans="2:3" x14ac:dyDescent="0.25">
      <c r="B319" s="141">
        <v>42646</v>
      </c>
      <c r="C319" s="128">
        <v>28243.29</v>
      </c>
    </row>
    <row r="320" spans="2:3" x14ac:dyDescent="0.25">
      <c r="B320" s="141">
        <v>42647</v>
      </c>
      <c r="C320" s="128">
        <v>28334.55</v>
      </c>
    </row>
    <row r="321" spans="2:3" x14ac:dyDescent="0.25">
      <c r="B321" s="141">
        <v>42648</v>
      </c>
      <c r="C321" s="128">
        <v>28220.98</v>
      </c>
    </row>
    <row r="322" spans="2:3" x14ac:dyDescent="0.25">
      <c r="B322" s="141">
        <v>42649</v>
      </c>
      <c r="C322" s="128">
        <v>28106.21</v>
      </c>
    </row>
    <row r="323" spans="2:3" x14ac:dyDescent="0.25">
      <c r="B323" s="141">
        <v>42650</v>
      </c>
      <c r="C323" s="128">
        <v>28061.14</v>
      </c>
    </row>
    <row r="324" spans="2:3" x14ac:dyDescent="0.25">
      <c r="B324" s="141">
        <v>42653</v>
      </c>
      <c r="C324" s="128">
        <v>28082.34</v>
      </c>
    </row>
    <row r="325" spans="2:3" x14ac:dyDescent="0.25">
      <c r="B325" s="141">
        <v>42656</v>
      </c>
      <c r="C325" s="128">
        <v>27643.11</v>
      </c>
    </row>
    <row r="326" spans="2:3" x14ac:dyDescent="0.25">
      <c r="B326" s="141">
        <v>42657</v>
      </c>
      <c r="C326" s="128">
        <v>27673.599999999999</v>
      </c>
    </row>
    <row r="327" spans="2:3" x14ac:dyDescent="0.25">
      <c r="B327" s="141">
        <v>42660</v>
      </c>
      <c r="C327" s="128">
        <v>27529.97</v>
      </c>
    </row>
    <row r="328" spans="2:3" x14ac:dyDescent="0.25">
      <c r="B328" s="141">
        <v>42661</v>
      </c>
      <c r="C328" s="128">
        <v>28050.880000000001</v>
      </c>
    </row>
    <row r="329" spans="2:3" x14ac:dyDescent="0.25">
      <c r="B329" s="141">
        <v>42662</v>
      </c>
      <c r="C329" s="128">
        <v>27984.37</v>
      </c>
    </row>
    <row r="330" spans="2:3" x14ac:dyDescent="0.25">
      <c r="B330" s="141">
        <v>42663</v>
      </c>
      <c r="C330" s="128">
        <v>28129.84</v>
      </c>
    </row>
    <row r="331" spans="2:3" x14ac:dyDescent="0.25">
      <c r="B331" s="141">
        <v>42664</v>
      </c>
      <c r="C331" s="128">
        <v>28077.18</v>
      </c>
    </row>
    <row r="332" spans="2:3" x14ac:dyDescent="0.25">
      <c r="B332" s="141">
        <v>42667</v>
      </c>
      <c r="C332" s="128">
        <v>28179.08</v>
      </c>
    </row>
    <row r="333" spans="2:3" x14ac:dyDescent="0.25">
      <c r="B333" s="141">
        <v>42668</v>
      </c>
      <c r="C333" s="128">
        <v>28091.42</v>
      </c>
    </row>
    <row r="334" spans="2:3" x14ac:dyDescent="0.25">
      <c r="B334" s="141">
        <v>42669</v>
      </c>
      <c r="C334" s="128">
        <v>27836.51</v>
      </c>
    </row>
    <row r="335" spans="2:3" x14ac:dyDescent="0.25">
      <c r="B335" s="141">
        <v>42670</v>
      </c>
      <c r="C335" s="128">
        <v>27915.9</v>
      </c>
    </row>
    <row r="336" spans="2:3" x14ac:dyDescent="0.25">
      <c r="B336" s="141">
        <v>42671</v>
      </c>
      <c r="C336" s="128">
        <v>27941.51</v>
      </c>
    </row>
    <row r="337" spans="2:3" x14ac:dyDescent="0.25">
      <c r="B337" s="141">
        <v>42673</v>
      </c>
      <c r="C337" s="128">
        <v>27930.21</v>
      </c>
    </row>
    <row r="338" spans="2:3" x14ac:dyDescent="0.25">
      <c r="B338" s="141">
        <v>42675</v>
      </c>
      <c r="C338" s="128">
        <v>27876.61</v>
      </c>
    </row>
    <row r="339" spans="2:3" x14ac:dyDescent="0.25">
      <c r="B339" s="141">
        <v>42676</v>
      </c>
      <c r="C339" s="128">
        <v>27527.22</v>
      </c>
    </row>
    <row r="340" spans="2:3" x14ac:dyDescent="0.25">
      <c r="B340" s="141">
        <v>42677</v>
      </c>
      <c r="C340" s="128">
        <v>27430.28</v>
      </c>
    </row>
    <row r="341" spans="2:3" x14ac:dyDescent="0.25">
      <c r="B341" s="141">
        <v>42678</v>
      </c>
      <c r="C341" s="128">
        <v>27274.15</v>
      </c>
    </row>
    <row r="342" spans="2:3" x14ac:dyDescent="0.25">
      <c r="B342" s="141">
        <v>42681</v>
      </c>
      <c r="C342" s="128">
        <v>27458.99</v>
      </c>
    </row>
    <row r="343" spans="2:3" x14ac:dyDescent="0.25">
      <c r="B343" s="141">
        <v>42682</v>
      </c>
      <c r="C343" s="128">
        <v>27591.14</v>
      </c>
    </row>
    <row r="344" spans="2:3" x14ac:dyDescent="0.25">
      <c r="B344" s="141">
        <v>42683</v>
      </c>
      <c r="C344" s="128">
        <v>27252.53</v>
      </c>
    </row>
    <row r="345" spans="2:3" x14ac:dyDescent="0.25">
      <c r="B345" s="141">
        <v>42684</v>
      </c>
      <c r="C345" s="128">
        <v>27517.68</v>
      </c>
    </row>
    <row r="346" spans="2:3" x14ac:dyDescent="0.25">
      <c r="B346" s="141">
        <v>42685</v>
      </c>
      <c r="C346" s="128">
        <v>26818.82</v>
      </c>
    </row>
    <row r="347" spans="2:3" x14ac:dyDescent="0.25">
      <c r="B347" s="141">
        <v>42689</v>
      </c>
      <c r="C347" s="128">
        <v>26304.63</v>
      </c>
    </row>
    <row r="348" spans="2:3" x14ac:dyDescent="0.25">
      <c r="B348" s="141">
        <v>42690</v>
      </c>
      <c r="C348" s="128">
        <v>26298.69</v>
      </c>
    </row>
    <row r="349" spans="2:3" x14ac:dyDescent="0.25">
      <c r="B349" s="141">
        <v>42691</v>
      </c>
      <c r="C349" s="128">
        <v>26227.62</v>
      </c>
    </row>
    <row r="350" spans="2:3" x14ac:dyDescent="0.25">
      <c r="B350" s="141">
        <v>42692</v>
      </c>
      <c r="C350" s="128">
        <v>26150.240000000002</v>
      </c>
    </row>
    <row r="351" spans="2:3" x14ac:dyDescent="0.25">
      <c r="B351" s="141">
        <v>42695</v>
      </c>
      <c r="C351" s="128">
        <v>25765.14</v>
      </c>
    </row>
    <row r="352" spans="2:3" x14ac:dyDescent="0.25">
      <c r="B352" s="141">
        <v>42696</v>
      </c>
      <c r="C352" s="128">
        <v>25960.78</v>
      </c>
    </row>
    <row r="353" spans="2:3" x14ac:dyDescent="0.25">
      <c r="B353" s="141">
        <v>42697</v>
      </c>
      <c r="C353" s="128">
        <v>26051.81</v>
      </c>
    </row>
    <row r="354" spans="2:3" x14ac:dyDescent="0.25">
      <c r="B354" s="141">
        <v>42698</v>
      </c>
      <c r="C354" s="128">
        <v>25860.17</v>
      </c>
    </row>
    <row r="355" spans="2:3" x14ac:dyDescent="0.25">
      <c r="B355" s="141">
        <v>42699</v>
      </c>
      <c r="C355" s="128">
        <v>26316.34</v>
      </c>
    </row>
    <row r="356" spans="2:3" x14ac:dyDescent="0.25">
      <c r="B356" s="141">
        <v>42702</v>
      </c>
      <c r="C356" s="128">
        <v>26350.17</v>
      </c>
    </row>
    <row r="357" spans="2:3" x14ac:dyDescent="0.25">
      <c r="B357" s="141">
        <v>42703</v>
      </c>
      <c r="C357" s="128">
        <v>26394.01</v>
      </c>
    </row>
    <row r="358" spans="2:3" x14ac:dyDescent="0.25">
      <c r="B358" s="141">
        <v>42704</v>
      </c>
      <c r="C358" s="128">
        <v>26652.81</v>
      </c>
    </row>
    <row r="359" spans="2:3" x14ac:dyDescent="0.25">
      <c r="B359" s="141">
        <v>42705</v>
      </c>
      <c r="C359" s="128">
        <v>26559.919999999998</v>
      </c>
    </row>
    <row r="360" spans="2:3" x14ac:dyDescent="0.25">
      <c r="B360" s="141">
        <v>42706</v>
      </c>
      <c r="C360" s="128">
        <v>26230.66</v>
      </c>
    </row>
    <row r="361" spans="2:3" x14ac:dyDescent="0.25">
      <c r="B361" s="141">
        <v>42709</v>
      </c>
      <c r="C361" s="128">
        <v>26349.1</v>
      </c>
    </row>
    <row r="362" spans="2:3" x14ac:dyDescent="0.25">
      <c r="B362" s="141">
        <v>42710</v>
      </c>
      <c r="C362" s="128">
        <v>26392.76</v>
      </c>
    </row>
    <row r="363" spans="2:3" x14ac:dyDescent="0.25">
      <c r="B363" s="141">
        <v>42711</v>
      </c>
      <c r="C363" s="128">
        <v>26236.87</v>
      </c>
    </row>
    <row r="364" spans="2:3" x14ac:dyDescent="0.25">
      <c r="B364" s="141">
        <v>42712</v>
      </c>
      <c r="C364" s="128">
        <v>26694.28</v>
      </c>
    </row>
    <row r="365" spans="2:3" x14ac:dyDescent="0.25">
      <c r="B365" s="141">
        <v>42713</v>
      </c>
      <c r="C365" s="128">
        <v>26747.18</v>
      </c>
    </row>
    <row r="366" spans="2:3" x14ac:dyDescent="0.25">
      <c r="B366" s="141">
        <v>42716</v>
      </c>
      <c r="C366" s="128">
        <v>26515.24</v>
      </c>
    </row>
    <row r="367" spans="2:3" x14ac:dyDescent="0.25">
      <c r="B367" s="141">
        <v>42717</v>
      </c>
      <c r="C367" s="128">
        <v>26697.82</v>
      </c>
    </row>
    <row r="368" spans="2:3" x14ac:dyDescent="0.25">
      <c r="B368" s="141">
        <v>42718</v>
      </c>
      <c r="C368" s="128">
        <v>26602.84</v>
      </c>
    </row>
    <row r="369" spans="2:3" x14ac:dyDescent="0.25">
      <c r="B369" s="141">
        <v>42719</v>
      </c>
      <c r="C369" s="128">
        <v>26519.07</v>
      </c>
    </row>
    <row r="370" spans="2:3" x14ac:dyDescent="0.25">
      <c r="B370" s="141">
        <v>42720</v>
      </c>
      <c r="C370" s="128">
        <v>26489.56</v>
      </c>
    </row>
    <row r="371" spans="2:3" x14ac:dyDescent="0.25">
      <c r="B371" s="141">
        <v>42723</v>
      </c>
      <c r="C371" s="128">
        <v>26374.7</v>
      </c>
    </row>
    <row r="372" spans="2:3" x14ac:dyDescent="0.25">
      <c r="B372" s="141">
        <v>42724</v>
      </c>
      <c r="C372" s="128">
        <v>26307.98</v>
      </c>
    </row>
    <row r="373" spans="2:3" x14ac:dyDescent="0.25">
      <c r="B373" s="141">
        <v>42725</v>
      </c>
      <c r="C373" s="128">
        <v>26242.38</v>
      </c>
    </row>
    <row r="374" spans="2:3" x14ac:dyDescent="0.25">
      <c r="B374" s="141">
        <v>42726</v>
      </c>
      <c r="C374" s="128">
        <v>25979.599999999999</v>
      </c>
    </row>
    <row r="375" spans="2:3" x14ac:dyDescent="0.25">
      <c r="B375" s="141">
        <v>42727</v>
      </c>
      <c r="C375" s="128">
        <v>26040.7</v>
      </c>
    </row>
    <row r="376" spans="2:3" x14ac:dyDescent="0.25">
      <c r="B376" s="141">
        <v>42730</v>
      </c>
      <c r="C376" s="128">
        <v>25807.1</v>
      </c>
    </row>
    <row r="377" spans="2:3" x14ac:dyDescent="0.25">
      <c r="B377" s="141">
        <v>42731</v>
      </c>
      <c r="C377" s="128">
        <v>26213.439999999999</v>
      </c>
    </row>
    <row r="378" spans="2:3" x14ac:dyDescent="0.25">
      <c r="B378" s="141">
        <v>42732</v>
      </c>
      <c r="C378" s="128">
        <v>26210.68</v>
      </c>
    </row>
    <row r="379" spans="2:3" x14ac:dyDescent="0.25">
      <c r="B379" s="141">
        <v>42733</v>
      </c>
      <c r="C379" s="128">
        <v>26366.15</v>
      </c>
    </row>
    <row r="380" spans="2:3" x14ac:dyDescent="0.25">
      <c r="B380" s="141">
        <v>42734</v>
      </c>
      <c r="C380" s="128">
        <v>26626.46</v>
      </c>
    </row>
    <row r="381" spans="2:3" x14ac:dyDescent="0.25">
      <c r="B381" s="141">
        <v>42737</v>
      </c>
      <c r="C381" s="128">
        <v>26595.45</v>
      </c>
    </row>
    <row r="382" spans="2:3" x14ac:dyDescent="0.25">
      <c r="B382" s="141">
        <v>42738</v>
      </c>
      <c r="C382" s="128">
        <v>26643.24</v>
      </c>
    </row>
    <row r="383" spans="2:3" x14ac:dyDescent="0.25">
      <c r="B383" s="141">
        <v>42739</v>
      </c>
      <c r="C383" s="128">
        <v>26633.13</v>
      </c>
    </row>
    <row r="384" spans="2:3" x14ac:dyDescent="0.25">
      <c r="B384" s="141">
        <v>42740</v>
      </c>
      <c r="C384" s="128">
        <v>26878.240000000002</v>
      </c>
    </row>
    <row r="385" spans="2:3" x14ac:dyDescent="0.25">
      <c r="B385" s="141">
        <v>42741</v>
      </c>
      <c r="C385" s="128">
        <v>26759.23</v>
      </c>
    </row>
    <row r="386" spans="2:3" x14ac:dyDescent="0.25">
      <c r="B386" s="141">
        <v>42744</v>
      </c>
      <c r="C386" s="128">
        <v>26726.55</v>
      </c>
    </row>
    <row r="387" spans="2:3" x14ac:dyDescent="0.25">
      <c r="B387" s="141">
        <v>42745</v>
      </c>
      <c r="C387" s="128">
        <v>26899.56</v>
      </c>
    </row>
    <row r="388" spans="2:3" x14ac:dyDescent="0.25">
      <c r="B388" s="141">
        <v>42746</v>
      </c>
      <c r="C388" s="128">
        <v>27140.41</v>
      </c>
    </row>
    <row r="389" spans="2:3" x14ac:dyDescent="0.25">
      <c r="B389" s="141">
        <v>42747</v>
      </c>
      <c r="C389" s="128">
        <v>27247.16</v>
      </c>
    </row>
    <row r="390" spans="2:3" x14ac:dyDescent="0.25">
      <c r="B390" s="141">
        <v>42748</v>
      </c>
      <c r="C390" s="128">
        <v>27238.06</v>
      </c>
    </row>
    <row r="391" spans="2:3" x14ac:dyDescent="0.25">
      <c r="B391" s="141">
        <v>42751</v>
      </c>
      <c r="C391" s="128">
        <v>27288.17</v>
      </c>
    </row>
    <row r="392" spans="2:3" x14ac:dyDescent="0.25">
      <c r="B392" s="141">
        <v>42752</v>
      </c>
      <c r="C392" s="128">
        <v>27235.66</v>
      </c>
    </row>
    <row r="393" spans="2:3" x14ac:dyDescent="0.25">
      <c r="B393" s="141">
        <v>42753</v>
      </c>
      <c r="C393" s="128">
        <v>27257.64</v>
      </c>
    </row>
    <row r="394" spans="2:3" x14ac:dyDescent="0.25">
      <c r="B394" s="141">
        <v>42754</v>
      </c>
      <c r="C394" s="128">
        <v>27308.6</v>
      </c>
    </row>
    <row r="395" spans="2:3" x14ac:dyDescent="0.25">
      <c r="B395" s="141">
        <v>42755</v>
      </c>
      <c r="C395" s="128">
        <v>27034.5</v>
      </c>
    </row>
    <row r="396" spans="2:3" x14ac:dyDescent="0.25">
      <c r="B396" s="141">
        <v>42758</v>
      </c>
      <c r="C396" s="128">
        <v>27117.34</v>
      </c>
    </row>
    <row r="397" spans="2:3" x14ac:dyDescent="0.25">
      <c r="B397" s="141">
        <v>42759</v>
      </c>
      <c r="C397" s="128">
        <v>27375.58</v>
      </c>
    </row>
    <row r="398" spans="2:3" x14ac:dyDescent="0.25">
      <c r="B398" s="141">
        <v>42760</v>
      </c>
      <c r="C398" s="128">
        <v>27708.14</v>
      </c>
    </row>
    <row r="399" spans="2:3" x14ac:dyDescent="0.25">
      <c r="B399" s="141">
        <v>42762</v>
      </c>
      <c r="C399" s="128">
        <v>27882.46</v>
      </c>
    </row>
    <row r="400" spans="2:3" x14ac:dyDescent="0.25">
      <c r="B400" s="141">
        <v>42765</v>
      </c>
      <c r="C400" s="128">
        <v>27849.56</v>
      </c>
    </row>
    <row r="401" spans="2:3" x14ac:dyDescent="0.25">
      <c r="B401" s="141">
        <v>42766</v>
      </c>
      <c r="C401" s="128">
        <v>27655.96</v>
      </c>
    </row>
    <row r="402" spans="2:3" x14ac:dyDescent="0.25">
      <c r="B402" s="141">
        <v>42767</v>
      </c>
      <c r="C402" s="128">
        <v>28141.64</v>
      </c>
    </row>
    <row r="403" spans="2:3" x14ac:dyDescent="0.25">
      <c r="B403" s="141">
        <v>42768</v>
      </c>
      <c r="C403" s="128">
        <v>28226.61</v>
      </c>
    </row>
    <row r="404" spans="2:3" x14ac:dyDescent="0.25">
      <c r="B404" s="141">
        <v>42769</v>
      </c>
      <c r="C404" s="128">
        <v>28240.52</v>
      </c>
    </row>
    <row r="405" spans="2:3" x14ac:dyDescent="0.25">
      <c r="B405" s="141">
        <v>42772</v>
      </c>
      <c r="C405" s="128">
        <v>28439.279999999999</v>
      </c>
    </row>
    <row r="406" spans="2:3" x14ac:dyDescent="0.25">
      <c r="B406" s="141">
        <v>42773</v>
      </c>
      <c r="C406" s="128">
        <v>28335.16</v>
      </c>
    </row>
    <row r="407" spans="2:3" x14ac:dyDescent="0.25">
      <c r="B407" s="141">
        <v>42774</v>
      </c>
      <c r="C407" s="128">
        <v>28289.919999999998</v>
      </c>
    </row>
    <row r="408" spans="2:3" x14ac:dyDescent="0.25">
      <c r="B408" s="141">
        <v>42775</v>
      </c>
      <c r="C408" s="128">
        <v>28329.7</v>
      </c>
    </row>
    <row r="409" spans="2:3" x14ac:dyDescent="0.25">
      <c r="B409" s="141">
        <v>42776</v>
      </c>
      <c r="C409" s="128">
        <v>28334.25</v>
      </c>
    </row>
    <row r="410" spans="2:3" x14ac:dyDescent="0.25">
      <c r="B410" s="141">
        <v>42779</v>
      </c>
      <c r="C410" s="128">
        <v>28351.62</v>
      </c>
    </row>
    <row r="411" spans="2:3" x14ac:dyDescent="0.25">
      <c r="B411" s="141">
        <v>42780</v>
      </c>
      <c r="C411" s="128">
        <v>28339.31</v>
      </c>
    </row>
    <row r="412" spans="2:3" x14ac:dyDescent="0.25">
      <c r="B412" s="141">
        <v>42781</v>
      </c>
      <c r="C412" s="128">
        <v>28155.56</v>
      </c>
    </row>
    <row r="413" spans="2:3" x14ac:dyDescent="0.25">
      <c r="B413" s="141">
        <v>42782</v>
      </c>
      <c r="C413" s="128">
        <v>28301.27</v>
      </c>
    </row>
    <row r="414" spans="2:3" x14ac:dyDescent="0.25">
      <c r="B414" s="141">
        <v>42783</v>
      </c>
      <c r="C414" s="128">
        <v>28468.75</v>
      </c>
    </row>
    <row r="415" spans="2:3" x14ac:dyDescent="0.25">
      <c r="B415" s="141">
        <v>42786</v>
      </c>
      <c r="C415" s="128">
        <v>28661.58</v>
      </c>
    </row>
    <row r="416" spans="2:3" x14ac:dyDescent="0.25">
      <c r="B416" s="141">
        <v>42787</v>
      </c>
      <c r="C416" s="128">
        <v>28761.59</v>
      </c>
    </row>
    <row r="417" spans="2:3" x14ac:dyDescent="0.25">
      <c r="B417" s="141">
        <v>42788</v>
      </c>
      <c r="C417" s="128">
        <v>28864.71</v>
      </c>
    </row>
    <row r="418" spans="2:3" x14ac:dyDescent="0.25">
      <c r="B418" s="141">
        <v>42789</v>
      </c>
      <c r="C418" s="128">
        <v>28892.97</v>
      </c>
    </row>
    <row r="419" spans="2:3" x14ac:dyDescent="0.25">
      <c r="B419" s="141">
        <v>42793</v>
      </c>
      <c r="C419" s="128">
        <v>28812.880000000001</v>
      </c>
    </row>
    <row r="420" spans="2:3" x14ac:dyDescent="0.25">
      <c r="B420" s="141">
        <v>42794</v>
      </c>
      <c r="C420" s="128">
        <v>28743.32</v>
      </c>
    </row>
    <row r="421" spans="2:3" x14ac:dyDescent="0.25">
      <c r="B421" s="141">
        <v>42795</v>
      </c>
      <c r="C421" s="128">
        <v>28984.49</v>
      </c>
    </row>
    <row r="422" spans="2:3" x14ac:dyDescent="0.25">
      <c r="B422" s="141">
        <v>42796</v>
      </c>
      <c r="C422" s="128">
        <v>28839.79</v>
      </c>
    </row>
    <row r="423" spans="2:3" x14ac:dyDescent="0.25">
      <c r="B423" s="141">
        <v>42797</v>
      </c>
      <c r="C423" s="128">
        <v>28832.45</v>
      </c>
    </row>
    <row r="424" spans="2:3" x14ac:dyDescent="0.25">
      <c r="B424" s="141">
        <v>42800</v>
      </c>
      <c r="C424" s="128">
        <v>29048.19</v>
      </c>
    </row>
    <row r="425" spans="2:3" x14ac:dyDescent="0.25">
      <c r="B425" s="141">
        <v>42801</v>
      </c>
      <c r="C425" s="128">
        <v>28999.56</v>
      </c>
    </row>
    <row r="426" spans="2:3" x14ac:dyDescent="0.25">
      <c r="B426" s="141">
        <v>42802</v>
      </c>
      <c r="C426" s="128">
        <v>28901.94</v>
      </c>
    </row>
    <row r="427" spans="2:3" x14ac:dyDescent="0.25">
      <c r="B427" s="141">
        <v>42803</v>
      </c>
      <c r="C427" s="128">
        <v>28929.13</v>
      </c>
    </row>
    <row r="428" spans="2:3" x14ac:dyDescent="0.25">
      <c r="B428" s="141">
        <v>42804</v>
      </c>
      <c r="C428" s="128">
        <v>28946.23</v>
      </c>
    </row>
    <row r="429" spans="2:3" x14ac:dyDescent="0.25">
      <c r="B429" s="141">
        <v>42808</v>
      </c>
      <c r="C429" s="128">
        <v>29442.63</v>
      </c>
    </row>
    <row r="430" spans="2:3" x14ac:dyDescent="0.25">
      <c r="B430" s="141">
        <v>42809</v>
      </c>
      <c r="C430" s="128">
        <v>29398.11</v>
      </c>
    </row>
    <row r="431" spans="2:3" x14ac:dyDescent="0.25">
      <c r="B431" s="141">
        <v>42810</v>
      </c>
      <c r="C431" s="128">
        <v>29585.85</v>
      </c>
    </row>
    <row r="432" spans="2:3" x14ac:dyDescent="0.25">
      <c r="B432" s="141">
        <v>42811</v>
      </c>
      <c r="C432" s="128">
        <v>29648.99</v>
      </c>
    </row>
    <row r="433" spans="2:3" x14ac:dyDescent="0.25">
      <c r="B433" s="141">
        <v>42814</v>
      </c>
      <c r="C433" s="128">
        <v>29518.74</v>
      </c>
    </row>
    <row r="434" spans="2:3" x14ac:dyDescent="0.25">
      <c r="B434" s="141">
        <v>42815</v>
      </c>
      <c r="C434" s="128">
        <v>29485.45</v>
      </c>
    </row>
    <row r="435" spans="2:3" x14ac:dyDescent="0.25">
      <c r="B435" s="141">
        <v>42816</v>
      </c>
      <c r="C435" s="128">
        <v>29167.68</v>
      </c>
    </row>
    <row r="436" spans="2:3" x14ac:dyDescent="0.25">
      <c r="B436" s="141">
        <v>42817</v>
      </c>
      <c r="C436" s="128">
        <v>29332.16</v>
      </c>
    </row>
    <row r="437" spans="2:3" x14ac:dyDescent="0.25">
      <c r="B437" s="141">
        <v>42818</v>
      </c>
      <c r="C437" s="128">
        <v>29421.4</v>
      </c>
    </row>
    <row r="438" spans="2:3" x14ac:dyDescent="0.25">
      <c r="B438" s="141">
        <v>42821</v>
      </c>
      <c r="C438" s="128">
        <v>29237.15</v>
      </c>
    </row>
    <row r="439" spans="2:3" x14ac:dyDescent="0.25">
      <c r="B439" s="141">
        <v>42822</v>
      </c>
      <c r="C439" s="128">
        <v>29409.52</v>
      </c>
    </row>
    <row r="440" spans="2:3" x14ac:dyDescent="0.25">
      <c r="B440" s="141">
        <v>42823</v>
      </c>
      <c r="C440" s="128">
        <v>29531.43</v>
      </c>
    </row>
    <row r="441" spans="2:3" x14ac:dyDescent="0.25">
      <c r="B441" s="141">
        <v>42824</v>
      </c>
      <c r="C441" s="128">
        <v>29647.42</v>
      </c>
    </row>
    <row r="442" spans="2:3" x14ac:dyDescent="0.25">
      <c r="B442" s="141">
        <v>42825</v>
      </c>
      <c r="C442" s="128">
        <v>29620.5</v>
      </c>
    </row>
    <row r="443" spans="2:3" x14ac:dyDescent="0.25">
      <c r="B443" s="141">
        <v>42828</v>
      </c>
      <c r="C443" s="128">
        <v>29910.22</v>
      </c>
    </row>
    <row r="444" spans="2:3" x14ac:dyDescent="0.25">
      <c r="B444" s="141">
        <v>42830</v>
      </c>
      <c r="C444" s="128">
        <v>29974.240000000002</v>
      </c>
    </row>
    <row r="445" spans="2:3" x14ac:dyDescent="0.25">
      <c r="B445" s="141">
        <v>42831</v>
      </c>
      <c r="C445" s="128">
        <v>29927.34</v>
      </c>
    </row>
    <row r="446" spans="2:3" x14ac:dyDescent="0.25">
      <c r="B446" s="141">
        <v>42832</v>
      </c>
      <c r="C446" s="128">
        <v>29706.61</v>
      </c>
    </row>
    <row r="447" spans="2:3" x14ac:dyDescent="0.25">
      <c r="B447" s="141">
        <v>42835</v>
      </c>
      <c r="C447" s="128">
        <v>29575.74</v>
      </c>
    </row>
    <row r="448" spans="2:3" x14ac:dyDescent="0.25">
      <c r="B448" s="141">
        <v>42836</v>
      </c>
      <c r="C448" s="128">
        <v>29788.35</v>
      </c>
    </row>
    <row r="449" spans="2:3" x14ac:dyDescent="0.25">
      <c r="B449" s="141">
        <v>42837</v>
      </c>
      <c r="C449" s="128">
        <v>29643.48</v>
      </c>
    </row>
    <row r="450" spans="2:3" x14ac:dyDescent="0.25">
      <c r="B450" s="141">
        <v>42838</v>
      </c>
      <c r="C450" s="128">
        <v>29461.45</v>
      </c>
    </row>
    <row r="451" spans="2:3" x14ac:dyDescent="0.25">
      <c r="B451" s="141">
        <v>42842</v>
      </c>
      <c r="C451" s="128">
        <v>29413.66</v>
      </c>
    </row>
    <row r="452" spans="2:3" x14ac:dyDescent="0.25">
      <c r="B452" s="141">
        <v>42843</v>
      </c>
      <c r="C452" s="128">
        <v>29319.1</v>
      </c>
    </row>
    <row r="453" spans="2:3" x14ac:dyDescent="0.25">
      <c r="B453" s="141">
        <v>42844</v>
      </c>
      <c r="C453" s="128">
        <v>29336.57</v>
      </c>
    </row>
    <row r="454" spans="2:3" x14ac:dyDescent="0.25">
      <c r="B454" s="141">
        <v>42845</v>
      </c>
      <c r="C454" s="128">
        <v>29422.39</v>
      </c>
    </row>
    <row r="455" spans="2:3" x14ac:dyDescent="0.25">
      <c r="B455" s="141">
        <v>42846</v>
      </c>
      <c r="C455" s="128">
        <v>29365.3</v>
      </c>
    </row>
    <row r="456" spans="2:3" x14ac:dyDescent="0.25">
      <c r="B456" s="141">
        <v>42849</v>
      </c>
      <c r="C456" s="128">
        <v>29655.84</v>
      </c>
    </row>
    <row r="457" spans="2:3" x14ac:dyDescent="0.25">
      <c r="B457" s="141">
        <v>42850</v>
      </c>
      <c r="C457" s="128">
        <v>29943.24</v>
      </c>
    </row>
    <row r="458" spans="2:3" x14ac:dyDescent="0.25">
      <c r="B458" s="141">
        <v>42851</v>
      </c>
      <c r="C458" s="128">
        <v>30133.35</v>
      </c>
    </row>
    <row r="459" spans="2:3" x14ac:dyDescent="0.25">
      <c r="B459" s="141">
        <v>42852</v>
      </c>
      <c r="C459" s="128">
        <v>30029.74</v>
      </c>
    </row>
    <row r="460" spans="2:3" x14ac:dyDescent="0.25">
      <c r="B460" s="141">
        <v>42853</v>
      </c>
      <c r="C460" s="128">
        <v>29918.400000000001</v>
      </c>
    </row>
    <row r="461" spans="2:3" x14ac:dyDescent="0.25">
      <c r="B461" s="141">
        <v>42857</v>
      </c>
      <c r="C461" s="128">
        <v>29921.18</v>
      </c>
    </row>
    <row r="462" spans="2:3" x14ac:dyDescent="0.25">
      <c r="B462" s="141">
        <v>42858</v>
      </c>
      <c r="C462" s="128">
        <v>29894.799999999999</v>
      </c>
    </row>
    <row r="463" spans="2:3" x14ac:dyDescent="0.25">
      <c r="B463" s="141">
        <v>42859</v>
      </c>
      <c r="C463" s="128">
        <v>30126.21</v>
      </c>
    </row>
    <row r="464" spans="2:3" x14ac:dyDescent="0.25">
      <c r="B464" s="141">
        <v>42860</v>
      </c>
      <c r="C464" s="128">
        <v>29858.799999999999</v>
      </c>
    </row>
    <row r="465" spans="2:3" x14ac:dyDescent="0.25">
      <c r="B465" s="141">
        <v>42863</v>
      </c>
      <c r="C465" s="128">
        <v>29926.15</v>
      </c>
    </row>
    <row r="466" spans="2:3" x14ac:dyDescent="0.25">
      <c r="B466" s="141">
        <v>42864</v>
      </c>
      <c r="C466" s="128">
        <v>29933.25</v>
      </c>
    </row>
    <row r="467" spans="2:3" x14ac:dyDescent="0.25">
      <c r="B467" s="141">
        <v>42865</v>
      </c>
      <c r="C467" s="128">
        <v>30248.17</v>
      </c>
    </row>
    <row r="468" spans="2:3" x14ac:dyDescent="0.25">
      <c r="B468" s="141">
        <v>42866</v>
      </c>
      <c r="C468" s="128">
        <v>30250.98</v>
      </c>
    </row>
    <row r="469" spans="2:3" x14ac:dyDescent="0.25">
      <c r="B469" s="141">
        <v>42867</v>
      </c>
      <c r="C469" s="128">
        <v>30188.15</v>
      </c>
    </row>
    <row r="470" spans="2:3" x14ac:dyDescent="0.25">
      <c r="B470" s="141">
        <v>42870</v>
      </c>
      <c r="C470" s="128">
        <v>30322.12</v>
      </c>
    </row>
    <row r="471" spans="2:3" x14ac:dyDescent="0.25">
      <c r="B471" s="141">
        <v>42871</v>
      </c>
      <c r="C471" s="128">
        <v>30582.6</v>
      </c>
    </row>
    <row r="472" spans="2:3" x14ac:dyDescent="0.25">
      <c r="B472" s="141">
        <v>42872</v>
      </c>
      <c r="C472" s="128">
        <v>30658.77</v>
      </c>
    </row>
    <row r="473" spans="2:3" x14ac:dyDescent="0.25">
      <c r="B473" s="141">
        <v>42873</v>
      </c>
      <c r="C473" s="128">
        <v>30434.79</v>
      </c>
    </row>
    <row r="474" spans="2:3" x14ac:dyDescent="0.25">
      <c r="B474" s="141">
        <v>42874</v>
      </c>
      <c r="C474" s="128">
        <v>30464.92</v>
      </c>
    </row>
    <row r="475" spans="2:3" x14ac:dyDescent="0.25">
      <c r="B475" s="141">
        <v>42877</v>
      </c>
      <c r="C475" s="128">
        <v>30570.97</v>
      </c>
    </row>
    <row r="476" spans="2:3" x14ac:dyDescent="0.25">
      <c r="B476" s="141">
        <v>42878</v>
      </c>
      <c r="C476" s="128">
        <v>30365.25</v>
      </c>
    </row>
    <row r="477" spans="2:3" x14ac:dyDescent="0.25">
      <c r="B477" s="141">
        <v>42879</v>
      </c>
      <c r="C477" s="128">
        <v>30301.64</v>
      </c>
    </row>
    <row r="478" spans="2:3" x14ac:dyDescent="0.25">
      <c r="B478" s="141">
        <v>42880</v>
      </c>
      <c r="C478" s="128">
        <v>30750.03</v>
      </c>
    </row>
    <row r="479" spans="2:3" x14ac:dyDescent="0.25">
      <c r="B479" s="141">
        <v>42881</v>
      </c>
      <c r="C479" s="128">
        <v>31028.21</v>
      </c>
    </row>
    <row r="480" spans="2:3" x14ac:dyDescent="0.25">
      <c r="B480" s="141">
        <v>42884</v>
      </c>
      <c r="C480" s="128">
        <v>31109.279999999999</v>
      </c>
    </row>
    <row r="481" spans="2:3" x14ac:dyDescent="0.25">
      <c r="B481" s="141">
        <v>42885</v>
      </c>
      <c r="C481" s="128">
        <v>31159.4</v>
      </c>
    </row>
    <row r="482" spans="2:3" x14ac:dyDescent="0.25">
      <c r="B482" s="141">
        <v>42886</v>
      </c>
      <c r="C482" s="128">
        <v>31145.8</v>
      </c>
    </row>
    <row r="483" spans="2:3" x14ac:dyDescent="0.25">
      <c r="B483" s="141">
        <v>42887</v>
      </c>
      <c r="C483" s="128">
        <v>31137.59</v>
      </c>
    </row>
    <row r="484" spans="2:3" x14ac:dyDescent="0.25">
      <c r="B484" s="141">
        <v>42888</v>
      </c>
      <c r="C484" s="128">
        <v>31273.29</v>
      </c>
    </row>
    <row r="485" spans="2:3" x14ac:dyDescent="0.25">
      <c r="B485" s="141">
        <v>42891</v>
      </c>
      <c r="C485" s="128">
        <v>31309.49</v>
      </c>
    </row>
    <row r="486" spans="2:3" x14ac:dyDescent="0.25">
      <c r="B486" s="141">
        <v>42892</v>
      </c>
      <c r="C486" s="128">
        <v>31190.560000000001</v>
      </c>
    </row>
    <row r="487" spans="2:3" x14ac:dyDescent="0.25">
      <c r="B487" s="141">
        <v>42893</v>
      </c>
      <c r="C487" s="128">
        <v>31271.279999999999</v>
      </c>
    </row>
    <row r="488" spans="2:3" x14ac:dyDescent="0.25">
      <c r="B488" s="141">
        <v>42894</v>
      </c>
      <c r="C488" s="128">
        <v>31213.360000000001</v>
      </c>
    </row>
    <row r="489" spans="2:3" x14ac:dyDescent="0.25">
      <c r="B489" s="141">
        <v>42895</v>
      </c>
      <c r="C489" s="128">
        <v>31262.06</v>
      </c>
    </row>
    <row r="490" spans="2:3" x14ac:dyDescent="0.25">
      <c r="B490" s="141">
        <v>42898</v>
      </c>
      <c r="C490" s="128">
        <v>31095.7</v>
      </c>
    </row>
    <row r="491" spans="2:3" x14ac:dyDescent="0.25">
      <c r="B491" s="141">
        <v>42899</v>
      </c>
      <c r="C491" s="128">
        <v>31103.49</v>
      </c>
    </row>
    <row r="492" spans="2:3" x14ac:dyDescent="0.25">
      <c r="B492" s="141">
        <v>42900</v>
      </c>
      <c r="C492" s="128">
        <v>31155.91</v>
      </c>
    </row>
    <row r="493" spans="2:3" x14ac:dyDescent="0.25">
      <c r="B493" s="141">
        <v>42901</v>
      </c>
      <c r="C493" s="128">
        <v>31075.73</v>
      </c>
    </row>
    <row r="494" spans="2:3" x14ac:dyDescent="0.25">
      <c r="B494" s="141">
        <v>42902</v>
      </c>
      <c r="C494" s="128">
        <v>31056.400000000001</v>
      </c>
    </row>
    <row r="495" spans="2:3" x14ac:dyDescent="0.25">
      <c r="B495" s="141">
        <v>42905</v>
      </c>
      <c r="C495" s="128">
        <v>31311.57</v>
      </c>
    </row>
    <row r="496" spans="2:3" x14ac:dyDescent="0.25">
      <c r="B496" s="141">
        <v>42906</v>
      </c>
      <c r="C496" s="128">
        <v>31297.53</v>
      </c>
    </row>
    <row r="497" spans="2:3" x14ac:dyDescent="0.25">
      <c r="B497" s="141">
        <v>42907</v>
      </c>
      <c r="C497" s="128">
        <v>31283.64</v>
      </c>
    </row>
    <row r="498" spans="2:3" x14ac:dyDescent="0.25">
      <c r="B498" s="141">
        <v>42908</v>
      </c>
      <c r="C498" s="128">
        <v>31290.74</v>
      </c>
    </row>
    <row r="499" spans="2:3" x14ac:dyDescent="0.25">
      <c r="B499" s="141">
        <v>42909</v>
      </c>
      <c r="C499" s="128">
        <v>31138.21</v>
      </c>
    </row>
    <row r="500" spans="2:3" x14ac:dyDescent="0.25">
      <c r="B500" s="141">
        <v>42913</v>
      </c>
      <c r="C500" s="128">
        <v>30958.25</v>
      </c>
    </row>
    <row r="501" spans="2:3" x14ac:dyDescent="0.25">
      <c r="B501" s="141">
        <v>42914</v>
      </c>
      <c r="C501" s="128">
        <v>30834.32</v>
      </c>
    </row>
    <row r="502" spans="2:3" x14ac:dyDescent="0.25">
      <c r="B502" s="141">
        <v>42915</v>
      </c>
      <c r="C502" s="128">
        <v>30857.52</v>
      </c>
    </row>
    <row r="503" spans="2:3" x14ac:dyDescent="0.25">
      <c r="B503" s="141">
        <v>42916</v>
      </c>
      <c r="C503" s="128">
        <v>30921.61</v>
      </c>
    </row>
    <row r="504" spans="2:3" x14ac:dyDescent="0.25">
      <c r="B504" s="141">
        <v>42919</v>
      </c>
      <c r="C504" s="128">
        <v>31221.62</v>
      </c>
    </row>
    <row r="505" spans="2:3" x14ac:dyDescent="0.25">
      <c r="B505" s="141">
        <v>42920</v>
      </c>
      <c r="C505" s="128">
        <v>31209.79</v>
      </c>
    </row>
    <row r="506" spans="2:3" x14ac:dyDescent="0.25">
      <c r="B506" s="141">
        <v>42921</v>
      </c>
      <c r="C506" s="128">
        <v>31245.56</v>
      </c>
    </row>
    <row r="507" spans="2:3" x14ac:dyDescent="0.25">
      <c r="B507" s="141">
        <v>42922</v>
      </c>
      <c r="C507" s="128">
        <v>31369.34</v>
      </c>
    </row>
    <row r="508" spans="2:3" x14ac:dyDescent="0.25">
      <c r="B508" s="141">
        <v>42923</v>
      </c>
      <c r="C508" s="128">
        <v>31360.63</v>
      </c>
    </row>
    <row r="509" spans="2:3" x14ac:dyDescent="0.25">
      <c r="B509" s="141">
        <v>42926</v>
      </c>
      <c r="C509" s="128">
        <v>31715.64</v>
      </c>
    </row>
    <row r="510" spans="2:3" x14ac:dyDescent="0.25">
      <c r="B510" s="141">
        <v>42927</v>
      </c>
      <c r="C510" s="128">
        <v>31747.09</v>
      </c>
    </row>
    <row r="511" spans="2:3" x14ac:dyDescent="0.25">
      <c r="B511" s="141">
        <v>42928</v>
      </c>
      <c r="C511" s="128">
        <v>31804.82</v>
      </c>
    </row>
    <row r="512" spans="2:3" x14ac:dyDescent="0.25">
      <c r="B512" s="141">
        <v>42929</v>
      </c>
      <c r="C512" s="128">
        <v>32037.38</v>
      </c>
    </row>
    <row r="513" spans="2:3" x14ac:dyDescent="0.25">
      <c r="B513" s="141">
        <v>42930</v>
      </c>
      <c r="C513" s="128">
        <v>32020.75</v>
      </c>
    </row>
    <row r="514" spans="2:3" x14ac:dyDescent="0.25">
      <c r="B514" s="141">
        <v>42933</v>
      </c>
      <c r="C514" s="128">
        <v>32074.78</v>
      </c>
    </row>
    <row r="515" spans="2:3" x14ac:dyDescent="0.25">
      <c r="B515" s="141">
        <v>42934</v>
      </c>
      <c r="C515" s="128">
        <v>31710.99</v>
      </c>
    </row>
    <row r="516" spans="2:3" x14ac:dyDescent="0.25">
      <c r="B516" s="141">
        <v>42935</v>
      </c>
      <c r="C516" s="128">
        <v>31955.35</v>
      </c>
    </row>
    <row r="517" spans="2:3" x14ac:dyDescent="0.25">
      <c r="B517" s="141">
        <v>42936</v>
      </c>
      <c r="C517" s="128">
        <v>31904.400000000001</v>
      </c>
    </row>
    <row r="518" spans="2:3" x14ac:dyDescent="0.25">
      <c r="B518" s="141">
        <v>42937</v>
      </c>
      <c r="C518" s="128">
        <v>32028.89</v>
      </c>
    </row>
    <row r="519" spans="2:3" x14ac:dyDescent="0.25">
      <c r="B519" s="141">
        <v>42940</v>
      </c>
      <c r="C519" s="128">
        <v>32245.87</v>
      </c>
    </row>
    <row r="520" spans="2:3" x14ac:dyDescent="0.25">
      <c r="B520" s="141">
        <v>42941</v>
      </c>
      <c r="C520" s="128">
        <v>32228.27</v>
      </c>
    </row>
    <row r="521" spans="2:3" x14ac:dyDescent="0.25">
      <c r="B521" s="141">
        <v>42942</v>
      </c>
      <c r="C521" s="128">
        <v>32382.46</v>
      </c>
    </row>
    <row r="522" spans="2:3" x14ac:dyDescent="0.25">
      <c r="B522" s="141">
        <v>42943</v>
      </c>
      <c r="C522" s="128">
        <v>32383.3</v>
      </c>
    </row>
    <row r="523" spans="2:3" x14ac:dyDescent="0.25">
      <c r="B523" s="141">
        <v>42944</v>
      </c>
      <c r="C523" s="128">
        <v>32309.88</v>
      </c>
    </row>
    <row r="524" spans="2:3" x14ac:dyDescent="0.25">
      <c r="B524" s="141">
        <v>42947</v>
      </c>
      <c r="C524" s="128">
        <v>32514.94</v>
      </c>
    </row>
    <row r="525" spans="2:3" x14ac:dyDescent="0.25">
      <c r="B525" s="141">
        <v>42948</v>
      </c>
      <c r="C525" s="128">
        <v>32575.17</v>
      </c>
    </row>
    <row r="526" spans="2:3" x14ac:dyDescent="0.25">
      <c r="B526" s="141">
        <v>42949</v>
      </c>
      <c r="C526" s="128">
        <v>32476.74</v>
      </c>
    </row>
    <row r="527" spans="2:3" x14ac:dyDescent="0.25">
      <c r="B527" s="141">
        <v>42950</v>
      </c>
      <c r="C527" s="128">
        <v>32237.88</v>
      </c>
    </row>
    <row r="528" spans="2:3" x14ac:dyDescent="0.25">
      <c r="B528" s="141">
        <v>42951</v>
      </c>
      <c r="C528" s="128">
        <v>32325.41</v>
      </c>
    </row>
    <row r="529" spans="2:3" x14ac:dyDescent="0.25">
      <c r="B529" s="141">
        <v>42954</v>
      </c>
      <c r="C529" s="128">
        <v>32273.67</v>
      </c>
    </row>
    <row r="530" spans="2:3" x14ac:dyDescent="0.25">
      <c r="B530" s="141">
        <v>42955</v>
      </c>
      <c r="C530" s="128">
        <v>32014.19</v>
      </c>
    </row>
    <row r="531" spans="2:3" x14ac:dyDescent="0.25">
      <c r="B531" s="141">
        <v>42956</v>
      </c>
      <c r="C531" s="128">
        <v>31797.84</v>
      </c>
    </row>
    <row r="532" spans="2:3" x14ac:dyDescent="0.25">
      <c r="B532" s="141">
        <v>42957</v>
      </c>
      <c r="C532" s="128">
        <v>31531.33</v>
      </c>
    </row>
    <row r="533" spans="2:3" x14ac:dyDescent="0.25">
      <c r="B533" s="141">
        <v>42958</v>
      </c>
      <c r="C533" s="128">
        <v>31213.59</v>
      </c>
    </row>
    <row r="534" spans="2:3" x14ac:dyDescent="0.25">
      <c r="B534" s="141">
        <v>42961</v>
      </c>
      <c r="C534" s="128">
        <v>31449.03</v>
      </c>
    </row>
    <row r="535" spans="2:3" x14ac:dyDescent="0.25">
      <c r="B535" s="141">
        <v>42963</v>
      </c>
      <c r="C535" s="128">
        <v>31770.89</v>
      </c>
    </row>
    <row r="536" spans="2:3" x14ac:dyDescent="0.25">
      <c r="B536" s="141">
        <v>42964</v>
      </c>
      <c r="C536" s="128">
        <v>31795.46</v>
      </c>
    </row>
    <row r="537" spans="2:3" x14ac:dyDescent="0.25">
      <c r="B537" s="141">
        <v>42965</v>
      </c>
      <c r="C537" s="128">
        <v>31524.68</v>
      </c>
    </row>
    <row r="538" spans="2:3" x14ac:dyDescent="0.25">
      <c r="B538" s="141">
        <v>42968</v>
      </c>
      <c r="C538" s="128">
        <v>31258.85</v>
      </c>
    </row>
    <row r="539" spans="2:3" x14ac:dyDescent="0.25">
      <c r="B539" s="141">
        <v>42969</v>
      </c>
      <c r="C539" s="128">
        <v>31291.85</v>
      </c>
    </row>
    <row r="540" spans="2:3" x14ac:dyDescent="0.25">
      <c r="B540" s="141">
        <v>42970</v>
      </c>
      <c r="C540" s="128">
        <v>31568.01</v>
      </c>
    </row>
    <row r="541" spans="2:3" x14ac:dyDescent="0.25">
      <c r="B541" s="141">
        <v>42971</v>
      </c>
      <c r="C541" s="128">
        <v>31596.06</v>
      </c>
    </row>
    <row r="542" spans="2:3" x14ac:dyDescent="0.25">
      <c r="B542" s="141">
        <v>42975</v>
      </c>
      <c r="C542" s="128">
        <v>31750.82</v>
      </c>
    </row>
    <row r="543" spans="2:3" x14ac:dyDescent="0.25">
      <c r="B543" s="141">
        <v>42976</v>
      </c>
      <c r="C543" s="128">
        <v>31388.39</v>
      </c>
    </row>
    <row r="544" spans="2:3" x14ac:dyDescent="0.25">
      <c r="B544" s="141">
        <v>42977</v>
      </c>
      <c r="C544" s="128">
        <v>31646.46</v>
      </c>
    </row>
    <row r="545" spans="2:3" x14ac:dyDescent="0.25">
      <c r="B545" s="141">
        <v>42978</v>
      </c>
      <c r="C545" s="128">
        <v>31730.49</v>
      </c>
    </row>
    <row r="546" spans="2:3" x14ac:dyDescent="0.25">
      <c r="B546" s="141">
        <v>42979</v>
      </c>
      <c r="C546" s="128">
        <v>31892.23</v>
      </c>
    </row>
    <row r="547" spans="2:3" x14ac:dyDescent="0.25">
      <c r="B547" s="141">
        <v>42982</v>
      </c>
      <c r="C547" s="128">
        <v>31702.25</v>
      </c>
    </row>
    <row r="548" spans="2:3" x14ac:dyDescent="0.25">
      <c r="B548" s="141">
        <v>42983</v>
      </c>
      <c r="C548" s="128">
        <v>31809.55</v>
      </c>
    </row>
    <row r="549" spans="2:3" x14ac:dyDescent="0.25">
      <c r="B549" s="141">
        <v>42984</v>
      </c>
      <c r="C549" s="128">
        <v>31661.97</v>
      </c>
    </row>
    <row r="550" spans="2:3" x14ac:dyDescent="0.25">
      <c r="B550" s="141">
        <v>42985</v>
      </c>
      <c r="C550" s="128">
        <v>31662.74</v>
      </c>
    </row>
    <row r="551" spans="2:3" x14ac:dyDescent="0.25">
      <c r="B551" s="141">
        <v>42986</v>
      </c>
      <c r="C551" s="128">
        <v>31687.52</v>
      </c>
    </row>
    <row r="552" spans="2:3" x14ac:dyDescent="0.25">
      <c r="B552" s="141">
        <v>42989</v>
      </c>
      <c r="C552" s="128">
        <v>31882.16</v>
      </c>
    </row>
    <row r="553" spans="2:3" x14ac:dyDescent="0.25">
      <c r="B553" s="141">
        <v>42990</v>
      </c>
      <c r="C553" s="128">
        <v>32158.66</v>
      </c>
    </row>
    <row r="554" spans="2:3" x14ac:dyDescent="0.25">
      <c r="B554" s="141">
        <v>42991</v>
      </c>
      <c r="C554" s="128">
        <v>32186.41</v>
      </c>
    </row>
    <row r="555" spans="2:3" x14ac:dyDescent="0.25">
      <c r="B555" s="141">
        <v>42992</v>
      </c>
      <c r="C555" s="128">
        <v>32241.93</v>
      </c>
    </row>
    <row r="556" spans="2:3" x14ac:dyDescent="0.25">
      <c r="B556" s="141">
        <v>42993</v>
      </c>
      <c r="C556" s="128">
        <v>32272.61</v>
      </c>
    </row>
    <row r="557" spans="2:3" x14ac:dyDescent="0.25">
      <c r="B557" s="141">
        <v>42996</v>
      </c>
      <c r="C557" s="128">
        <v>32423.759999999998</v>
      </c>
    </row>
    <row r="558" spans="2:3" x14ac:dyDescent="0.25">
      <c r="B558" s="141">
        <v>42997</v>
      </c>
      <c r="C558" s="128">
        <v>32402.37</v>
      </c>
    </row>
    <row r="559" spans="2:3" x14ac:dyDescent="0.25">
      <c r="B559" s="141">
        <v>42998</v>
      </c>
      <c r="C559" s="128">
        <v>32400.51</v>
      </c>
    </row>
    <row r="560" spans="2:3" x14ac:dyDescent="0.25">
      <c r="B560" s="141">
        <v>42999</v>
      </c>
      <c r="C560" s="128">
        <v>32370.04</v>
      </c>
    </row>
    <row r="561" spans="2:3" x14ac:dyDescent="0.25">
      <c r="B561" s="141">
        <v>43000</v>
      </c>
      <c r="C561" s="128">
        <v>31922.44</v>
      </c>
    </row>
    <row r="562" spans="2:3" x14ac:dyDescent="0.25">
      <c r="B562" s="141">
        <v>43003</v>
      </c>
      <c r="C562" s="128">
        <v>31626.63</v>
      </c>
    </row>
    <row r="563" spans="2:3" x14ac:dyDescent="0.25">
      <c r="B563" s="141">
        <v>43004</v>
      </c>
      <c r="C563" s="128">
        <v>31599.759999999998</v>
      </c>
    </row>
    <row r="564" spans="2:3" x14ac:dyDescent="0.25">
      <c r="B564" s="141">
        <v>43005</v>
      </c>
      <c r="C564" s="128">
        <v>31159.81</v>
      </c>
    </row>
    <row r="565" spans="2:3" x14ac:dyDescent="0.25">
      <c r="B565" s="141">
        <v>43006</v>
      </c>
      <c r="C565" s="128">
        <v>31282.48</v>
      </c>
    </row>
    <row r="566" spans="2:3" x14ac:dyDescent="0.25">
      <c r="B566" s="141">
        <v>43007</v>
      </c>
      <c r="C566" s="128">
        <v>31283.72</v>
      </c>
    </row>
    <row r="567" spans="2:3" x14ac:dyDescent="0.25">
      <c r="B567" s="141">
        <v>43011</v>
      </c>
      <c r="C567" s="128">
        <v>31497.38</v>
      </c>
    </row>
    <row r="568" spans="2:3" x14ac:dyDescent="0.25">
      <c r="B568" s="141">
        <v>43012</v>
      </c>
      <c r="C568" s="128">
        <v>31671.71</v>
      </c>
    </row>
    <row r="569" spans="2:3" x14ac:dyDescent="0.25">
      <c r="B569" s="141">
        <v>43013</v>
      </c>
      <c r="C569" s="128">
        <v>31592.03</v>
      </c>
    </row>
    <row r="570" spans="2:3" x14ac:dyDescent="0.25">
      <c r="B570" s="141">
        <v>43014</v>
      </c>
      <c r="C570" s="128">
        <v>31814.22</v>
      </c>
    </row>
    <row r="571" spans="2:3" x14ac:dyDescent="0.25">
      <c r="B571" s="141">
        <v>43017</v>
      </c>
      <c r="C571" s="128">
        <v>31846.89</v>
      </c>
    </row>
    <row r="572" spans="2:3" x14ac:dyDescent="0.25">
      <c r="B572" s="141">
        <v>43018</v>
      </c>
      <c r="C572" s="128">
        <v>31924.41</v>
      </c>
    </row>
    <row r="573" spans="2:3" x14ac:dyDescent="0.25">
      <c r="B573" s="141">
        <v>43019</v>
      </c>
      <c r="C573" s="128">
        <v>31833.99</v>
      </c>
    </row>
    <row r="574" spans="2:3" x14ac:dyDescent="0.25">
      <c r="B574" s="141">
        <v>43020</v>
      </c>
      <c r="C574" s="128">
        <v>32182.22</v>
      </c>
    </row>
    <row r="575" spans="2:3" x14ac:dyDescent="0.25">
      <c r="B575" s="141">
        <v>43021</v>
      </c>
      <c r="C575" s="128">
        <v>32432.69</v>
      </c>
    </row>
    <row r="576" spans="2:3" x14ac:dyDescent="0.25">
      <c r="B576" s="141">
        <v>43024</v>
      </c>
      <c r="C576" s="128">
        <v>32633.64</v>
      </c>
    </row>
    <row r="577" spans="2:3" x14ac:dyDescent="0.25">
      <c r="B577" s="141">
        <v>43025</v>
      </c>
      <c r="C577" s="128">
        <v>32609.16</v>
      </c>
    </row>
    <row r="578" spans="2:3" x14ac:dyDescent="0.25">
      <c r="B578" s="141">
        <v>43026</v>
      </c>
      <c r="C578" s="128">
        <v>32584.35</v>
      </c>
    </row>
    <row r="579" spans="2:3" x14ac:dyDescent="0.25">
      <c r="B579" s="141">
        <v>43027</v>
      </c>
      <c r="C579" s="128">
        <v>32389.96</v>
      </c>
    </row>
    <row r="580" spans="2:3" x14ac:dyDescent="0.25">
      <c r="B580" s="141">
        <v>43031</v>
      </c>
      <c r="C580" s="128">
        <v>32506.720000000001</v>
      </c>
    </row>
    <row r="581" spans="2:3" x14ac:dyDescent="0.25">
      <c r="B581" s="141">
        <v>43032</v>
      </c>
      <c r="C581" s="128">
        <v>32607.34</v>
      </c>
    </row>
    <row r="582" spans="2:3" x14ac:dyDescent="0.25">
      <c r="B582" s="141">
        <v>43033</v>
      </c>
      <c r="C582" s="128">
        <v>33042.5</v>
      </c>
    </row>
    <row r="583" spans="2:3" x14ac:dyDescent="0.25">
      <c r="B583" s="141">
        <v>43034</v>
      </c>
      <c r="C583" s="128">
        <v>33147.129999999997</v>
      </c>
    </row>
    <row r="584" spans="2:3" x14ac:dyDescent="0.25">
      <c r="B584" s="141">
        <v>43035</v>
      </c>
      <c r="C584" s="128">
        <v>33157.22</v>
      </c>
    </row>
    <row r="585" spans="2:3" x14ac:dyDescent="0.25">
      <c r="B585" s="141">
        <v>43038</v>
      </c>
      <c r="C585" s="128">
        <v>33266.160000000003</v>
      </c>
    </row>
    <row r="586" spans="2:3" x14ac:dyDescent="0.25">
      <c r="B586" s="141">
        <v>43039</v>
      </c>
      <c r="C586" s="128">
        <v>33213.129999999997</v>
      </c>
    </row>
    <row r="587" spans="2:3" x14ac:dyDescent="0.25">
      <c r="B587" s="141">
        <v>43040</v>
      </c>
      <c r="C587" s="128">
        <v>33600.269999999997</v>
      </c>
    </row>
    <row r="588" spans="2:3" x14ac:dyDescent="0.25">
      <c r="B588" s="141">
        <v>43041</v>
      </c>
      <c r="C588" s="128">
        <v>33573.22</v>
      </c>
    </row>
    <row r="589" spans="2:3" x14ac:dyDescent="0.25">
      <c r="B589" s="141">
        <v>43042</v>
      </c>
      <c r="C589" s="128">
        <v>33685.56</v>
      </c>
    </row>
    <row r="590" spans="2:3" x14ac:dyDescent="0.25">
      <c r="B590" s="141">
        <v>43045</v>
      </c>
      <c r="C590" s="128">
        <v>33731.19</v>
      </c>
    </row>
    <row r="591" spans="2:3" x14ac:dyDescent="0.25">
      <c r="B591" s="141">
        <v>43046</v>
      </c>
      <c r="C591" s="128">
        <v>33370.76</v>
      </c>
    </row>
    <row r="592" spans="2:3" x14ac:dyDescent="0.25">
      <c r="B592" s="141">
        <v>43047</v>
      </c>
      <c r="C592" s="128">
        <v>33218.81</v>
      </c>
    </row>
    <row r="593" spans="2:3" x14ac:dyDescent="0.25">
      <c r="B593" s="141">
        <v>43048</v>
      </c>
      <c r="C593" s="128">
        <v>33250.93</v>
      </c>
    </row>
    <row r="594" spans="2:3" x14ac:dyDescent="0.25">
      <c r="B594" s="141">
        <v>43049</v>
      </c>
      <c r="C594" s="128">
        <v>33314.559999999998</v>
      </c>
    </row>
    <row r="595" spans="2:3" x14ac:dyDescent="0.25">
      <c r="B595" s="141">
        <v>43052</v>
      </c>
      <c r="C595" s="128">
        <v>33033.56</v>
      </c>
    </row>
    <row r="596" spans="2:3" x14ac:dyDescent="0.25">
      <c r="B596" s="141">
        <v>43053</v>
      </c>
      <c r="C596" s="128">
        <v>32941.870000000003</v>
      </c>
    </row>
    <row r="597" spans="2:3" x14ac:dyDescent="0.25">
      <c r="B597" s="141">
        <v>43054</v>
      </c>
      <c r="C597" s="128">
        <v>32760.44</v>
      </c>
    </row>
    <row r="598" spans="2:3" x14ac:dyDescent="0.25">
      <c r="B598" s="141">
        <v>43055</v>
      </c>
      <c r="C598" s="128">
        <v>33106.82</v>
      </c>
    </row>
    <row r="599" spans="2:3" x14ac:dyDescent="0.25">
      <c r="B599" s="141">
        <v>43056</v>
      </c>
      <c r="C599" s="128">
        <v>33342.800000000003</v>
      </c>
    </row>
    <row r="600" spans="2:3" x14ac:dyDescent="0.25">
      <c r="B600" s="141">
        <v>43059</v>
      </c>
      <c r="C600" s="128">
        <v>33359.9</v>
      </c>
    </row>
    <row r="601" spans="2:3" x14ac:dyDescent="0.25">
      <c r="B601" s="141">
        <v>43060</v>
      </c>
      <c r="C601" s="128">
        <v>33478.35</v>
      </c>
    </row>
    <row r="602" spans="2:3" x14ac:dyDescent="0.25">
      <c r="B602" s="141">
        <v>43061</v>
      </c>
      <c r="C602" s="128">
        <v>33561.550000000003</v>
      </c>
    </row>
    <row r="603" spans="2:3" x14ac:dyDescent="0.25">
      <c r="B603" s="141">
        <v>43062</v>
      </c>
      <c r="C603" s="128">
        <v>33588.080000000002</v>
      </c>
    </row>
    <row r="604" spans="2:3" x14ac:dyDescent="0.25">
      <c r="B604" s="141">
        <v>43063</v>
      </c>
      <c r="C604" s="128">
        <v>33679.24</v>
      </c>
    </row>
    <row r="605" spans="2:3" x14ac:dyDescent="0.25">
      <c r="B605" s="141">
        <v>43066</v>
      </c>
      <c r="C605" s="128">
        <v>33724.44</v>
      </c>
    </row>
    <row r="606" spans="2:3" x14ac:dyDescent="0.25">
      <c r="B606" s="141">
        <v>43067</v>
      </c>
      <c r="C606" s="128">
        <v>33618.589999999997</v>
      </c>
    </row>
    <row r="607" spans="2:3" x14ac:dyDescent="0.25">
      <c r="B607" s="141">
        <v>43068</v>
      </c>
      <c r="C607" s="128">
        <v>33602.76</v>
      </c>
    </row>
    <row r="608" spans="2:3" x14ac:dyDescent="0.25">
      <c r="B608" s="141">
        <v>43069</v>
      </c>
      <c r="C608" s="128">
        <v>33149.35</v>
      </c>
    </row>
    <row r="609" spans="2:3" x14ac:dyDescent="0.25">
      <c r="B609" s="141">
        <v>43070</v>
      </c>
      <c r="C609" s="128">
        <v>32832.94</v>
      </c>
    </row>
    <row r="610" spans="2:3" x14ac:dyDescent="0.25">
      <c r="B610" s="141">
        <v>43073</v>
      </c>
      <c r="C610" s="128">
        <v>32869.72</v>
      </c>
    </row>
    <row r="611" spans="2:3" x14ac:dyDescent="0.25">
      <c r="B611" s="141">
        <v>43074</v>
      </c>
      <c r="C611" s="128">
        <v>32802.44</v>
      </c>
    </row>
    <row r="612" spans="2:3" x14ac:dyDescent="0.25">
      <c r="B612" s="141">
        <v>43075</v>
      </c>
      <c r="C612" s="128">
        <v>32597.18</v>
      </c>
    </row>
    <row r="613" spans="2:3" x14ac:dyDescent="0.25">
      <c r="B613" s="141">
        <v>43076</v>
      </c>
      <c r="C613" s="128">
        <v>32949.21</v>
      </c>
    </row>
    <row r="614" spans="2:3" x14ac:dyDescent="0.25">
      <c r="B614" s="141">
        <v>43077</v>
      </c>
      <c r="C614" s="128">
        <v>33250.300000000003</v>
      </c>
    </row>
    <row r="615" spans="2:3" x14ac:dyDescent="0.25">
      <c r="B615" s="141">
        <v>43080</v>
      </c>
      <c r="C615" s="128">
        <v>33455.79</v>
      </c>
    </row>
    <row r="616" spans="2:3" x14ac:dyDescent="0.25">
      <c r="B616" s="141">
        <v>43081</v>
      </c>
      <c r="C616" s="128">
        <v>33227.99</v>
      </c>
    </row>
    <row r="617" spans="2:3" x14ac:dyDescent="0.25">
      <c r="B617" s="141">
        <v>43082</v>
      </c>
      <c r="C617" s="128">
        <v>33053.040000000001</v>
      </c>
    </row>
    <row r="618" spans="2:3" x14ac:dyDescent="0.25">
      <c r="B618" s="141">
        <v>43083</v>
      </c>
      <c r="C618" s="128">
        <v>33246.699999999997</v>
      </c>
    </row>
    <row r="619" spans="2:3" x14ac:dyDescent="0.25">
      <c r="B619" s="141">
        <v>43084</v>
      </c>
      <c r="C619" s="128">
        <v>33462.97</v>
      </c>
    </row>
    <row r="620" spans="2:3" x14ac:dyDescent="0.25">
      <c r="B620" s="141">
        <v>43087</v>
      </c>
      <c r="C620" s="128">
        <v>33601.68</v>
      </c>
    </row>
    <row r="621" spans="2:3" x14ac:dyDescent="0.25">
      <c r="B621" s="141">
        <v>43088</v>
      </c>
      <c r="C621" s="128">
        <v>33836.74</v>
      </c>
    </row>
    <row r="622" spans="2:3" x14ac:dyDescent="0.25">
      <c r="B622" s="141">
        <v>43089</v>
      </c>
      <c r="C622" s="128">
        <v>33777.379999999997</v>
      </c>
    </row>
    <row r="623" spans="2:3" x14ac:dyDescent="0.25">
      <c r="B623" s="141">
        <v>43090</v>
      </c>
      <c r="C623" s="128">
        <v>33756.28</v>
      </c>
    </row>
    <row r="624" spans="2:3" x14ac:dyDescent="0.25">
      <c r="B624" s="141">
        <v>43091</v>
      </c>
      <c r="C624" s="128">
        <v>33940.300000000003</v>
      </c>
    </row>
    <row r="625" spans="2:3" x14ac:dyDescent="0.25">
      <c r="B625" s="141">
        <v>43095</v>
      </c>
      <c r="C625" s="128">
        <v>34010.61</v>
      </c>
    </row>
    <row r="626" spans="2:3" x14ac:dyDescent="0.25">
      <c r="B626" s="141">
        <v>43096</v>
      </c>
      <c r="C626" s="128">
        <v>33911.81</v>
      </c>
    </row>
    <row r="627" spans="2:3" x14ac:dyDescent="0.25">
      <c r="B627" s="141">
        <v>43097</v>
      </c>
      <c r="C627" s="128">
        <v>33848.03</v>
      </c>
    </row>
    <row r="628" spans="2:3" x14ac:dyDescent="0.25">
      <c r="B628" s="141">
        <v>43098</v>
      </c>
      <c r="C628" s="128">
        <v>34056.83</v>
      </c>
    </row>
    <row r="629" spans="2:3" x14ac:dyDescent="0.25">
      <c r="B629" s="141">
        <v>43101</v>
      </c>
      <c r="C629" s="128">
        <v>33812.75</v>
      </c>
    </row>
    <row r="630" spans="2:3" x14ac:dyDescent="0.25">
      <c r="B630" s="141">
        <v>43102</v>
      </c>
      <c r="C630" s="128">
        <v>33812.26</v>
      </c>
    </row>
    <row r="631" spans="2:3" x14ac:dyDescent="0.25">
      <c r="B631" s="141">
        <v>43103</v>
      </c>
      <c r="C631" s="128">
        <v>33793.379999999997</v>
      </c>
    </row>
    <row r="632" spans="2:3" x14ac:dyDescent="0.25">
      <c r="B632" s="141">
        <v>43104</v>
      </c>
      <c r="C632" s="128">
        <v>33969.64</v>
      </c>
    </row>
    <row r="633" spans="2:3" x14ac:dyDescent="0.25">
      <c r="B633" s="141">
        <v>43105</v>
      </c>
      <c r="C633" s="128">
        <v>34153.85</v>
      </c>
    </row>
    <row r="634" spans="2:3" x14ac:dyDescent="0.25">
      <c r="B634" s="141">
        <v>43108</v>
      </c>
      <c r="C634" s="128">
        <v>34352.79</v>
      </c>
    </row>
    <row r="635" spans="2:3" x14ac:dyDescent="0.25">
      <c r="B635" s="141">
        <v>43109</v>
      </c>
      <c r="C635" s="128">
        <v>34443.19</v>
      </c>
    </row>
    <row r="636" spans="2:3" x14ac:dyDescent="0.25">
      <c r="B636" s="141">
        <v>43110</v>
      </c>
      <c r="C636" s="128">
        <v>34433.07</v>
      </c>
    </row>
    <row r="637" spans="2:3" x14ac:dyDescent="0.25">
      <c r="B637" s="141">
        <v>43111</v>
      </c>
      <c r="C637" s="128">
        <v>34503.49</v>
      </c>
    </row>
    <row r="638" spans="2:3" x14ac:dyDescent="0.25">
      <c r="B638" s="141">
        <v>43112</v>
      </c>
      <c r="C638" s="128">
        <v>34592.39</v>
      </c>
    </row>
    <row r="639" spans="2:3" x14ac:dyDescent="0.25">
      <c r="B639" s="141">
        <v>43115</v>
      </c>
      <c r="C639" s="128">
        <v>34843.51</v>
      </c>
    </row>
    <row r="640" spans="2:3" x14ac:dyDescent="0.25">
      <c r="B640" s="141">
        <v>43116</v>
      </c>
      <c r="C640" s="128">
        <v>34771.050000000003</v>
      </c>
    </row>
    <row r="641" spans="2:3" x14ac:dyDescent="0.25">
      <c r="B641" s="141">
        <v>43117</v>
      </c>
      <c r="C641" s="128">
        <v>35081.82</v>
      </c>
    </row>
    <row r="642" spans="2:3" x14ac:dyDescent="0.25">
      <c r="B642" s="141">
        <v>43118</v>
      </c>
      <c r="C642" s="128">
        <v>35260.29</v>
      </c>
    </row>
    <row r="643" spans="2:3" x14ac:dyDescent="0.25">
      <c r="B643" s="141">
        <v>43119</v>
      </c>
      <c r="C643" s="128">
        <v>35511.58</v>
      </c>
    </row>
    <row r="644" spans="2:3" x14ac:dyDescent="0.25">
      <c r="B644" s="141">
        <v>43122</v>
      </c>
      <c r="C644" s="128">
        <v>35798.01</v>
      </c>
    </row>
    <row r="645" spans="2:3" x14ac:dyDescent="0.25">
      <c r="B645" s="141">
        <v>43123</v>
      </c>
      <c r="C645" s="128">
        <v>36139.980000000003</v>
      </c>
    </row>
    <row r="646" spans="2:3" x14ac:dyDescent="0.25">
      <c r="B646" s="141">
        <v>43124</v>
      </c>
      <c r="C646" s="128">
        <v>36161.64</v>
      </c>
    </row>
    <row r="647" spans="2:3" x14ac:dyDescent="0.25">
      <c r="B647" s="141">
        <v>43125</v>
      </c>
      <c r="C647" s="128">
        <v>36050.44</v>
      </c>
    </row>
    <row r="648" spans="2:3" x14ac:dyDescent="0.25">
      <c r="B648" s="141">
        <v>43129</v>
      </c>
      <c r="C648" s="128">
        <v>36283.25</v>
      </c>
    </row>
    <row r="649" spans="2:3" x14ac:dyDescent="0.25">
      <c r="B649" s="141">
        <v>43130</v>
      </c>
      <c r="C649" s="128">
        <v>36033.730000000003</v>
      </c>
    </row>
    <row r="650" spans="2:3" x14ac:dyDescent="0.25">
      <c r="B650" s="141">
        <v>43131</v>
      </c>
      <c r="C650" s="128">
        <v>35965.019999999997</v>
      </c>
    </row>
    <row r="651" spans="2:3" x14ac:dyDescent="0.25">
      <c r="B651" s="141">
        <v>43132</v>
      </c>
      <c r="C651" s="128">
        <v>35906.660000000003</v>
      </c>
    </row>
    <row r="652" spans="2:3" x14ac:dyDescent="0.25">
      <c r="B652" s="141">
        <v>43133</v>
      </c>
      <c r="C652" s="128">
        <v>35066.75</v>
      </c>
    </row>
    <row r="653" spans="2:3" x14ac:dyDescent="0.25">
      <c r="B653" s="141">
        <v>43136</v>
      </c>
      <c r="C653" s="128">
        <v>34757.160000000003</v>
      </c>
    </row>
    <row r="654" spans="2:3" x14ac:dyDescent="0.25">
      <c r="B654" s="141">
        <v>43137</v>
      </c>
      <c r="C654" s="128">
        <v>34195.94</v>
      </c>
    </row>
    <row r="655" spans="2:3" x14ac:dyDescent="0.25">
      <c r="B655" s="141">
        <v>43138</v>
      </c>
      <c r="C655" s="128">
        <v>34082.71</v>
      </c>
    </row>
    <row r="656" spans="2:3" x14ac:dyDescent="0.25">
      <c r="B656" s="141">
        <v>43139</v>
      </c>
      <c r="C656" s="128">
        <v>34413.160000000003</v>
      </c>
    </row>
    <row r="657" spans="2:3" x14ac:dyDescent="0.25">
      <c r="B657" s="141">
        <v>43140</v>
      </c>
      <c r="C657" s="128">
        <v>34005.760000000002</v>
      </c>
    </row>
    <row r="658" spans="2:3" x14ac:dyDescent="0.25">
      <c r="B658" s="141">
        <v>43143</v>
      </c>
      <c r="C658" s="128">
        <v>34300.47</v>
      </c>
    </row>
    <row r="659" spans="2:3" x14ac:dyDescent="0.25">
      <c r="B659" s="141">
        <v>43145</v>
      </c>
      <c r="C659" s="128">
        <v>34155.949999999997</v>
      </c>
    </row>
    <row r="660" spans="2:3" x14ac:dyDescent="0.25">
      <c r="B660" s="141">
        <v>43146</v>
      </c>
      <c r="C660" s="128">
        <v>34297.47</v>
      </c>
    </row>
    <row r="661" spans="2:3" x14ac:dyDescent="0.25">
      <c r="B661" s="141">
        <v>43147</v>
      </c>
      <c r="C661" s="128">
        <v>34010.76</v>
      </c>
    </row>
    <row r="662" spans="2:3" x14ac:dyDescent="0.25">
      <c r="B662" s="141">
        <v>43150</v>
      </c>
      <c r="C662" s="128">
        <v>33774.660000000003</v>
      </c>
    </row>
    <row r="663" spans="2:3" x14ac:dyDescent="0.25">
      <c r="B663" s="141">
        <v>43151</v>
      </c>
      <c r="C663" s="128">
        <v>33703.589999999997</v>
      </c>
    </row>
    <row r="664" spans="2:3" x14ac:dyDescent="0.25">
      <c r="B664" s="141">
        <v>43152</v>
      </c>
      <c r="C664" s="128">
        <v>33844.86</v>
      </c>
    </row>
    <row r="665" spans="2:3" x14ac:dyDescent="0.25">
      <c r="B665" s="141">
        <v>43153</v>
      </c>
      <c r="C665" s="128">
        <v>33819.5</v>
      </c>
    </row>
    <row r="666" spans="2:3" x14ac:dyDescent="0.25">
      <c r="B666" s="141">
        <v>43154</v>
      </c>
      <c r="C666" s="128">
        <v>34142.15</v>
      </c>
    </row>
    <row r="667" spans="2:3" x14ac:dyDescent="0.25">
      <c r="B667" s="141">
        <v>43157</v>
      </c>
      <c r="C667" s="128">
        <v>34445.75</v>
      </c>
    </row>
    <row r="668" spans="2:3" x14ac:dyDescent="0.25">
      <c r="B668" s="141">
        <v>43158</v>
      </c>
      <c r="C668" s="128">
        <v>34346.39</v>
      </c>
    </row>
    <row r="669" spans="2:3" x14ac:dyDescent="0.25">
      <c r="B669" s="141">
        <v>43159</v>
      </c>
      <c r="C669" s="128">
        <v>34184.04</v>
      </c>
    </row>
    <row r="670" spans="2:3" x14ac:dyDescent="0.25">
      <c r="B670" s="141">
        <v>43160</v>
      </c>
      <c r="C670" s="128">
        <v>34046.94</v>
      </c>
    </row>
    <row r="671" spans="2:3" x14ac:dyDescent="0.25">
      <c r="B671" s="141">
        <v>43164</v>
      </c>
      <c r="C671" s="128">
        <v>33746.78</v>
      </c>
    </row>
    <row r="672" spans="2:3" x14ac:dyDescent="0.25">
      <c r="B672" s="141">
        <v>43165</v>
      </c>
      <c r="C672" s="128">
        <v>33317.199999999997</v>
      </c>
    </row>
    <row r="673" spans="2:3" x14ac:dyDescent="0.25">
      <c r="B673" s="141">
        <v>43166</v>
      </c>
      <c r="C673" s="128">
        <v>33033.089999999997</v>
      </c>
    </row>
    <row r="674" spans="2:3" x14ac:dyDescent="0.25">
      <c r="B674" s="141">
        <v>43167</v>
      </c>
      <c r="C674" s="128">
        <v>33351.57</v>
      </c>
    </row>
    <row r="675" spans="2:3" x14ac:dyDescent="0.25">
      <c r="B675" s="141">
        <v>43168</v>
      </c>
      <c r="C675" s="128">
        <v>33307.14</v>
      </c>
    </row>
    <row r="676" spans="2:3" x14ac:dyDescent="0.25">
      <c r="B676" s="141">
        <v>43171</v>
      </c>
      <c r="C676" s="128">
        <v>33917.94</v>
      </c>
    </row>
    <row r="677" spans="2:3" x14ac:dyDescent="0.25">
      <c r="B677" s="141">
        <v>43172</v>
      </c>
      <c r="C677" s="128">
        <v>33856.78</v>
      </c>
    </row>
    <row r="678" spans="2:3" x14ac:dyDescent="0.25">
      <c r="B678" s="141">
        <v>43173</v>
      </c>
      <c r="C678" s="128">
        <v>33835.74</v>
      </c>
    </row>
    <row r="679" spans="2:3" x14ac:dyDescent="0.25">
      <c r="B679" s="141">
        <v>43174</v>
      </c>
      <c r="C679" s="128">
        <v>33685.54</v>
      </c>
    </row>
    <row r="680" spans="2:3" x14ac:dyDescent="0.25">
      <c r="B680" s="141">
        <v>43175</v>
      </c>
      <c r="C680" s="128">
        <v>33176</v>
      </c>
    </row>
    <row r="681" spans="2:3" x14ac:dyDescent="0.25">
      <c r="B681" s="141">
        <v>43178</v>
      </c>
      <c r="C681" s="128">
        <v>32923.120000000003</v>
      </c>
    </row>
    <row r="682" spans="2:3" x14ac:dyDescent="0.25">
      <c r="B682" s="141">
        <v>43179</v>
      </c>
      <c r="C682" s="128">
        <v>32996.76</v>
      </c>
    </row>
    <row r="683" spans="2:3" x14ac:dyDescent="0.25">
      <c r="B683" s="141">
        <v>43180</v>
      </c>
      <c r="C683" s="128">
        <v>33136.18</v>
      </c>
    </row>
    <row r="684" spans="2:3" x14ac:dyDescent="0.25">
      <c r="B684" s="141">
        <v>43181</v>
      </c>
      <c r="C684" s="128">
        <v>33006.269999999997</v>
      </c>
    </row>
    <row r="685" spans="2:3" x14ac:dyDescent="0.25">
      <c r="B685" s="141">
        <v>43182</v>
      </c>
      <c r="C685" s="128">
        <v>32596.54</v>
      </c>
    </row>
    <row r="686" spans="2:3" x14ac:dyDescent="0.25">
      <c r="B686" s="141">
        <v>43185</v>
      </c>
      <c r="C686" s="128">
        <v>33066.410000000003</v>
      </c>
    </row>
    <row r="687" spans="2:3" x14ac:dyDescent="0.25">
      <c r="B687" s="141">
        <v>43186</v>
      </c>
      <c r="C687" s="128">
        <v>33174.39</v>
      </c>
    </row>
    <row r="688" spans="2:3" x14ac:dyDescent="0.25">
      <c r="B688" s="141">
        <v>43187</v>
      </c>
      <c r="C688" s="128">
        <v>32968.68</v>
      </c>
    </row>
    <row r="689" spans="2:3" x14ac:dyDescent="0.25">
      <c r="B689" s="141">
        <v>43192</v>
      </c>
      <c r="C689" s="128">
        <v>33255.360000000001</v>
      </c>
    </row>
    <row r="690" spans="2:3" x14ac:dyDescent="0.25">
      <c r="B690" s="141">
        <v>43193</v>
      </c>
      <c r="C690" s="128">
        <v>33370.629999999997</v>
      </c>
    </row>
    <row r="691" spans="2:3" x14ac:dyDescent="0.25">
      <c r="B691" s="141">
        <v>43194</v>
      </c>
      <c r="C691" s="128">
        <v>33019.07</v>
      </c>
    </row>
    <row r="692" spans="2:3" x14ac:dyDescent="0.25">
      <c r="B692" s="141">
        <v>43195</v>
      </c>
      <c r="C692" s="128">
        <v>33596.800000000003</v>
      </c>
    </row>
    <row r="693" spans="2:3" x14ac:dyDescent="0.25">
      <c r="B693" s="141">
        <v>43196</v>
      </c>
      <c r="C693" s="128">
        <v>33626.97</v>
      </c>
    </row>
    <row r="694" spans="2:3" x14ac:dyDescent="0.25">
      <c r="B694" s="141">
        <v>43199</v>
      </c>
      <c r="C694" s="128">
        <v>33788.54</v>
      </c>
    </row>
    <row r="695" spans="2:3" x14ac:dyDescent="0.25">
      <c r="B695" s="141">
        <v>43200</v>
      </c>
      <c r="C695" s="128">
        <v>33880.25</v>
      </c>
    </row>
    <row r="696" spans="2:3" x14ac:dyDescent="0.25">
      <c r="B696" s="141">
        <v>43201</v>
      </c>
      <c r="C696" s="128">
        <v>33940.44</v>
      </c>
    </row>
    <row r="697" spans="2:3" x14ac:dyDescent="0.25">
      <c r="B697" s="141">
        <v>43202</v>
      </c>
      <c r="C697" s="128">
        <v>34101.129999999997</v>
      </c>
    </row>
    <row r="698" spans="2:3" x14ac:dyDescent="0.25">
      <c r="B698" s="141">
        <v>43203</v>
      </c>
      <c r="C698" s="128">
        <v>34192.65</v>
      </c>
    </row>
    <row r="699" spans="2:3" x14ac:dyDescent="0.25">
      <c r="B699" s="141">
        <v>43206</v>
      </c>
      <c r="C699" s="128">
        <v>34305.43</v>
      </c>
    </row>
    <row r="700" spans="2:3" x14ac:dyDescent="0.25">
      <c r="B700" s="141">
        <v>43207</v>
      </c>
      <c r="C700" s="128">
        <v>34395.06</v>
      </c>
    </row>
    <row r="701" spans="2:3" x14ac:dyDescent="0.25">
      <c r="B701" s="141">
        <v>43208</v>
      </c>
      <c r="C701" s="128">
        <v>34331.68</v>
      </c>
    </row>
    <row r="702" spans="2:3" x14ac:dyDescent="0.25">
      <c r="B702" s="141">
        <v>43209</v>
      </c>
      <c r="C702" s="128">
        <v>34427.29</v>
      </c>
    </row>
    <row r="703" spans="2:3" x14ac:dyDescent="0.25">
      <c r="B703" s="141">
        <v>43210</v>
      </c>
      <c r="C703" s="128">
        <v>34415.58</v>
      </c>
    </row>
    <row r="704" spans="2:3" x14ac:dyDescent="0.25">
      <c r="B704" s="141">
        <v>43213</v>
      </c>
      <c r="C704" s="128">
        <v>34450.769999999997</v>
      </c>
    </row>
    <row r="705" spans="2:3" x14ac:dyDescent="0.25">
      <c r="B705" s="141">
        <v>43214</v>
      </c>
      <c r="C705" s="128">
        <v>34616.639999999999</v>
      </c>
    </row>
    <row r="706" spans="2:3" x14ac:dyDescent="0.25">
      <c r="B706" s="141">
        <v>43215</v>
      </c>
      <c r="C706" s="128">
        <v>34501.269999999997</v>
      </c>
    </row>
    <row r="707" spans="2:3" x14ac:dyDescent="0.25">
      <c r="B707" s="141">
        <v>43216</v>
      </c>
      <c r="C707" s="128">
        <v>34713.599999999999</v>
      </c>
    </row>
    <row r="708" spans="2:3" x14ac:dyDescent="0.25">
      <c r="B708" s="141">
        <v>43217</v>
      </c>
      <c r="C708" s="128">
        <v>34969.699999999997</v>
      </c>
    </row>
    <row r="709" spans="2:3" x14ac:dyDescent="0.25">
      <c r="B709" s="141">
        <v>43220</v>
      </c>
      <c r="C709" s="128">
        <v>35160.36</v>
      </c>
    </row>
    <row r="710" spans="2:3" x14ac:dyDescent="0.25">
      <c r="B710" s="141">
        <v>43222</v>
      </c>
      <c r="C710" s="128">
        <v>35176.42</v>
      </c>
    </row>
    <row r="711" spans="2:3" x14ac:dyDescent="0.25">
      <c r="B711" s="141">
        <v>43223</v>
      </c>
      <c r="C711" s="128">
        <v>35103.14</v>
      </c>
    </row>
    <row r="712" spans="2:3" x14ac:dyDescent="0.25">
      <c r="B712" s="141">
        <v>43224</v>
      </c>
      <c r="C712" s="128">
        <v>34915.379999999997</v>
      </c>
    </row>
    <row r="713" spans="2:3" x14ac:dyDescent="0.25">
      <c r="B713" s="141">
        <v>43227</v>
      </c>
      <c r="C713" s="128">
        <v>35208.14</v>
      </c>
    </row>
    <row r="714" spans="2:3" x14ac:dyDescent="0.25">
      <c r="B714" s="141">
        <v>43228</v>
      </c>
      <c r="C714" s="128">
        <v>35216.32</v>
      </c>
    </row>
    <row r="715" spans="2:3" x14ac:dyDescent="0.25">
      <c r="B715" s="141">
        <v>43229</v>
      </c>
      <c r="C715" s="128">
        <v>35319.35</v>
      </c>
    </row>
    <row r="716" spans="2:3" x14ac:dyDescent="0.25">
      <c r="B716" s="141">
        <v>43230</v>
      </c>
      <c r="C716" s="128">
        <v>35246.269999999997</v>
      </c>
    </row>
    <row r="717" spans="2:3" x14ac:dyDescent="0.25">
      <c r="B717" s="141">
        <v>43231</v>
      </c>
      <c r="C717" s="128">
        <v>35535.79</v>
      </c>
    </row>
    <row r="718" spans="2:3" x14ac:dyDescent="0.25">
      <c r="B718" s="141">
        <v>43234</v>
      </c>
      <c r="C718" s="128">
        <v>35556.71</v>
      </c>
    </row>
    <row r="719" spans="2:3" x14ac:dyDescent="0.25">
      <c r="B719" s="141">
        <v>43235</v>
      </c>
      <c r="C719" s="128">
        <v>35543.94</v>
      </c>
    </row>
    <row r="720" spans="2:3" x14ac:dyDescent="0.25">
      <c r="B720" s="141">
        <v>43236</v>
      </c>
      <c r="C720" s="128">
        <v>35387.879999999997</v>
      </c>
    </row>
    <row r="721" spans="2:3" x14ac:dyDescent="0.25">
      <c r="B721" s="141">
        <v>43237</v>
      </c>
      <c r="C721" s="128">
        <v>35149.120000000003</v>
      </c>
    </row>
    <row r="722" spans="2:3" x14ac:dyDescent="0.25">
      <c r="B722" s="141">
        <v>43238</v>
      </c>
      <c r="C722" s="128">
        <v>34848.300000000003</v>
      </c>
    </row>
    <row r="723" spans="2:3" x14ac:dyDescent="0.25">
      <c r="B723" s="141">
        <v>43241</v>
      </c>
      <c r="C723" s="128">
        <v>34616.129999999997</v>
      </c>
    </row>
    <row r="724" spans="2:3" x14ac:dyDescent="0.25">
      <c r="B724" s="141">
        <v>43242</v>
      </c>
      <c r="C724" s="128">
        <v>34651.24</v>
      </c>
    </row>
    <row r="725" spans="2:3" x14ac:dyDescent="0.25">
      <c r="B725" s="141">
        <v>43243</v>
      </c>
      <c r="C725" s="128">
        <v>34344.910000000003</v>
      </c>
    </row>
    <row r="726" spans="2:3" x14ac:dyDescent="0.25">
      <c r="B726" s="141">
        <v>43244</v>
      </c>
      <c r="C726" s="128">
        <v>34663.11</v>
      </c>
    </row>
    <row r="727" spans="2:3" x14ac:dyDescent="0.25">
      <c r="B727" s="141">
        <v>43245</v>
      </c>
      <c r="C727" s="128">
        <v>34924.870000000003</v>
      </c>
    </row>
    <row r="728" spans="2:3" x14ac:dyDescent="0.25">
      <c r="B728" s="141">
        <v>43248</v>
      </c>
      <c r="C728" s="128">
        <v>35165.480000000003</v>
      </c>
    </row>
    <row r="729" spans="2:3" x14ac:dyDescent="0.25">
      <c r="B729" s="141">
        <v>43249</v>
      </c>
      <c r="C729" s="128">
        <v>34949.24</v>
      </c>
    </row>
    <row r="730" spans="2:3" x14ac:dyDescent="0.25">
      <c r="B730" s="141">
        <v>43250</v>
      </c>
      <c r="C730" s="128">
        <v>34906.11</v>
      </c>
    </row>
    <row r="731" spans="2:3" x14ac:dyDescent="0.25">
      <c r="B731" s="141">
        <v>43251</v>
      </c>
      <c r="C731" s="128">
        <v>35322.379999999997</v>
      </c>
    </row>
    <row r="732" spans="2:3" x14ac:dyDescent="0.25">
      <c r="B732" s="141">
        <v>43252</v>
      </c>
      <c r="C732" s="128">
        <v>35227.26</v>
      </c>
    </row>
    <row r="733" spans="2:3" x14ac:dyDescent="0.25">
      <c r="B733" s="141">
        <v>43255</v>
      </c>
      <c r="C733" s="128">
        <v>35011.89</v>
      </c>
    </row>
    <row r="734" spans="2:3" x14ac:dyDescent="0.25">
      <c r="B734" s="141">
        <v>43256</v>
      </c>
      <c r="C734" s="128">
        <v>34903.21</v>
      </c>
    </row>
    <row r="735" spans="2:3" x14ac:dyDescent="0.25">
      <c r="B735" s="141">
        <v>43257</v>
      </c>
      <c r="C735" s="128">
        <v>35178.879999999997</v>
      </c>
    </row>
    <row r="736" spans="2:3" x14ac:dyDescent="0.25">
      <c r="B736" s="141">
        <v>43258</v>
      </c>
      <c r="C736" s="128">
        <v>35463.08</v>
      </c>
    </row>
    <row r="737" spans="2:3" x14ac:dyDescent="0.25">
      <c r="B737" s="141">
        <v>43259</v>
      </c>
      <c r="C737" s="128">
        <v>35443.67</v>
      </c>
    </row>
    <row r="738" spans="2:3" x14ac:dyDescent="0.25">
      <c r="B738" s="141">
        <v>43262</v>
      </c>
      <c r="C738" s="128">
        <v>35483.47</v>
      </c>
    </row>
    <row r="739" spans="2:3" x14ac:dyDescent="0.25">
      <c r="B739" s="141">
        <v>43263</v>
      </c>
      <c r="C739" s="128">
        <v>35692.519999999997</v>
      </c>
    </row>
    <row r="740" spans="2:3" x14ac:dyDescent="0.25">
      <c r="B740" s="141">
        <v>43264</v>
      </c>
      <c r="C740" s="128">
        <v>35739.160000000003</v>
      </c>
    </row>
    <row r="741" spans="2:3" x14ac:dyDescent="0.25">
      <c r="B741" s="141">
        <v>43265</v>
      </c>
      <c r="C741" s="128">
        <v>35599.82</v>
      </c>
    </row>
    <row r="742" spans="2:3" x14ac:dyDescent="0.25">
      <c r="B742" s="141">
        <v>43266</v>
      </c>
      <c r="C742" s="128">
        <v>35622.14</v>
      </c>
    </row>
    <row r="743" spans="2:3" x14ac:dyDescent="0.25">
      <c r="B743" s="141">
        <v>43269</v>
      </c>
      <c r="C743" s="128">
        <v>35548.26</v>
      </c>
    </row>
    <row r="744" spans="2:3" x14ac:dyDescent="0.25">
      <c r="B744" s="141">
        <v>43270</v>
      </c>
      <c r="C744" s="128">
        <v>35286.74</v>
      </c>
    </row>
    <row r="745" spans="2:3" x14ac:dyDescent="0.25">
      <c r="B745" s="141">
        <v>43271</v>
      </c>
      <c r="C745" s="128">
        <v>35547.33</v>
      </c>
    </row>
    <row r="746" spans="2:3" x14ac:dyDescent="0.25">
      <c r="B746" s="141">
        <v>43272</v>
      </c>
      <c r="C746" s="128">
        <v>35432.39</v>
      </c>
    </row>
    <row r="747" spans="2:3" x14ac:dyDescent="0.25">
      <c r="B747" s="141">
        <v>43273</v>
      </c>
      <c r="C747" s="128">
        <v>35689.599999999999</v>
      </c>
    </row>
    <row r="748" spans="2:3" x14ac:dyDescent="0.25">
      <c r="B748" s="141">
        <v>43276</v>
      </c>
      <c r="C748" s="128">
        <v>35470.35</v>
      </c>
    </row>
    <row r="749" spans="2:3" x14ac:dyDescent="0.25">
      <c r="B749" s="141">
        <v>43277</v>
      </c>
      <c r="C749" s="128">
        <v>35490.04</v>
      </c>
    </row>
    <row r="750" spans="2:3" x14ac:dyDescent="0.25">
      <c r="B750" s="141">
        <v>43278</v>
      </c>
      <c r="C750" s="128">
        <v>35217.11</v>
      </c>
    </row>
    <row r="751" spans="2:3" x14ac:dyDescent="0.25">
      <c r="B751" s="141">
        <v>43279</v>
      </c>
      <c r="C751" s="128">
        <v>35037.64</v>
      </c>
    </row>
    <row r="752" spans="2:3" x14ac:dyDescent="0.25">
      <c r="B752" s="141">
        <v>43280</v>
      </c>
      <c r="C752" s="128">
        <v>35423.480000000003</v>
      </c>
    </row>
    <row r="753" spans="2:3" x14ac:dyDescent="0.25">
      <c r="B753" s="141">
        <v>43283</v>
      </c>
      <c r="C753" s="128">
        <v>35264.410000000003</v>
      </c>
    </row>
    <row r="754" spans="2:3" x14ac:dyDescent="0.25">
      <c r="B754" s="141">
        <v>43284</v>
      </c>
      <c r="C754" s="128">
        <v>35378.6</v>
      </c>
    </row>
    <row r="755" spans="2:3" x14ac:dyDescent="0.25">
      <c r="B755" s="141">
        <v>43285</v>
      </c>
      <c r="C755" s="128">
        <v>35645.4</v>
      </c>
    </row>
    <row r="756" spans="2:3" x14ac:dyDescent="0.25">
      <c r="B756" s="141">
        <v>43286</v>
      </c>
      <c r="C756" s="128">
        <v>35574.550000000003</v>
      </c>
    </row>
    <row r="757" spans="2:3" x14ac:dyDescent="0.25">
      <c r="B757" s="141">
        <v>43287</v>
      </c>
      <c r="C757" s="128">
        <v>35657.86</v>
      </c>
    </row>
    <row r="758" spans="2:3" x14ac:dyDescent="0.25">
      <c r="B758" s="141">
        <v>43290</v>
      </c>
      <c r="C758" s="128">
        <v>35934.720000000001</v>
      </c>
    </row>
    <row r="759" spans="2:3" x14ac:dyDescent="0.25">
      <c r="B759" s="141">
        <v>43291</v>
      </c>
      <c r="C759" s="128">
        <v>36239.620000000003</v>
      </c>
    </row>
    <row r="760" spans="2:3" x14ac:dyDescent="0.25">
      <c r="B760" s="141">
        <v>43292</v>
      </c>
      <c r="C760" s="128">
        <v>36265.93</v>
      </c>
    </row>
    <row r="761" spans="2:3" x14ac:dyDescent="0.25">
      <c r="B761" s="141">
        <v>43293</v>
      </c>
      <c r="C761" s="128">
        <v>36548.410000000003</v>
      </c>
    </row>
    <row r="762" spans="2:3" x14ac:dyDescent="0.25">
      <c r="B762" s="141">
        <v>43294</v>
      </c>
      <c r="C762" s="128">
        <v>36541.629999999997</v>
      </c>
    </row>
    <row r="763" spans="2:3" x14ac:dyDescent="0.25">
      <c r="B763" s="141">
        <v>43297</v>
      </c>
      <c r="C763" s="128">
        <v>36323.769999999997</v>
      </c>
    </row>
    <row r="764" spans="2:3" x14ac:dyDescent="0.25">
      <c r="B764" s="141">
        <v>43298</v>
      </c>
      <c r="C764" s="128">
        <v>36519.96</v>
      </c>
    </row>
    <row r="765" spans="2:3" x14ac:dyDescent="0.25">
      <c r="B765" s="141">
        <v>43299</v>
      </c>
      <c r="C765" s="128">
        <v>36373.440000000002</v>
      </c>
    </row>
    <row r="766" spans="2:3" x14ac:dyDescent="0.25">
      <c r="B766" s="141">
        <v>43300</v>
      </c>
      <c r="C766" s="128">
        <v>36351.230000000003</v>
      </c>
    </row>
    <row r="767" spans="2:3" x14ac:dyDescent="0.25">
      <c r="B767" s="141">
        <v>43301</v>
      </c>
      <c r="C767" s="128">
        <v>36496.370000000003</v>
      </c>
    </row>
    <row r="768" spans="2:3" x14ac:dyDescent="0.25">
      <c r="B768" s="141">
        <v>43304</v>
      </c>
      <c r="C768" s="128">
        <v>36718.6</v>
      </c>
    </row>
    <row r="769" spans="2:3" x14ac:dyDescent="0.25">
      <c r="B769" s="141">
        <v>43305</v>
      </c>
      <c r="C769" s="128">
        <v>36825.1</v>
      </c>
    </row>
    <row r="770" spans="2:3" x14ac:dyDescent="0.25">
      <c r="B770" s="141">
        <v>43306</v>
      </c>
      <c r="C770" s="128">
        <v>36858.230000000003</v>
      </c>
    </row>
    <row r="771" spans="2:3" x14ac:dyDescent="0.25">
      <c r="B771" s="141">
        <v>43307</v>
      </c>
      <c r="C771" s="128">
        <v>36984.639999999999</v>
      </c>
    </row>
    <row r="772" spans="2:3" x14ac:dyDescent="0.25">
      <c r="B772" s="141">
        <v>43308</v>
      </c>
      <c r="C772" s="128">
        <v>37336.85</v>
      </c>
    </row>
    <row r="773" spans="2:3" x14ac:dyDescent="0.25">
      <c r="B773" s="141">
        <v>43311</v>
      </c>
      <c r="C773" s="128">
        <v>37494.400000000001</v>
      </c>
    </row>
    <row r="774" spans="2:3" x14ac:dyDescent="0.25">
      <c r="B774" s="141">
        <v>43312</v>
      </c>
      <c r="C774" s="128">
        <v>37606.58</v>
      </c>
    </row>
    <row r="775" spans="2:3" x14ac:dyDescent="0.25">
      <c r="B775" s="141">
        <v>43313</v>
      </c>
      <c r="C775" s="128">
        <v>37521.620000000003</v>
      </c>
    </row>
    <row r="776" spans="2:3" x14ac:dyDescent="0.25">
      <c r="B776" s="141">
        <v>43314</v>
      </c>
      <c r="C776" s="128">
        <v>37165.160000000003</v>
      </c>
    </row>
    <row r="777" spans="2:3" x14ac:dyDescent="0.25">
      <c r="B777" s="141">
        <v>43315</v>
      </c>
      <c r="C777" s="128">
        <v>37556.160000000003</v>
      </c>
    </row>
    <row r="778" spans="2:3" x14ac:dyDescent="0.25">
      <c r="B778" s="141">
        <v>43318</v>
      </c>
      <c r="C778" s="128">
        <v>37691.89</v>
      </c>
    </row>
    <row r="779" spans="2:3" x14ac:dyDescent="0.25">
      <c r="B779" s="141">
        <v>43319</v>
      </c>
      <c r="C779" s="128">
        <v>37665.800000000003</v>
      </c>
    </row>
    <row r="780" spans="2:3" x14ac:dyDescent="0.25">
      <c r="B780" s="141">
        <v>43320</v>
      </c>
      <c r="C780" s="128">
        <v>37887.56</v>
      </c>
    </row>
    <row r="781" spans="2:3" x14ac:dyDescent="0.25">
      <c r="B781" s="141">
        <v>43321</v>
      </c>
      <c r="C781" s="128">
        <v>38024.370000000003</v>
      </c>
    </row>
    <row r="782" spans="2:3" x14ac:dyDescent="0.25">
      <c r="B782" s="141">
        <v>43322</v>
      </c>
      <c r="C782" s="128">
        <v>37869.230000000003</v>
      </c>
    </row>
    <row r="783" spans="2:3" x14ac:dyDescent="0.25">
      <c r="B783" s="141">
        <v>43325</v>
      </c>
      <c r="C783" s="128">
        <v>37644.9</v>
      </c>
    </row>
    <row r="784" spans="2:3" x14ac:dyDescent="0.25">
      <c r="B784" s="141">
        <v>43326</v>
      </c>
      <c r="C784" s="128">
        <v>37852</v>
      </c>
    </row>
    <row r="785" spans="2:3" x14ac:dyDescent="0.25">
      <c r="B785" s="141">
        <v>43328</v>
      </c>
      <c r="C785" s="128">
        <v>37663.56</v>
      </c>
    </row>
    <row r="786" spans="2:3" x14ac:dyDescent="0.25">
      <c r="B786" s="141">
        <v>43329</v>
      </c>
      <c r="C786" s="128">
        <v>37947.879999999997</v>
      </c>
    </row>
    <row r="787" spans="2:3" x14ac:dyDescent="0.25">
      <c r="B787" s="141">
        <v>43332</v>
      </c>
      <c r="C787" s="128">
        <v>38278.75</v>
      </c>
    </row>
    <row r="788" spans="2:3" x14ac:dyDescent="0.25">
      <c r="B788" s="141">
        <v>43333</v>
      </c>
      <c r="C788" s="128">
        <v>38285.75</v>
      </c>
    </row>
    <row r="789" spans="2:3" x14ac:dyDescent="0.25">
      <c r="B789" s="141">
        <v>43335</v>
      </c>
      <c r="C789" s="128">
        <v>38336.76</v>
      </c>
    </row>
    <row r="790" spans="2:3" x14ac:dyDescent="0.25">
      <c r="B790" s="141">
        <v>43336</v>
      </c>
      <c r="C790" s="128">
        <v>38251.800000000003</v>
      </c>
    </row>
    <row r="791" spans="2:3" x14ac:dyDescent="0.25">
      <c r="B791" s="141">
        <v>43339</v>
      </c>
      <c r="C791" s="128">
        <v>38694.11</v>
      </c>
    </row>
    <row r="792" spans="2:3" x14ac:dyDescent="0.25">
      <c r="B792" s="141">
        <v>43340</v>
      </c>
      <c r="C792" s="128">
        <v>38896.629999999997</v>
      </c>
    </row>
    <row r="793" spans="2:3" x14ac:dyDescent="0.25">
      <c r="B793" s="141">
        <v>43341</v>
      </c>
      <c r="C793" s="128">
        <v>38722.93</v>
      </c>
    </row>
    <row r="794" spans="2:3" x14ac:dyDescent="0.25">
      <c r="B794" s="141">
        <v>43342</v>
      </c>
      <c r="C794" s="128">
        <v>38690.1</v>
      </c>
    </row>
    <row r="795" spans="2:3" x14ac:dyDescent="0.25">
      <c r="B795" s="141">
        <v>43343</v>
      </c>
      <c r="C795" s="128">
        <v>38645.07</v>
      </c>
    </row>
    <row r="796" spans="2:3" x14ac:dyDescent="0.25">
      <c r="B796" s="141">
        <v>43346</v>
      </c>
      <c r="C796" s="128">
        <v>38312.519999999997</v>
      </c>
    </row>
    <row r="797" spans="2:3" x14ac:dyDescent="0.25">
      <c r="B797" s="141">
        <v>43347</v>
      </c>
      <c r="C797" s="128">
        <v>38157.919999999998</v>
      </c>
    </row>
    <row r="798" spans="2:3" x14ac:dyDescent="0.25">
      <c r="B798" s="141">
        <v>43348</v>
      </c>
      <c r="C798" s="128">
        <v>38018.31</v>
      </c>
    </row>
    <row r="799" spans="2:3" x14ac:dyDescent="0.25">
      <c r="B799" s="141">
        <v>43349</v>
      </c>
      <c r="C799" s="128">
        <v>38242.81</v>
      </c>
    </row>
    <row r="800" spans="2:3" x14ac:dyDescent="0.25">
      <c r="B800" s="141">
        <v>43350</v>
      </c>
      <c r="C800" s="128">
        <v>38389.82</v>
      </c>
    </row>
    <row r="801" spans="2:3" x14ac:dyDescent="0.25">
      <c r="B801" s="141">
        <v>43353</v>
      </c>
      <c r="C801" s="128">
        <v>37922.17</v>
      </c>
    </row>
    <row r="802" spans="2:3" x14ac:dyDescent="0.25">
      <c r="B802" s="141">
        <v>43354</v>
      </c>
      <c r="C802" s="128">
        <v>37413.129999999997</v>
      </c>
    </row>
    <row r="803" spans="2:3" x14ac:dyDescent="0.25">
      <c r="B803" s="141">
        <v>43355</v>
      </c>
      <c r="C803" s="128">
        <v>37717.96</v>
      </c>
    </row>
    <row r="804" spans="2:3" x14ac:dyDescent="0.25">
      <c r="B804" s="141">
        <v>43357</v>
      </c>
      <c r="C804" s="128">
        <v>38090.639999999999</v>
      </c>
    </row>
    <row r="805" spans="2:3" x14ac:dyDescent="0.25">
      <c r="B805" s="141">
        <v>43360</v>
      </c>
      <c r="C805" s="128">
        <v>37585.51</v>
      </c>
    </row>
    <row r="806" spans="2:3" x14ac:dyDescent="0.25">
      <c r="B806" s="141">
        <v>43361</v>
      </c>
      <c r="C806" s="128">
        <v>37290.67</v>
      </c>
    </row>
    <row r="807" spans="2:3" x14ac:dyDescent="0.25">
      <c r="B807" s="141">
        <v>43362</v>
      </c>
      <c r="C807" s="128">
        <v>37121.22</v>
      </c>
    </row>
    <row r="808" spans="2:3" x14ac:dyDescent="0.25">
      <c r="B808" s="141">
        <v>43364</v>
      </c>
      <c r="C808" s="128">
        <v>36841.599999999999</v>
      </c>
    </row>
    <row r="809" spans="2:3" x14ac:dyDescent="0.25">
      <c r="B809" s="141">
        <v>43367</v>
      </c>
      <c r="C809" s="128">
        <v>36305.019999999997</v>
      </c>
    </row>
    <row r="810" spans="2:3" x14ac:dyDescent="0.25">
      <c r="B810" s="141">
        <v>43368</v>
      </c>
      <c r="C810" s="128">
        <v>36652.06</v>
      </c>
    </row>
    <row r="811" spans="2:3" x14ac:dyDescent="0.25">
      <c r="B811" s="141">
        <v>43369</v>
      </c>
      <c r="C811" s="128">
        <v>36542.269999999997</v>
      </c>
    </row>
    <row r="812" spans="2:3" x14ac:dyDescent="0.25">
      <c r="B812" s="141">
        <v>43370</v>
      </c>
      <c r="C812" s="128">
        <v>36324.17</v>
      </c>
    </row>
    <row r="813" spans="2:3" x14ac:dyDescent="0.25">
      <c r="B813" s="141">
        <v>43371</v>
      </c>
      <c r="C813" s="128">
        <v>36227.14</v>
      </c>
    </row>
    <row r="814" spans="2:3" x14ac:dyDescent="0.25">
      <c r="B814" s="141">
        <v>43374</v>
      </c>
      <c r="C814" s="128">
        <v>36526.14</v>
      </c>
    </row>
    <row r="815" spans="2:3" x14ac:dyDescent="0.25">
      <c r="B815" s="141">
        <v>43376</v>
      </c>
      <c r="C815" s="128">
        <v>35975.629999999997</v>
      </c>
    </row>
    <row r="816" spans="2:3" x14ac:dyDescent="0.25">
      <c r="B816" s="141">
        <v>43377</v>
      </c>
      <c r="C816" s="128">
        <v>35169.160000000003</v>
      </c>
    </row>
    <row r="817" spans="2:3" x14ac:dyDescent="0.25">
      <c r="B817" s="141">
        <v>43378</v>
      </c>
      <c r="C817" s="128">
        <v>34376.99</v>
      </c>
    </row>
    <row r="818" spans="2:3" x14ac:dyDescent="0.25">
      <c r="B818" s="141">
        <v>43381</v>
      </c>
      <c r="C818" s="128">
        <v>34474.379999999997</v>
      </c>
    </row>
    <row r="819" spans="2:3" x14ac:dyDescent="0.25">
      <c r="B819" s="141">
        <v>43382</v>
      </c>
      <c r="C819" s="128">
        <v>34299.47</v>
      </c>
    </row>
    <row r="820" spans="2:3" x14ac:dyDescent="0.25">
      <c r="B820" s="141">
        <v>43383</v>
      </c>
      <c r="C820" s="128">
        <v>34760.89</v>
      </c>
    </row>
    <row r="821" spans="2:3" x14ac:dyDescent="0.25">
      <c r="B821" s="141">
        <v>43384</v>
      </c>
      <c r="C821" s="128">
        <v>34001.15</v>
      </c>
    </row>
    <row r="822" spans="2:3" x14ac:dyDescent="0.25">
      <c r="B822" s="141">
        <v>43385</v>
      </c>
      <c r="C822" s="128">
        <v>34733.58</v>
      </c>
    </row>
    <row r="823" spans="2:3" x14ac:dyDescent="0.25">
      <c r="B823" s="141">
        <v>43388</v>
      </c>
      <c r="C823" s="128">
        <v>34865.1</v>
      </c>
    </row>
    <row r="824" spans="2:3" x14ac:dyDescent="0.25">
      <c r="B824" s="141">
        <v>43389</v>
      </c>
      <c r="C824" s="128">
        <v>35162.480000000003</v>
      </c>
    </row>
    <row r="825" spans="2:3" x14ac:dyDescent="0.25">
      <c r="B825" s="141">
        <v>43390</v>
      </c>
      <c r="C825" s="128">
        <v>34779.58</v>
      </c>
    </row>
    <row r="826" spans="2:3" x14ac:dyDescent="0.25">
      <c r="B826" s="141">
        <v>43392</v>
      </c>
      <c r="C826" s="128">
        <v>34315.629999999997</v>
      </c>
    </row>
    <row r="827" spans="2:3" x14ac:dyDescent="0.25">
      <c r="B827" s="141">
        <v>43395</v>
      </c>
      <c r="C827" s="128">
        <v>34134.379999999997</v>
      </c>
    </row>
    <row r="828" spans="2:3" x14ac:dyDescent="0.25">
      <c r="B828" s="141">
        <v>43396</v>
      </c>
      <c r="C828" s="128">
        <v>33847.230000000003</v>
      </c>
    </row>
    <row r="829" spans="2:3" x14ac:dyDescent="0.25">
      <c r="B829" s="141">
        <v>43397</v>
      </c>
      <c r="C829" s="128">
        <v>34033.96</v>
      </c>
    </row>
    <row r="830" spans="2:3" x14ac:dyDescent="0.25">
      <c r="B830" s="141">
        <v>43398</v>
      </c>
      <c r="C830" s="128">
        <v>33690.089999999997</v>
      </c>
    </row>
    <row r="831" spans="2:3" x14ac:dyDescent="0.25">
      <c r="B831" s="141">
        <v>43399</v>
      </c>
      <c r="C831" s="128">
        <v>33349.31</v>
      </c>
    </row>
    <row r="832" spans="2:3" x14ac:dyDescent="0.25">
      <c r="B832" s="141">
        <v>43402</v>
      </c>
      <c r="C832" s="128">
        <v>34067.4</v>
      </c>
    </row>
    <row r="833" spans="2:3" x14ac:dyDescent="0.25">
      <c r="B833" s="141">
        <v>43403</v>
      </c>
      <c r="C833" s="128">
        <v>33891.129999999997</v>
      </c>
    </row>
    <row r="834" spans="2:3" x14ac:dyDescent="0.25">
      <c r="B834" s="141">
        <v>43404</v>
      </c>
      <c r="C834" s="128">
        <v>34442.050000000003</v>
      </c>
    </row>
    <row r="835" spans="2:3" x14ac:dyDescent="0.25">
      <c r="B835" s="141">
        <v>43405</v>
      </c>
      <c r="C835" s="128">
        <v>34431.97</v>
      </c>
    </row>
    <row r="836" spans="2:3" x14ac:dyDescent="0.25">
      <c r="B836" s="141">
        <v>43406</v>
      </c>
      <c r="C836" s="128">
        <v>35011.65</v>
      </c>
    </row>
    <row r="837" spans="2:3" x14ac:dyDescent="0.25">
      <c r="B837" s="141">
        <v>43409</v>
      </c>
      <c r="C837" s="128">
        <v>34950.92</v>
      </c>
    </row>
    <row r="838" spans="2:3" x14ac:dyDescent="0.25">
      <c r="B838" s="141">
        <v>43410</v>
      </c>
      <c r="C838" s="128">
        <v>34991.910000000003</v>
      </c>
    </row>
    <row r="839" spans="2:3" x14ac:dyDescent="0.25">
      <c r="B839" s="141">
        <v>43411</v>
      </c>
      <c r="C839" s="128">
        <v>35237.68</v>
      </c>
    </row>
    <row r="840" spans="2:3" x14ac:dyDescent="0.25">
      <c r="B840" s="141">
        <v>43413</v>
      </c>
      <c r="C840" s="128">
        <v>35158.550000000003</v>
      </c>
    </row>
    <row r="841" spans="2:3" x14ac:dyDescent="0.25">
      <c r="B841" s="141">
        <v>43416</v>
      </c>
      <c r="C841" s="128">
        <v>34812.99</v>
      </c>
    </row>
    <row r="842" spans="2:3" x14ac:dyDescent="0.25">
      <c r="B842" s="141">
        <v>43417</v>
      </c>
      <c r="C842" s="128">
        <v>35144.49</v>
      </c>
    </row>
    <row r="843" spans="2:3" x14ac:dyDescent="0.25">
      <c r="B843" s="141">
        <v>43418</v>
      </c>
      <c r="C843" s="128">
        <v>35141.99</v>
      </c>
    </row>
    <row r="844" spans="2:3" x14ac:dyDescent="0.25">
      <c r="B844" s="141">
        <v>43419</v>
      </c>
      <c r="C844" s="128">
        <v>35260.54</v>
      </c>
    </row>
    <row r="845" spans="2:3" x14ac:dyDescent="0.25">
      <c r="B845" s="141">
        <v>43420</v>
      </c>
      <c r="C845" s="128">
        <v>35457.160000000003</v>
      </c>
    </row>
    <row r="846" spans="2:3" x14ac:dyDescent="0.25">
      <c r="B846" s="141">
        <v>43423</v>
      </c>
      <c r="C846" s="128">
        <v>35774.879999999997</v>
      </c>
    </row>
    <row r="847" spans="2:3" x14ac:dyDescent="0.25">
      <c r="B847" s="141">
        <v>43424</v>
      </c>
      <c r="C847" s="128">
        <v>35474.51</v>
      </c>
    </row>
    <row r="848" spans="2:3" x14ac:dyDescent="0.25">
      <c r="B848" s="141">
        <v>43425</v>
      </c>
      <c r="C848" s="128">
        <v>35199.800000000003</v>
      </c>
    </row>
    <row r="849" spans="2:3" x14ac:dyDescent="0.25">
      <c r="B849" s="141">
        <v>43426</v>
      </c>
      <c r="C849" s="128">
        <v>34981.019999999997</v>
      </c>
    </row>
    <row r="850" spans="2:3" x14ac:dyDescent="0.25">
      <c r="B850" s="141">
        <v>43430</v>
      </c>
      <c r="C850" s="128">
        <v>35354.080000000002</v>
      </c>
    </row>
    <row r="851" spans="2:3" x14ac:dyDescent="0.25">
      <c r="B851" s="141">
        <v>43431</v>
      </c>
      <c r="C851" s="128">
        <v>35513.14</v>
      </c>
    </row>
    <row r="852" spans="2:3" x14ac:dyDescent="0.25">
      <c r="B852" s="141">
        <v>43432</v>
      </c>
      <c r="C852" s="128">
        <v>35716.949999999997</v>
      </c>
    </row>
    <row r="853" spans="2:3" x14ac:dyDescent="0.25">
      <c r="B853" s="141">
        <v>43433</v>
      </c>
      <c r="C853" s="128">
        <v>36170.410000000003</v>
      </c>
    </row>
    <row r="854" spans="2:3" x14ac:dyDescent="0.25">
      <c r="B854" s="141">
        <v>43434</v>
      </c>
      <c r="C854" s="128">
        <v>36194.300000000003</v>
      </c>
    </row>
    <row r="855" spans="2:3" x14ac:dyDescent="0.25">
      <c r="B855" s="141">
        <v>43437</v>
      </c>
      <c r="C855" s="128">
        <v>36241</v>
      </c>
    </row>
    <row r="856" spans="2:3" x14ac:dyDescent="0.25">
      <c r="B856" s="141">
        <v>43438</v>
      </c>
      <c r="C856" s="128">
        <v>36134.31</v>
      </c>
    </row>
    <row r="857" spans="2:3" x14ac:dyDescent="0.25">
      <c r="B857" s="141">
        <v>43439</v>
      </c>
      <c r="C857" s="128">
        <v>35884.410000000003</v>
      </c>
    </row>
    <row r="858" spans="2:3" x14ac:dyDescent="0.25">
      <c r="B858" s="141">
        <v>43440</v>
      </c>
      <c r="C858" s="128">
        <v>35312.129999999997</v>
      </c>
    </row>
    <row r="859" spans="2:3" x14ac:dyDescent="0.25">
      <c r="B859" s="141">
        <v>43441</v>
      </c>
      <c r="C859" s="128">
        <v>35673.25</v>
      </c>
    </row>
    <row r="860" spans="2:3" x14ac:dyDescent="0.25">
      <c r="B860" s="141">
        <v>43444</v>
      </c>
      <c r="C860" s="128">
        <v>34959.72</v>
      </c>
    </row>
    <row r="861" spans="2:3" x14ac:dyDescent="0.25">
      <c r="B861" s="141">
        <v>43445</v>
      </c>
      <c r="C861" s="128">
        <v>35150.01</v>
      </c>
    </row>
    <row r="862" spans="2:3" x14ac:dyDescent="0.25">
      <c r="B862" s="141">
        <v>43446</v>
      </c>
      <c r="C862" s="128">
        <v>35779.07</v>
      </c>
    </row>
    <row r="863" spans="2:3" x14ac:dyDescent="0.25">
      <c r="B863" s="141">
        <v>43447</v>
      </c>
      <c r="C863" s="128">
        <v>35929.64</v>
      </c>
    </row>
    <row r="864" spans="2:3" x14ac:dyDescent="0.25">
      <c r="B864" s="141">
        <v>43448</v>
      </c>
      <c r="C864" s="128">
        <v>35962.93</v>
      </c>
    </row>
    <row r="865" spans="2:3" x14ac:dyDescent="0.25">
      <c r="B865" s="141">
        <v>43451</v>
      </c>
      <c r="C865" s="128">
        <v>36270.07</v>
      </c>
    </row>
    <row r="866" spans="2:3" x14ac:dyDescent="0.25">
      <c r="B866" s="141">
        <v>43452</v>
      </c>
      <c r="C866" s="128">
        <v>36347.08</v>
      </c>
    </row>
    <row r="867" spans="2:3" x14ac:dyDescent="0.25">
      <c r="B867" s="141">
        <v>43453</v>
      </c>
      <c r="C867" s="128">
        <v>36484.33</v>
      </c>
    </row>
    <row r="868" spans="2:3" x14ac:dyDescent="0.25">
      <c r="B868" s="141">
        <v>43454</v>
      </c>
      <c r="C868" s="128">
        <v>36431.67</v>
      </c>
    </row>
    <row r="869" spans="2:3" x14ac:dyDescent="0.25">
      <c r="B869" s="141">
        <v>43455</v>
      </c>
      <c r="C869" s="128">
        <v>35742.07</v>
      </c>
    </row>
    <row r="870" spans="2:3" x14ac:dyDescent="0.25">
      <c r="B870" s="141">
        <v>43458</v>
      </c>
      <c r="C870" s="128">
        <v>35470.15</v>
      </c>
    </row>
    <row r="871" spans="2:3" x14ac:dyDescent="0.25">
      <c r="B871" s="141">
        <v>43460</v>
      </c>
      <c r="C871" s="128">
        <v>35649.94</v>
      </c>
    </row>
    <row r="872" spans="2:3" x14ac:dyDescent="0.25">
      <c r="B872" s="141">
        <v>43461</v>
      </c>
      <c r="C872" s="128">
        <v>35807.279999999999</v>
      </c>
    </row>
    <row r="873" spans="2:3" x14ac:dyDescent="0.25">
      <c r="B873" s="141">
        <v>43462</v>
      </c>
      <c r="C873" s="128">
        <v>36076.720000000001</v>
      </c>
    </row>
    <row r="874" spans="2:3" x14ac:dyDescent="0.25">
      <c r="B874" s="141">
        <v>43465</v>
      </c>
      <c r="C874" s="128">
        <v>36068.33</v>
      </c>
    </row>
    <row r="875" spans="2:3" x14ac:dyDescent="0.25">
      <c r="B875" s="141">
        <v>43466</v>
      </c>
      <c r="C875" s="128">
        <v>36254.57</v>
      </c>
    </row>
    <row r="876" spans="2:3" x14ac:dyDescent="0.25">
      <c r="B876" s="141">
        <v>43467</v>
      </c>
      <c r="C876" s="128">
        <v>35891.519999999997</v>
      </c>
    </row>
    <row r="877" spans="2:3" x14ac:dyDescent="0.25">
      <c r="B877" s="141">
        <v>43468</v>
      </c>
      <c r="C877" s="128">
        <v>35513.71</v>
      </c>
    </row>
    <row r="878" spans="2:3" x14ac:dyDescent="0.25">
      <c r="B878" s="141">
        <v>43469</v>
      </c>
      <c r="C878" s="128">
        <v>35695.1</v>
      </c>
    </row>
    <row r="879" spans="2:3" x14ac:dyDescent="0.25">
      <c r="B879" s="141">
        <v>43472</v>
      </c>
      <c r="C879" s="128">
        <v>35850.160000000003</v>
      </c>
    </row>
    <row r="880" spans="2:3" x14ac:dyDescent="0.25">
      <c r="B880" s="141">
        <v>43473</v>
      </c>
      <c r="C880" s="128">
        <v>35980.93</v>
      </c>
    </row>
    <row r="881" spans="2:3" x14ac:dyDescent="0.25">
      <c r="B881" s="141">
        <v>43474</v>
      </c>
      <c r="C881" s="128">
        <v>36212.910000000003</v>
      </c>
    </row>
    <row r="882" spans="2:3" x14ac:dyDescent="0.25">
      <c r="B882" s="141">
        <v>43475</v>
      </c>
      <c r="C882" s="128">
        <v>36106.5</v>
      </c>
    </row>
    <row r="883" spans="2:3" x14ac:dyDescent="0.25">
      <c r="B883" s="141">
        <v>43476</v>
      </c>
      <c r="C883" s="128">
        <v>36009.839999999997</v>
      </c>
    </row>
    <row r="884" spans="2:3" x14ac:dyDescent="0.25">
      <c r="B884" s="141">
        <v>43479</v>
      </c>
      <c r="C884" s="128">
        <v>35853.56</v>
      </c>
    </row>
    <row r="885" spans="2:3" x14ac:dyDescent="0.25">
      <c r="B885" s="141">
        <v>43480</v>
      </c>
      <c r="C885" s="128">
        <v>36318.33</v>
      </c>
    </row>
    <row r="886" spans="2:3" x14ac:dyDescent="0.25">
      <c r="B886" s="141">
        <v>43481</v>
      </c>
      <c r="C886" s="128">
        <v>36321.29</v>
      </c>
    </row>
    <row r="887" spans="2:3" x14ac:dyDescent="0.25">
      <c r="B887" s="141">
        <v>43482</v>
      </c>
      <c r="C887" s="128">
        <v>36374.080000000002</v>
      </c>
    </row>
    <row r="888" spans="2:3" x14ac:dyDescent="0.25">
      <c r="B888" s="141">
        <v>43483</v>
      </c>
      <c r="C888" s="128">
        <v>36386.61</v>
      </c>
    </row>
    <row r="889" spans="2:3" x14ac:dyDescent="0.25">
      <c r="B889" s="141">
        <v>43486</v>
      </c>
      <c r="C889" s="128">
        <v>36578.959999999999</v>
      </c>
    </row>
    <row r="890" spans="2:3" x14ac:dyDescent="0.25">
      <c r="B890" s="141">
        <v>43487</v>
      </c>
      <c r="C890" s="128">
        <v>36444.639999999999</v>
      </c>
    </row>
    <row r="891" spans="2:3" x14ac:dyDescent="0.25">
      <c r="B891" s="141">
        <v>43488</v>
      </c>
      <c r="C891" s="128">
        <v>36108.47</v>
      </c>
    </row>
    <row r="892" spans="2:3" x14ac:dyDescent="0.25">
      <c r="B892" s="141">
        <v>43489</v>
      </c>
      <c r="C892" s="128">
        <v>36195.1</v>
      </c>
    </row>
    <row r="893" spans="2:3" x14ac:dyDescent="0.25">
      <c r="B893" s="141">
        <v>43490</v>
      </c>
      <c r="C893" s="128">
        <v>36025.54</v>
      </c>
    </row>
    <row r="894" spans="2:3" x14ac:dyDescent="0.25">
      <c r="B894" s="141">
        <v>43493</v>
      </c>
      <c r="C894" s="128">
        <v>35656.699999999997</v>
      </c>
    </row>
    <row r="895" spans="2:3" x14ac:dyDescent="0.25">
      <c r="B895" s="141">
        <v>43494</v>
      </c>
      <c r="C895" s="128">
        <v>35592.5</v>
      </c>
    </row>
    <row r="896" spans="2:3" x14ac:dyDescent="0.25">
      <c r="B896" s="141">
        <v>43495</v>
      </c>
      <c r="C896" s="128">
        <v>35591.25</v>
      </c>
    </row>
    <row r="897" spans="2:3" x14ac:dyDescent="0.25">
      <c r="B897" s="141">
        <v>43496</v>
      </c>
      <c r="C897" s="128">
        <v>36256.69</v>
      </c>
    </row>
    <row r="898" spans="2:3" x14ac:dyDescent="0.25">
      <c r="B898" s="141">
        <v>43497</v>
      </c>
      <c r="C898" s="128">
        <v>36469.43</v>
      </c>
    </row>
    <row r="899" spans="2:3" x14ac:dyDescent="0.25">
      <c r="B899" s="141">
        <v>43500</v>
      </c>
      <c r="C899" s="128">
        <v>36582.74</v>
      </c>
    </row>
    <row r="900" spans="2:3" x14ac:dyDescent="0.25">
      <c r="B900" s="141">
        <v>43501</v>
      </c>
      <c r="C900" s="128">
        <v>36616.81</v>
      </c>
    </row>
    <row r="901" spans="2:3" x14ac:dyDescent="0.25">
      <c r="B901" s="141">
        <v>43502</v>
      </c>
      <c r="C901" s="128">
        <v>36975.230000000003</v>
      </c>
    </row>
    <row r="902" spans="2:3" x14ac:dyDescent="0.25">
      <c r="B902" s="141">
        <v>43503</v>
      </c>
      <c r="C902" s="128">
        <v>36971.089999999997</v>
      </c>
    </row>
    <row r="903" spans="2:3" x14ac:dyDescent="0.25">
      <c r="B903" s="141">
        <v>43504</v>
      </c>
      <c r="C903" s="128">
        <v>36546.480000000003</v>
      </c>
    </row>
    <row r="904" spans="2:3" x14ac:dyDescent="0.25">
      <c r="B904" s="141">
        <v>43507</v>
      </c>
      <c r="C904" s="128">
        <v>36395.03</v>
      </c>
    </row>
    <row r="905" spans="2:3" x14ac:dyDescent="0.25">
      <c r="B905" s="141">
        <v>43508</v>
      </c>
      <c r="C905" s="128">
        <v>36153.620000000003</v>
      </c>
    </row>
    <row r="906" spans="2:3" x14ac:dyDescent="0.25">
      <c r="B906" s="141">
        <v>43509</v>
      </c>
      <c r="C906" s="128">
        <v>36034.11</v>
      </c>
    </row>
    <row r="907" spans="2:3" x14ac:dyDescent="0.25">
      <c r="B907" s="141">
        <v>43510</v>
      </c>
      <c r="C907" s="128">
        <v>35876.22</v>
      </c>
    </row>
    <row r="908" spans="2:3" x14ac:dyDescent="0.25">
      <c r="B908" s="141">
        <v>43511</v>
      </c>
      <c r="C908" s="128">
        <v>35808.949999999997</v>
      </c>
    </row>
    <row r="909" spans="2:3" x14ac:dyDescent="0.25">
      <c r="B909" s="141">
        <v>43514</v>
      </c>
      <c r="C909" s="128">
        <v>35498.44</v>
      </c>
    </row>
    <row r="910" spans="2:3" x14ac:dyDescent="0.25">
      <c r="B910" s="141">
        <v>43515</v>
      </c>
      <c r="C910" s="128">
        <v>35352.61</v>
      </c>
    </row>
    <row r="911" spans="2:3" x14ac:dyDescent="0.25">
      <c r="B911" s="141">
        <v>43516</v>
      </c>
      <c r="C911" s="128">
        <v>35756.26</v>
      </c>
    </row>
    <row r="912" spans="2:3" x14ac:dyDescent="0.25">
      <c r="B912" s="141">
        <v>43517</v>
      </c>
      <c r="C912" s="128">
        <v>35898.35</v>
      </c>
    </row>
    <row r="913" spans="2:3" x14ac:dyDescent="0.25">
      <c r="B913" s="141">
        <v>43518</v>
      </c>
      <c r="C913" s="128">
        <v>35871.480000000003</v>
      </c>
    </row>
    <row r="914" spans="2:3" x14ac:dyDescent="0.25">
      <c r="B914" s="141">
        <v>43521</v>
      </c>
      <c r="C914" s="128">
        <v>36213.379999999997</v>
      </c>
    </row>
    <row r="915" spans="2:3" x14ac:dyDescent="0.25">
      <c r="B915" s="141">
        <v>43522</v>
      </c>
      <c r="C915" s="128">
        <v>35973.71</v>
      </c>
    </row>
    <row r="916" spans="2:3" x14ac:dyDescent="0.25">
      <c r="B916" s="141">
        <v>43523</v>
      </c>
      <c r="C916" s="128">
        <v>35905.43</v>
      </c>
    </row>
    <row r="917" spans="2:3" x14ac:dyDescent="0.25">
      <c r="B917" s="141">
        <v>43524</v>
      </c>
      <c r="C917" s="128">
        <v>35867.440000000002</v>
      </c>
    </row>
    <row r="918" spans="2:3" x14ac:dyDescent="0.25">
      <c r="B918" s="141">
        <v>43525</v>
      </c>
      <c r="C918" s="128">
        <v>36063.81</v>
      </c>
    </row>
    <row r="919" spans="2:3" x14ac:dyDescent="0.25">
      <c r="B919" s="141">
        <v>43529</v>
      </c>
      <c r="C919" s="128">
        <v>36442.54</v>
      </c>
    </row>
    <row r="920" spans="2:3" x14ac:dyDescent="0.25">
      <c r="B920" s="141">
        <v>43530</v>
      </c>
      <c r="C920" s="128">
        <v>36636.1</v>
      </c>
    </row>
    <row r="921" spans="2:3" x14ac:dyDescent="0.25">
      <c r="B921" s="141">
        <v>43531</v>
      </c>
      <c r="C921" s="128">
        <v>36725.42</v>
      </c>
    </row>
    <row r="922" spans="2:3" x14ac:dyDescent="0.25">
      <c r="B922" s="141">
        <v>43532</v>
      </c>
      <c r="C922" s="128">
        <v>36671.43</v>
      </c>
    </row>
    <row r="923" spans="2:3" x14ac:dyDescent="0.25">
      <c r="B923" s="141">
        <v>43535</v>
      </c>
      <c r="C923" s="128">
        <v>37054.1</v>
      </c>
    </row>
    <row r="924" spans="2:3" x14ac:dyDescent="0.25">
      <c r="B924" s="141">
        <v>43536</v>
      </c>
      <c r="C924" s="128">
        <v>37535.660000000003</v>
      </c>
    </row>
    <row r="925" spans="2:3" x14ac:dyDescent="0.25">
      <c r="B925" s="141">
        <v>43537</v>
      </c>
      <c r="C925" s="128">
        <v>37752.17</v>
      </c>
    </row>
    <row r="926" spans="2:3" x14ac:dyDescent="0.25">
      <c r="B926" s="141">
        <v>43538</v>
      </c>
      <c r="C926" s="128">
        <v>37754.89</v>
      </c>
    </row>
    <row r="927" spans="2:3" x14ac:dyDescent="0.25">
      <c r="B927" s="141">
        <v>43539</v>
      </c>
      <c r="C927" s="128">
        <v>38024.32</v>
      </c>
    </row>
    <row r="928" spans="2:3" x14ac:dyDescent="0.25">
      <c r="B928" s="141">
        <v>43542</v>
      </c>
      <c r="C928" s="128">
        <v>38095.07</v>
      </c>
    </row>
    <row r="929" spans="2:3" x14ac:dyDescent="0.25">
      <c r="B929" s="141">
        <v>43543</v>
      </c>
      <c r="C929" s="128">
        <v>38363.47</v>
      </c>
    </row>
    <row r="930" spans="2:3" x14ac:dyDescent="0.25">
      <c r="B930" s="141">
        <v>43544</v>
      </c>
      <c r="C930" s="128">
        <v>38386.75</v>
      </c>
    </row>
    <row r="931" spans="2:3" x14ac:dyDescent="0.25">
      <c r="B931" s="141">
        <v>43546</v>
      </c>
      <c r="C931" s="128">
        <v>38164.61</v>
      </c>
    </row>
    <row r="932" spans="2:3" x14ac:dyDescent="0.25">
      <c r="B932" s="141">
        <v>43549</v>
      </c>
      <c r="C932" s="128">
        <v>37808.910000000003</v>
      </c>
    </row>
    <row r="933" spans="2:3" x14ac:dyDescent="0.25">
      <c r="B933" s="141">
        <v>43550</v>
      </c>
      <c r="C933" s="128">
        <v>38233.410000000003</v>
      </c>
    </row>
    <row r="934" spans="2:3" x14ac:dyDescent="0.25">
      <c r="B934" s="141">
        <v>43551</v>
      </c>
      <c r="C934" s="128">
        <v>38132.879999999997</v>
      </c>
    </row>
    <row r="935" spans="2:3" x14ac:dyDescent="0.25">
      <c r="B935" s="141">
        <v>43552</v>
      </c>
      <c r="C935" s="128">
        <v>38545.72</v>
      </c>
    </row>
    <row r="936" spans="2:3" x14ac:dyDescent="0.25">
      <c r="B936" s="141">
        <v>43553</v>
      </c>
      <c r="C936" s="128">
        <v>38672.910000000003</v>
      </c>
    </row>
    <row r="937" spans="2:3" x14ac:dyDescent="0.25">
      <c r="B937" s="141">
        <v>43556</v>
      </c>
      <c r="C937" s="128">
        <v>38871.870000000003</v>
      </c>
    </row>
    <row r="938" spans="2:3" x14ac:dyDescent="0.25">
      <c r="B938" s="141">
        <v>43557</v>
      </c>
      <c r="C938" s="128">
        <v>39056.65</v>
      </c>
    </row>
    <row r="939" spans="2:3" x14ac:dyDescent="0.25">
      <c r="B939" s="141">
        <v>43558</v>
      </c>
      <c r="C939" s="128">
        <v>38877.120000000003</v>
      </c>
    </row>
    <row r="940" spans="2:3" x14ac:dyDescent="0.25">
      <c r="B940" s="141">
        <v>43559</v>
      </c>
      <c r="C940" s="128">
        <v>38684.720000000001</v>
      </c>
    </row>
    <row r="941" spans="2:3" x14ac:dyDescent="0.25">
      <c r="B941" s="141">
        <v>43560</v>
      </c>
      <c r="C941" s="128">
        <v>38862.230000000003</v>
      </c>
    </row>
    <row r="942" spans="2:3" x14ac:dyDescent="0.25">
      <c r="B942" s="141">
        <v>43563</v>
      </c>
      <c r="C942" s="128">
        <v>38700.53</v>
      </c>
    </row>
    <row r="943" spans="2:3" x14ac:dyDescent="0.25">
      <c r="B943" s="141">
        <v>43564</v>
      </c>
      <c r="C943" s="128">
        <v>38939.22</v>
      </c>
    </row>
    <row r="944" spans="2:3" x14ac:dyDescent="0.25">
      <c r="B944" s="141">
        <v>43565</v>
      </c>
      <c r="C944" s="128">
        <v>38585.35</v>
      </c>
    </row>
    <row r="945" spans="2:3" x14ac:dyDescent="0.25">
      <c r="B945" s="141">
        <v>43566</v>
      </c>
      <c r="C945" s="128">
        <v>38607.01</v>
      </c>
    </row>
    <row r="946" spans="2:3" x14ac:dyDescent="0.25">
      <c r="B946" s="141">
        <v>43567</v>
      </c>
      <c r="C946" s="128">
        <v>38767.11</v>
      </c>
    </row>
    <row r="947" spans="2:3" x14ac:dyDescent="0.25">
      <c r="B947" s="141">
        <v>43570</v>
      </c>
      <c r="C947" s="128">
        <v>38905.839999999997</v>
      </c>
    </row>
    <row r="948" spans="2:3" x14ac:dyDescent="0.25">
      <c r="B948" s="141">
        <v>43571</v>
      </c>
      <c r="C948" s="128">
        <v>39275.64</v>
      </c>
    </row>
    <row r="949" spans="2:3" x14ac:dyDescent="0.25">
      <c r="B949" s="141">
        <v>43573</v>
      </c>
      <c r="C949" s="128">
        <v>39140.28</v>
      </c>
    </row>
    <row r="950" spans="2:3" x14ac:dyDescent="0.25">
      <c r="B950" s="141">
        <v>43577</v>
      </c>
      <c r="C950" s="128">
        <v>38645.18</v>
      </c>
    </row>
    <row r="951" spans="2:3" x14ac:dyDescent="0.25">
      <c r="B951" s="141">
        <v>43578</v>
      </c>
      <c r="C951" s="128">
        <v>38564.879999999997</v>
      </c>
    </row>
    <row r="952" spans="2:3" x14ac:dyDescent="0.25">
      <c r="B952" s="141">
        <v>43579</v>
      </c>
      <c r="C952" s="128">
        <v>39054.68</v>
      </c>
    </row>
    <row r="953" spans="2:3" x14ac:dyDescent="0.25">
      <c r="B953" s="141">
        <v>43580</v>
      </c>
      <c r="C953" s="128">
        <v>38730.86</v>
      </c>
    </row>
    <row r="954" spans="2:3" x14ac:dyDescent="0.25">
      <c r="B954" s="141">
        <v>43581</v>
      </c>
      <c r="C954" s="128">
        <v>39067.33</v>
      </c>
    </row>
    <row r="955" spans="2:3" x14ac:dyDescent="0.25">
      <c r="B955" s="141">
        <v>43585</v>
      </c>
      <c r="C955" s="128">
        <v>39031.550000000003</v>
      </c>
    </row>
    <row r="956" spans="2:3" x14ac:dyDescent="0.25">
      <c r="B956" s="141">
        <v>43587</v>
      </c>
      <c r="C956" s="128">
        <v>38981.43</v>
      </c>
    </row>
    <row r="957" spans="2:3" x14ac:dyDescent="0.25">
      <c r="B957" s="141">
        <v>43588</v>
      </c>
      <c r="C957" s="128">
        <v>38963.26</v>
      </c>
    </row>
    <row r="958" spans="2:3" x14ac:dyDescent="0.25">
      <c r="B958" s="141">
        <v>43591</v>
      </c>
      <c r="C958" s="128">
        <v>38600.339999999997</v>
      </c>
    </row>
    <row r="959" spans="2:3" x14ac:dyDescent="0.25">
      <c r="B959" s="141">
        <v>43592</v>
      </c>
      <c r="C959" s="128">
        <v>38276.629999999997</v>
      </c>
    </row>
    <row r="960" spans="2:3" x14ac:dyDescent="0.25">
      <c r="B960" s="141">
        <v>43593</v>
      </c>
      <c r="C960" s="128">
        <v>37789.129999999997</v>
      </c>
    </row>
    <row r="961" spans="2:3" x14ac:dyDescent="0.25">
      <c r="B961" s="141">
        <v>43594</v>
      </c>
      <c r="C961" s="128">
        <v>37558.910000000003</v>
      </c>
    </row>
    <row r="962" spans="2:3" x14ac:dyDescent="0.25">
      <c r="B962" s="141">
        <v>43595</v>
      </c>
      <c r="C962" s="128">
        <v>37462.99</v>
      </c>
    </row>
    <row r="963" spans="2:3" x14ac:dyDescent="0.25">
      <c r="B963" s="141">
        <v>43598</v>
      </c>
      <c r="C963" s="128">
        <v>37090.82</v>
      </c>
    </row>
    <row r="964" spans="2:3" x14ac:dyDescent="0.25">
      <c r="B964" s="141">
        <v>43599</v>
      </c>
      <c r="C964" s="128">
        <v>37318.53</v>
      </c>
    </row>
    <row r="965" spans="2:3" x14ac:dyDescent="0.25">
      <c r="B965" s="141">
        <v>43600</v>
      </c>
      <c r="C965" s="128">
        <v>37114.879999999997</v>
      </c>
    </row>
    <row r="966" spans="2:3" x14ac:dyDescent="0.25">
      <c r="B966" s="141">
        <v>43601</v>
      </c>
      <c r="C966" s="128">
        <v>37393.480000000003</v>
      </c>
    </row>
    <row r="967" spans="2:3" x14ac:dyDescent="0.25">
      <c r="B967" s="141">
        <v>43602</v>
      </c>
      <c r="C967" s="128">
        <v>37930.769999999997</v>
      </c>
    </row>
    <row r="968" spans="2:3" x14ac:dyDescent="0.25">
      <c r="B968" s="141">
        <v>43605</v>
      </c>
      <c r="C968" s="128">
        <v>39352.67</v>
      </c>
    </row>
    <row r="969" spans="2:3" x14ac:dyDescent="0.25">
      <c r="B969" s="141">
        <v>43606</v>
      </c>
      <c r="C969" s="128">
        <v>38969.800000000003</v>
      </c>
    </row>
    <row r="970" spans="2:3" x14ac:dyDescent="0.25">
      <c r="B970" s="141">
        <v>43607</v>
      </c>
      <c r="C970" s="128">
        <v>39110.21</v>
      </c>
    </row>
    <row r="971" spans="2:3" x14ac:dyDescent="0.25">
      <c r="B971" s="141">
        <v>43608</v>
      </c>
      <c r="C971" s="128">
        <v>38811.39</v>
      </c>
    </row>
    <row r="972" spans="2:3" x14ac:dyDescent="0.25">
      <c r="B972" s="141">
        <v>43609</v>
      </c>
      <c r="C972" s="128">
        <v>39434.720000000001</v>
      </c>
    </row>
    <row r="973" spans="2:3" x14ac:dyDescent="0.25">
      <c r="B973" s="141">
        <v>43612</v>
      </c>
      <c r="C973" s="128">
        <v>39683.29</v>
      </c>
    </row>
    <row r="974" spans="2:3" x14ac:dyDescent="0.25">
      <c r="B974" s="141">
        <v>43613</v>
      </c>
      <c r="C974" s="128">
        <v>39749.730000000003</v>
      </c>
    </row>
    <row r="975" spans="2:3" x14ac:dyDescent="0.25">
      <c r="B975" s="141">
        <v>43614</v>
      </c>
      <c r="C975" s="128">
        <v>39502.050000000003</v>
      </c>
    </row>
    <row r="976" spans="2:3" x14ac:dyDescent="0.25">
      <c r="B976" s="141">
        <v>43615</v>
      </c>
      <c r="C976" s="128">
        <v>39831.97</v>
      </c>
    </row>
    <row r="977" spans="2:3" x14ac:dyDescent="0.25">
      <c r="B977" s="141">
        <v>43616</v>
      </c>
      <c r="C977" s="128">
        <v>39714.199999999997</v>
      </c>
    </row>
    <row r="978" spans="2:3" x14ac:dyDescent="0.25">
      <c r="B978" s="141">
        <v>43619</v>
      </c>
      <c r="C978" s="128">
        <v>40267.620000000003</v>
      </c>
    </row>
    <row r="979" spans="2:3" x14ac:dyDescent="0.25">
      <c r="B979" s="141">
        <v>43620</v>
      </c>
      <c r="C979" s="128">
        <v>40083.54</v>
      </c>
    </row>
    <row r="980" spans="2:3" x14ac:dyDescent="0.25">
      <c r="B980" s="141">
        <v>43622</v>
      </c>
      <c r="C980" s="128">
        <v>39529.72</v>
      </c>
    </row>
    <row r="981" spans="2:3" x14ac:dyDescent="0.25">
      <c r="B981" s="141">
        <v>43623</v>
      </c>
      <c r="C981" s="128">
        <v>39615.9</v>
      </c>
    </row>
    <row r="982" spans="2:3" x14ac:dyDescent="0.25">
      <c r="B982" s="141">
        <v>43626</v>
      </c>
      <c r="C982" s="128">
        <v>39784.519999999997</v>
      </c>
    </row>
    <row r="983" spans="2:3" x14ac:dyDescent="0.25">
      <c r="B983" s="141">
        <v>43627</v>
      </c>
      <c r="C983" s="128">
        <v>39950.46</v>
      </c>
    </row>
    <row r="984" spans="2:3" x14ac:dyDescent="0.25">
      <c r="B984" s="141">
        <v>43628</v>
      </c>
      <c r="C984" s="128">
        <v>39756.81</v>
      </c>
    </row>
    <row r="985" spans="2:3" x14ac:dyDescent="0.25">
      <c r="B985" s="141">
        <v>43629</v>
      </c>
      <c r="C985" s="128">
        <v>39741.360000000001</v>
      </c>
    </row>
    <row r="986" spans="2:3" x14ac:dyDescent="0.25">
      <c r="B986" s="141">
        <v>43630</v>
      </c>
      <c r="C986" s="128">
        <v>39452.07</v>
      </c>
    </row>
    <row r="987" spans="2:3" x14ac:dyDescent="0.25">
      <c r="B987" s="141">
        <v>43633</v>
      </c>
      <c r="C987" s="128">
        <v>38960.79</v>
      </c>
    </row>
    <row r="988" spans="2:3" x14ac:dyDescent="0.25">
      <c r="B988" s="141">
        <v>43634</v>
      </c>
      <c r="C988" s="128">
        <v>39046.339999999997</v>
      </c>
    </row>
    <row r="989" spans="2:3" x14ac:dyDescent="0.25">
      <c r="B989" s="141">
        <v>43635</v>
      </c>
      <c r="C989" s="128">
        <v>39112.74</v>
      </c>
    </row>
    <row r="990" spans="2:3" x14ac:dyDescent="0.25">
      <c r="B990" s="141">
        <v>43636</v>
      </c>
      <c r="C990" s="128">
        <v>39601.629999999997</v>
      </c>
    </row>
    <row r="991" spans="2:3" x14ac:dyDescent="0.25">
      <c r="B991" s="141">
        <v>43637</v>
      </c>
      <c r="C991" s="128">
        <v>39194.49</v>
      </c>
    </row>
    <row r="992" spans="2:3" x14ac:dyDescent="0.25">
      <c r="B992" s="141">
        <v>43640</v>
      </c>
      <c r="C992" s="128">
        <v>39122.959999999999</v>
      </c>
    </row>
    <row r="993" spans="2:3" x14ac:dyDescent="0.25">
      <c r="B993" s="141">
        <v>43641</v>
      </c>
      <c r="C993" s="128">
        <v>39434.94</v>
      </c>
    </row>
    <row r="994" spans="2:3" x14ac:dyDescent="0.25">
      <c r="B994" s="141">
        <v>43642</v>
      </c>
      <c r="C994" s="128">
        <v>39592.080000000002</v>
      </c>
    </row>
    <row r="995" spans="2:3" x14ac:dyDescent="0.25">
      <c r="B995" s="141">
        <v>43643</v>
      </c>
      <c r="C995" s="128">
        <v>39586.410000000003</v>
      </c>
    </row>
    <row r="996" spans="2:3" x14ac:dyDescent="0.25">
      <c r="B996" s="141">
        <v>43644</v>
      </c>
      <c r="C996" s="128">
        <v>39394.639999999999</v>
      </c>
    </row>
    <row r="997" spans="2:3" x14ac:dyDescent="0.25">
      <c r="B997" s="141">
        <v>43647</v>
      </c>
      <c r="C997" s="128">
        <v>39686.5</v>
      </c>
    </row>
    <row r="998" spans="2:3" x14ac:dyDescent="0.25">
      <c r="B998" s="141">
        <v>43648</v>
      </c>
      <c r="C998" s="128">
        <v>39816.480000000003</v>
      </c>
    </row>
    <row r="999" spans="2:3" x14ac:dyDescent="0.25">
      <c r="B999" s="141">
        <v>43649</v>
      </c>
      <c r="C999" s="128">
        <v>39839.25</v>
      </c>
    </row>
    <row r="1000" spans="2:3" x14ac:dyDescent="0.25">
      <c r="B1000" s="141">
        <v>43650</v>
      </c>
      <c r="C1000" s="128">
        <v>39908.06</v>
      </c>
    </row>
    <row r="1001" spans="2:3" x14ac:dyDescent="0.25">
      <c r="B1001" s="141">
        <v>43651</v>
      </c>
      <c r="C1001" s="128">
        <v>39513.39</v>
      </c>
    </row>
    <row r="1002" spans="2:3" x14ac:dyDescent="0.25">
      <c r="B1002" s="141">
        <v>43654</v>
      </c>
      <c r="C1002" s="128">
        <v>38720.57</v>
      </c>
    </row>
    <row r="1003" spans="2:3" x14ac:dyDescent="0.25">
      <c r="B1003" s="141">
        <v>43655</v>
      </c>
      <c r="C1003" s="128">
        <v>38730.82</v>
      </c>
    </row>
    <row r="1004" spans="2:3" x14ac:dyDescent="0.25">
      <c r="B1004" s="141">
        <v>43656</v>
      </c>
      <c r="C1004" s="128">
        <v>38557.040000000001</v>
      </c>
    </row>
    <row r="1005" spans="2:3" x14ac:dyDescent="0.25">
      <c r="B1005" s="141">
        <v>43657</v>
      </c>
      <c r="C1005" s="128">
        <v>38823.11</v>
      </c>
    </row>
    <row r="1006" spans="2:3" x14ac:dyDescent="0.25">
      <c r="B1006" s="141">
        <v>43658</v>
      </c>
      <c r="C1006" s="128">
        <v>38736.230000000003</v>
      </c>
    </row>
    <row r="1007" spans="2:3" x14ac:dyDescent="0.25">
      <c r="B1007" s="141">
        <v>43661</v>
      </c>
      <c r="C1007" s="128">
        <v>38896.71</v>
      </c>
    </row>
    <row r="1008" spans="2:3" x14ac:dyDescent="0.25">
      <c r="B1008" s="141">
        <v>43662</v>
      </c>
      <c r="C1008" s="128">
        <v>39131.040000000001</v>
      </c>
    </row>
    <row r="1009" spans="2:3" x14ac:dyDescent="0.25">
      <c r="B1009" s="141">
        <v>43663</v>
      </c>
      <c r="C1009" s="128">
        <v>39215.64</v>
      </c>
    </row>
    <row r="1010" spans="2:3" x14ac:dyDescent="0.25">
      <c r="B1010" s="141">
        <v>43664</v>
      </c>
      <c r="C1010" s="128">
        <v>38897.46</v>
      </c>
    </row>
    <row r="1011" spans="2:3" x14ac:dyDescent="0.25">
      <c r="B1011" s="141">
        <v>43665</v>
      </c>
      <c r="C1011" s="128">
        <v>38337.01</v>
      </c>
    </row>
    <row r="1012" spans="2:3" x14ac:dyDescent="0.25">
      <c r="B1012" s="141">
        <v>43668</v>
      </c>
      <c r="C1012" s="128">
        <v>38031.129999999997</v>
      </c>
    </row>
    <row r="1013" spans="2:3" x14ac:dyDescent="0.25">
      <c r="B1013" s="141">
        <v>43669</v>
      </c>
      <c r="C1013" s="128">
        <v>37982.74</v>
      </c>
    </row>
    <row r="1014" spans="2:3" x14ac:dyDescent="0.25">
      <c r="B1014" s="141">
        <v>43670</v>
      </c>
      <c r="C1014" s="128">
        <v>37847.65</v>
      </c>
    </row>
    <row r="1015" spans="2:3" x14ac:dyDescent="0.25">
      <c r="B1015" s="141">
        <v>43671</v>
      </c>
      <c r="C1015" s="128">
        <v>37830.980000000003</v>
      </c>
    </row>
    <row r="1016" spans="2:3" x14ac:dyDescent="0.25">
      <c r="B1016" s="141">
        <v>43672</v>
      </c>
      <c r="C1016" s="128">
        <v>37882.79</v>
      </c>
    </row>
    <row r="1017" spans="2:3" x14ac:dyDescent="0.25">
      <c r="B1017" s="141">
        <v>43675</v>
      </c>
      <c r="C1017" s="128">
        <v>37686.370000000003</v>
      </c>
    </row>
    <row r="1018" spans="2:3" x14ac:dyDescent="0.25">
      <c r="B1018" s="141">
        <v>43676</v>
      </c>
      <c r="C1018" s="128">
        <v>37397.24</v>
      </c>
    </row>
    <row r="1019" spans="2:3" x14ac:dyDescent="0.25">
      <c r="B1019" s="141">
        <v>43677</v>
      </c>
      <c r="C1019" s="128">
        <v>37481.120000000003</v>
      </c>
    </row>
    <row r="1020" spans="2:3" x14ac:dyDescent="0.25">
      <c r="B1020" s="141">
        <v>43678</v>
      </c>
      <c r="C1020" s="128">
        <v>37018.32</v>
      </c>
    </row>
    <row r="1021" spans="2:3" x14ac:dyDescent="0.25">
      <c r="B1021" s="141">
        <v>43679</v>
      </c>
      <c r="C1021" s="128">
        <v>37118.22</v>
      </c>
    </row>
    <row r="1022" spans="2:3" x14ac:dyDescent="0.25">
      <c r="B1022" s="141">
        <v>43682</v>
      </c>
      <c r="C1022" s="128">
        <v>36699.839999999997</v>
      </c>
    </row>
    <row r="1023" spans="2:3" x14ac:dyDescent="0.25">
      <c r="B1023" s="141">
        <v>43683</v>
      </c>
      <c r="C1023" s="128">
        <v>36976.85</v>
      </c>
    </row>
    <row r="1024" spans="2:3" x14ac:dyDescent="0.25">
      <c r="B1024" s="141">
        <v>43684</v>
      </c>
      <c r="C1024" s="128">
        <v>36690.5</v>
      </c>
    </row>
    <row r="1025" spans="2:3" x14ac:dyDescent="0.25">
      <c r="B1025" s="141">
        <v>43685</v>
      </c>
      <c r="C1025" s="128">
        <v>37327.360000000001</v>
      </c>
    </row>
    <row r="1026" spans="2:3" x14ac:dyDescent="0.25">
      <c r="B1026" s="141">
        <v>43686</v>
      </c>
      <c r="C1026" s="128">
        <v>37581.910000000003</v>
      </c>
    </row>
    <row r="1027" spans="2:3" x14ac:dyDescent="0.25">
      <c r="B1027" s="141">
        <v>43690</v>
      </c>
      <c r="C1027" s="128">
        <v>36958.160000000003</v>
      </c>
    </row>
    <row r="1028" spans="2:3" x14ac:dyDescent="0.25">
      <c r="B1028" s="141">
        <v>43691</v>
      </c>
      <c r="C1028" s="128">
        <v>37311.53</v>
      </c>
    </row>
    <row r="1029" spans="2:3" x14ac:dyDescent="0.25">
      <c r="B1029" s="141">
        <v>43693</v>
      </c>
      <c r="C1029" s="128">
        <v>37350.33</v>
      </c>
    </row>
    <row r="1030" spans="2:3" x14ac:dyDescent="0.25">
      <c r="B1030" s="141">
        <v>43696</v>
      </c>
      <c r="C1030" s="128">
        <v>37402.49</v>
      </c>
    </row>
    <row r="1031" spans="2:3" x14ac:dyDescent="0.25">
      <c r="B1031" s="141">
        <v>43697</v>
      </c>
      <c r="C1031" s="128">
        <v>37328.01</v>
      </c>
    </row>
    <row r="1032" spans="2:3" x14ac:dyDescent="0.25">
      <c r="B1032" s="141">
        <v>43698</v>
      </c>
      <c r="C1032" s="128">
        <v>37060.370000000003</v>
      </c>
    </row>
    <row r="1033" spans="2:3" x14ac:dyDescent="0.25">
      <c r="B1033" s="141">
        <v>43699</v>
      </c>
      <c r="C1033" s="128">
        <v>36472.93</v>
      </c>
    </row>
    <row r="1034" spans="2:3" x14ac:dyDescent="0.25">
      <c r="B1034" s="141">
        <v>43700</v>
      </c>
      <c r="C1034" s="128">
        <v>36701.160000000003</v>
      </c>
    </row>
    <row r="1035" spans="2:3" x14ac:dyDescent="0.25">
      <c r="B1035" s="141">
        <v>43703</v>
      </c>
      <c r="C1035" s="128">
        <v>37494.120000000003</v>
      </c>
    </row>
    <row r="1036" spans="2:3" x14ac:dyDescent="0.25">
      <c r="B1036" s="141">
        <v>43704</v>
      </c>
      <c r="C1036" s="128">
        <v>37641.269999999997</v>
      </c>
    </row>
    <row r="1037" spans="2:3" x14ac:dyDescent="0.25">
      <c r="B1037" s="141">
        <v>43705</v>
      </c>
      <c r="C1037" s="128">
        <v>37451.839999999997</v>
      </c>
    </row>
    <row r="1038" spans="2:3" x14ac:dyDescent="0.25">
      <c r="B1038" s="141">
        <v>43706</v>
      </c>
      <c r="C1038" s="128">
        <v>37068.93</v>
      </c>
    </row>
    <row r="1039" spans="2:3" x14ac:dyDescent="0.25">
      <c r="B1039" s="141">
        <v>43707</v>
      </c>
      <c r="C1039" s="128">
        <v>37332.79</v>
      </c>
    </row>
    <row r="1040" spans="2:3" x14ac:dyDescent="0.25">
      <c r="B1040" s="141">
        <v>43711</v>
      </c>
      <c r="C1040" s="128">
        <v>36562.910000000003</v>
      </c>
    </row>
    <row r="1041" spans="2:3" x14ac:dyDescent="0.25">
      <c r="B1041" s="141">
        <v>43712</v>
      </c>
      <c r="C1041" s="128">
        <v>36724.74</v>
      </c>
    </row>
    <row r="1042" spans="2:3" x14ac:dyDescent="0.25">
      <c r="B1042" s="141">
        <v>43713</v>
      </c>
      <c r="C1042" s="128">
        <v>36644.42</v>
      </c>
    </row>
    <row r="1043" spans="2:3" x14ac:dyDescent="0.25">
      <c r="B1043" s="141">
        <v>43714</v>
      </c>
      <c r="C1043" s="128">
        <v>36981.769999999997</v>
      </c>
    </row>
    <row r="1044" spans="2:3" x14ac:dyDescent="0.25">
      <c r="B1044" s="141">
        <v>43717</v>
      </c>
      <c r="C1044" s="128">
        <v>37145.449999999997</v>
      </c>
    </row>
    <row r="1045" spans="2:3" x14ac:dyDescent="0.25">
      <c r="B1045" s="141">
        <v>43719</v>
      </c>
      <c r="C1045" s="128">
        <v>37270.82</v>
      </c>
    </row>
    <row r="1046" spans="2:3" x14ac:dyDescent="0.25">
      <c r="B1046" s="141">
        <v>43720</v>
      </c>
      <c r="C1046" s="128">
        <v>37104.28</v>
      </c>
    </row>
    <row r="1047" spans="2:3" x14ac:dyDescent="0.25">
      <c r="B1047" s="141">
        <v>43721</v>
      </c>
      <c r="C1047" s="128">
        <v>37384.99</v>
      </c>
    </row>
    <row r="1048" spans="2:3" x14ac:dyDescent="0.25">
      <c r="B1048" s="141">
        <v>43724</v>
      </c>
      <c r="C1048" s="128">
        <v>37123.31</v>
      </c>
    </row>
    <row r="1049" spans="2:3" x14ac:dyDescent="0.25">
      <c r="B1049" s="141">
        <v>43725</v>
      </c>
      <c r="C1049" s="128">
        <v>36481.089999999997</v>
      </c>
    </row>
    <row r="1050" spans="2:3" x14ac:dyDescent="0.25">
      <c r="B1050" s="141">
        <v>43726</v>
      </c>
      <c r="C1050" s="128">
        <v>36563.879999999997</v>
      </c>
    </row>
    <row r="1051" spans="2:3" x14ac:dyDescent="0.25">
      <c r="B1051" s="141">
        <v>43727</v>
      </c>
      <c r="C1051" s="128">
        <v>36093.47</v>
      </c>
    </row>
    <row r="1052" spans="2:3" x14ac:dyDescent="0.25">
      <c r="B1052" s="141">
        <v>43728</v>
      </c>
      <c r="C1052" s="128">
        <v>38014.620000000003</v>
      </c>
    </row>
    <row r="1053" spans="2:3" x14ac:dyDescent="0.25">
      <c r="B1053" s="141">
        <v>43731</v>
      </c>
      <c r="C1053" s="128">
        <v>39090.03</v>
      </c>
    </row>
    <row r="1054" spans="2:3" x14ac:dyDescent="0.25">
      <c r="B1054" s="141">
        <v>43732</v>
      </c>
      <c r="C1054" s="128">
        <v>39097.14</v>
      </c>
    </row>
    <row r="1055" spans="2:3" x14ac:dyDescent="0.25">
      <c r="B1055" s="141">
        <v>43733</v>
      </c>
      <c r="C1055" s="128">
        <v>38593.519999999997</v>
      </c>
    </row>
    <row r="1056" spans="2:3" x14ac:dyDescent="0.25">
      <c r="B1056" s="141">
        <v>43734</v>
      </c>
      <c r="C1056" s="128">
        <v>38989.74</v>
      </c>
    </row>
    <row r="1057" spans="2:3" x14ac:dyDescent="0.25">
      <c r="B1057" s="141">
        <v>43735</v>
      </c>
      <c r="C1057" s="128">
        <v>38822.57</v>
      </c>
    </row>
    <row r="1058" spans="2:3" x14ac:dyDescent="0.25">
      <c r="B1058" s="141">
        <v>43738</v>
      </c>
      <c r="C1058" s="128">
        <v>38667.33</v>
      </c>
    </row>
    <row r="1059" spans="2:3" x14ac:dyDescent="0.25">
      <c r="B1059" s="141">
        <v>43739</v>
      </c>
      <c r="C1059" s="128">
        <v>38305.410000000003</v>
      </c>
    </row>
    <row r="1060" spans="2:3" x14ac:dyDescent="0.25">
      <c r="B1060" s="141">
        <v>43741</v>
      </c>
      <c r="C1060" s="128">
        <v>38106.870000000003</v>
      </c>
    </row>
    <row r="1061" spans="2:3" x14ac:dyDescent="0.25">
      <c r="B1061" s="141">
        <v>43742</v>
      </c>
      <c r="C1061" s="128">
        <v>37673.31</v>
      </c>
    </row>
    <row r="1062" spans="2:3" x14ac:dyDescent="0.25">
      <c r="B1062" s="141">
        <v>43745</v>
      </c>
      <c r="C1062" s="128">
        <v>37531.980000000003</v>
      </c>
    </row>
    <row r="1063" spans="2:3" x14ac:dyDescent="0.25">
      <c r="B1063" s="141">
        <v>43747</v>
      </c>
      <c r="C1063" s="128">
        <v>38177.949999999997</v>
      </c>
    </row>
    <row r="1064" spans="2:3" x14ac:dyDescent="0.25">
      <c r="B1064" s="141">
        <v>43748</v>
      </c>
      <c r="C1064" s="128">
        <v>37880.400000000001</v>
      </c>
    </row>
    <row r="1065" spans="2:3" x14ac:dyDescent="0.25">
      <c r="B1065" s="141">
        <v>43749</v>
      </c>
      <c r="C1065" s="128">
        <v>38127.08</v>
      </c>
    </row>
    <row r="1066" spans="2:3" x14ac:dyDescent="0.25">
      <c r="B1066" s="141">
        <v>43752</v>
      </c>
      <c r="C1066" s="128">
        <v>38214.47</v>
      </c>
    </row>
    <row r="1067" spans="2:3" x14ac:dyDescent="0.25">
      <c r="B1067" s="141">
        <v>43753</v>
      </c>
      <c r="C1067" s="128">
        <v>38506.089999999997</v>
      </c>
    </row>
    <row r="1068" spans="2:3" x14ac:dyDescent="0.25">
      <c r="B1068" s="141">
        <v>43754</v>
      </c>
      <c r="C1068" s="128">
        <v>38598.99</v>
      </c>
    </row>
    <row r="1069" spans="2:3" x14ac:dyDescent="0.25">
      <c r="B1069" s="141">
        <v>43755</v>
      </c>
      <c r="C1069" s="128">
        <v>39052.06</v>
      </c>
    </row>
    <row r="1070" spans="2:3" x14ac:dyDescent="0.25">
      <c r="B1070" s="141">
        <v>43756</v>
      </c>
      <c r="C1070" s="128">
        <v>39298.379999999997</v>
      </c>
    </row>
    <row r="1071" spans="2:3" x14ac:dyDescent="0.25">
      <c r="B1071" s="141">
        <v>43760</v>
      </c>
      <c r="C1071" s="128">
        <v>38963.839999999997</v>
      </c>
    </row>
    <row r="1072" spans="2:3" x14ac:dyDescent="0.25">
      <c r="B1072" s="141">
        <v>43761</v>
      </c>
      <c r="C1072" s="128">
        <v>39058.83</v>
      </c>
    </row>
    <row r="1073" spans="2:3" x14ac:dyDescent="0.25">
      <c r="B1073" s="141">
        <v>43762</v>
      </c>
      <c r="C1073" s="128">
        <v>39020.39</v>
      </c>
    </row>
    <row r="1074" spans="2:3" x14ac:dyDescent="0.25">
      <c r="B1074" s="141">
        <v>43763</v>
      </c>
      <c r="C1074" s="128">
        <v>39058.06</v>
      </c>
    </row>
    <row r="1075" spans="2:3" x14ac:dyDescent="0.25">
      <c r="B1075" s="141">
        <v>43765</v>
      </c>
      <c r="C1075" s="128">
        <v>39250.199999999997</v>
      </c>
    </row>
    <row r="1076" spans="2:3" x14ac:dyDescent="0.25">
      <c r="B1076" s="141">
        <v>43767</v>
      </c>
      <c r="C1076" s="128">
        <v>39831.839999999997</v>
      </c>
    </row>
    <row r="1077" spans="2:3" x14ac:dyDescent="0.25">
      <c r="B1077" s="141">
        <v>43768</v>
      </c>
      <c r="C1077" s="128">
        <v>40051.870000000003</v>
      </c>
    </row>
    <row r="1078" spans="2:3" x14ac:dyDescent="0.25">
      <c r="B1078" s="141">
        <v>43769</v>
      </c>
      <c r="C1078" s="128">
        <v>40129.050000000003</v>
      </c>
    </row>
    <row r="1079" spans="2:3" x14ac:dyDescent="0.25">
      <c r="B1079" s="141">
        <v>43770</v>
      </c>
      <c r="C1079" s="128">
        <v>40165.03</v>
      </c>
    </row>
    <row r="1080" spans="2:3" x14ac:dyDescent="0.25">
      <c r="B1080" s="141">
        <v>43773</v>
      </c>
      <c r="C1080" s="128">
        <v>40301.96</v>
      </c>
    </row>
    <row r="1081" spans="2:3" x14ac:dyDescent="0.25">
      <c r="B1081" s="141">
        <v>43774</v>
      </c>
      <c r="C1081" s="128">
        <v>40248.230000000003</v>
      </c>
    </row>
    <row r="1082" spans="2:3" x14ac:dyDescent="0.25">
      <c r="B1082" s="141">
        <v>43775</v>
      </c>
      <c r="C1082" s="128">
        <v>40469.78</v>
      </c>
    </row>
    <row r="1083" spans="2:3" x14ac:dyDescent="0.25">
      <c r="B1083" s="141">
        <v>43776</v>
      </c>
      <c r="C1083" s="128">
        <v>40653.74</v>
      </c>
    </row>
    <row r="1084" spans="2:3" x14ac:dyDescent="0.25">
      <c r="B1084" s="141">
        <v>43777</v>
      </c>
      <c r="C1084" s="128">
        <v>40323.61</v>
      </c>
    </row>
    <row r="1085" spans="2:3" x14ac:dyDescent="0.25">
      <c r="B1085" s="141">
        <v>43780</v>
      </c>
      <c r="C1085" s="128">
        <v>40345.08</v>
      </c>
    </row>
    <row r="1086" spans="2:3" x14ac:dyDescent="0.25">
      <c r="B1086" s="141">
        <v>43782</v>
      </c>
      <c r="C1086" s="128">
        <v>40116.06</v>
      </c>
    </row>
    <row r="1087" spans="2:3" x14ac:dyDescent="0.25">
      <c r="B1087" s="141">
        <v>43783</v>
      </c>
      <c r="C1087" s="128">
        <v>40286.480000000003</v>
      </c>
    </row>
    <row r="1088" spans="2:3" x14ac:dyDescent="0.25">
      <c r="B1088" s="141">
        <v>43784</v>
      </c>
      <c r="C1088" s="128">
        <v>40356.69</v>
      </c>
    </row>
    <row r="1089" spans="2:3" x14ac:dyDescent="0.25">
      <c r="B1089" s="141">
        <v>43787</v>
      </c>
      <c r="C1089" s="128">
        <v>40284.19</v>
      </c>
    </row>
    <row r="1090" spans="2:3" x14ac:dyDescent="0.25">
      <c r="B1090" s="141">
        <v>43788</v>
      </c>
      <c r="C1090" s="128">
        <v>40469.699999999997</v>
      </c>
    </row>
    <row r="1091" spans="2:3" x14ac:dyDescent="0.25">
      <c r="B1091" s="141">
        <v>43789</v>
      </c>
      <c r="C1091" s="128">
        <v>40651.64</v>
      </c>
    </row>
    <row r="1092" spans="2:3" x14ac:dyDescent="0.25">
      <c r="B1092" s="141">
        <v>43790</v>
      </c>
      <c r="C1092" s="128">
        <v>40575.17</v>
      </c>
    </row>
    <row r="1093" spans="2:3" x14ac:dyDescent="0.25">
      <c r="B1093" s="141">
        <v>43791</v>
      </c>
      <c r="C1093" s="128">
        <v>40359.410000000003</v>
      </c>
    </row>
    <row r="1094" spans="2:3" x14ac:dyDescent="0.25">
      <c r="B1094" s="141">
        <v>43794</v>
      </c>
      <c r="C1094" s="128">
        <v>40889.230000000003</v>
      </c>
    </row>
    <row r="1095" spans="2:3" x14ac:dyDescent="0.25">
      <c r="B1095" s="141">
        <v>43795</v>
      </c>
      <c r="C1095" s="128">
        <v>40821.300000000003</v>
      </c>
    </row>
    <row r="1096" spans="2:3" x14ac:dyDescent="0.25">
      <c r="B1096" s="141">
        <v>43796</v>
      </c>
      <c r="C1096" s="128">
        <v>41020.61</v>
      </c>
    </row>
    <row r="1097" spans="2:3" x14ac:dyDescent="0.25">
      <c r="B1097" s="141">
        <v>43797</v>
      </c>
      <c r="C1097" s="128">
        <v>41130.17</v>
      </c>
    </row>
    <row r="1098" spans="2:3" x14ac:dyDescent="0.25">
      <c r="B1098" s="141">
        <v>43798</v>
      </c>
      <c r="C1098" s="128">
        <v>40793.81</v>
      </c>
    </row>
    <row r="1099" spans="2:3" x14ac:dyDescent="0.25">
      <c r="B1099" s="141">
        <v>43801</v>
      </c>
      <c r="C1099" s="128">
        <v>40802.17</v>
      </c>
    </row>
    <row r="1100" spans="2:3" x14ac:dyDescent="0.25">
      <c r="B1100" s="141">
        <v>43802</v>
      </c>
      <c r="C1100" s="128">
        <v>40675.449999999997</v>
      </c>
    </row>
    <row r="1101" spans="2:3" x14ac:dyDescent="0.25">
      <c r="B1101" s="141">
        <v>43803</v>
      </c>
      <c r="C1101" s="128">
        <v>40850.29</v>
      </c>
    </row>
    <row r="1102" spans="2:3" x14ac:dyDescent="0.25">
      <c r="B1102" s="141">
        <v>43804</v>
      </c>
      <c r="C1102" s="128">
        <v>40779.589999999997</v>
      </c>
    </row>
    <row r="1103" spans="2:3" x14ac:dyDescent="0.25">
      <c r="B1103" s="141">
        <v>43805</v>
      </c>
      <c r="C1103" s="128">
        <v>40445.15</v>
      </c>
    </row>
    <row r="1104" spans="2:3" x14ac:dyDescent="0.25">
      <c r="B1104" s="141">
        <v>43808</v>
      </c>
      <c r="C1104" s="128">
        <v>40487.43</v>
      </c>
    </row>
    <row r="1105" spans="2:3" x14ac:dyDescent="0.25">
      <c r="B1105" s="141">
        <v>43809</v>
      </c>
      <c r="C1105" s="128">
        <v>40239.879999999997</v>
      </c>
    </row>
    <row r="1106" spans="2:3" x14ac:dyDescent="0.25">
      <c r="B1106" s="141">
        <v>43810</v>
      </c>
      <c r="C1106" s="128">
        <v>40412.57</v>
      </c>
    </row>
    <row r="1107" spans="2:3" x14ac:dyDescent="0.25">
      <c r="B1107" s="141">
        <v>43811</v>
      </c>
      <c r="C1107" s="128">
        <v>40581.71</v>
      </c>
    </row>
    <row r="1108" spans="2:3" x14ac:dyDescent="0.25">
      <c r="B1108" s="141">
        <v>43812</v>
      </c>
      <c r="C1108" s="128">
        <v>41009.71</v>
      </c>
    </row>
    <row r="1109" spans="2:3" x14ac:dyDescent="0.25">
      <c r="B1109" s="141">
        <v>43815</v>
      </c>
      <c r="C1109" s="128">
        <v>40938.720000000001</v>
      </c>
    </row>
    <row r="1110" spans="2:3" x14ac:dyDescent="0.25">
      <c r="B1110" s="141">
        <v>43816</v>
      </c>
      <c r="C1110" s="128">
        <v>41352.17</v>
      </c>
    </row>
    <row r="1111" spans="2:3" x14ac:dyDescent="0.25">
      <c r="B1111" s="141">
        <v>43817</v>
      </c>
      <c r="C1111" s="128">
        <v>41558.57</v>
      </c>
    </row>
    <row r="1112" spans="2:3" x14ac:dyDescent="0.25">
      <c r="B1112" s="141">
        <v>43818</v>
      </c>
      <c r="C1112" s="128">
        <v>41673.919999999998</v>
      </c>
    </row>
    <row r="1113" spans="2:3" x14ac:dyDescent="0.25">
      <c r="B1113" s="141">
        <v>43819</v>
      </c>
      <c r="C1113" s="128">
        <v>41681.54</v>
      </c>
    </row>
    <row r="1114" spans="2:3" x14ac:dyDescent="0.25">
      <c r="B1114" s="141">
        <v>43822</v>
      </c>
      <c r="C1114" s="128">
        <v>41642.660000000003</v>
      </c>
    </row>
    <row r="1115" spans="2:3" x14ac:dyDescent="0.25">
      <c r="B1115" s="141">
        <v>43823</v>
      </c>
      <c r="C1115" s="128">
        <v>41461.26</v>
      </c>
    </row>
    <row r="1116" spans="2:3" x14ac:dyDescent="0.25">
      <c r="B1116" s="141">
        <v>43825</v>
      </c>
      <c r="C1116" s="128">
        <v>41163.760000000002</v>
      </c>
    </row>
    <row r="1117" spans="2:3" x14ac:dyDescent="0.25">
      <c r="B1117" s="141">
        <v>43826</v>
      </c>
      <c r="C1117" s="128">
        <v>41575.14</v>
      </c>
    </row>
    <row r="1118" spans="2:3" x14ac:dyDescent="0.25">
      <c r="B1118" s="141">
        <v>43829</v>
      </c>
      <c r="C1118" s="128">
        <v>41558</v>
      </c>
    </row>
    <row r="1119" spans="2:3" x14ac:dyDescent="0.25">
      <c r="B1119" s="141">
        <v>43830</v>
      </c>
      <c r="C1119" s="128">
        <v>41253.74</v>
      </c>
    </row>
    <row r="1120" spans="2:3" x14ac:dyDescent="0.25">
      <c r="B1120" s="141">
        <v>43831</v>
      </c>
      <c r="C1120" s="128">
        <v>41306.019999999997</v>
      </c>
    </row>
    <row r="1121" spans="2:3" x14ac:dyDescent="0.25">
      <c r="B1121" s="141">
        <v>43832</v>
      </c>
      <c r="C1121" s="128">
        <v>41626.639999999999</v>
      </c>
    </row>
    <row r="1122" spans="2:3" x14ac:dyDescent="0.25">
      <c r="B1122" s="141">
        <v>43833</v>
      </c>
      <c r="C1122" s="128">
        <v>41464.61</v>
      </c>
    </row>
    <row r="1123" spans="2:3" x14ac:dyDescent="0.25">
      <c r="B1123" s="141">
        <v>43836</v>
      </c>
      <c r="C1123" s="128">
        <v>40676.629999999997</v>
      </c>
    </row>
    <row r="1124" spans="2:3" x14ac:dyDescent="0.25">
      <c r="B1124" s="141">
        <v>43837</v>
      </c>
      <c r="C1124" s="128">
        <v>40869.47</v>
      </c>
    </row>
    <row r="1125" spans="2:3" x14ac:dyDescent="0.25">
      <c r="B1125" s="141">
        <v>43838</v>
      </c>
      <c r="C1125" s="128">
        <v>40817.74</v>
      </c>
    </row>
    <row r="1126" spans="2:3" x14ac:dyDescent="0.25">
      <c r="B1126" s="141">
        <v>43839</v>
      </c>
      <c r="C1126" s="128">
        <v>41452.35</v>
      </c>
    </row>
    <row r="1127" spans="2:3" x14ac:dyDescent="0.25">
      <c r="B1127" s="141">
        <v>43840</v>
      </c>
      <c r="C1127" s="128">
        <v>41599.72</v>
      </c>
    </row>
    <row r="1128" spans="2:3" x14ac:dyDescent="0.25">
      <c r="B1128" s="141">
        <v>43843</v>
      </c>
      <c r="C1128" s="128">
        <v>41859.69</v>
      </c>
    </row>
    <row r="1129" spans="2:3" x14ac:dyDescent="0.25">
      <c r="B1129" s="141">
        <v>43844</v>
      </c>
      <c r="C1129" s="128">
        <v>41952.63</v>
      </c>
    </row>
    <row r="1130" spans="2:3" x14ac:dyDescent="0.25">
      <c r="B1130" s="141">
        <v>43845</v>
      </c>
      <c r="C1130" s="128">
        <v>41872.730000000003</v>
      </c>
    </row>
    <row r="1131" spans="2:3" x14ac:dyDescent="0.25">
      <c r="B1131" s="141">
        <v>43846</v>
      </c>
      <c r="C1131" s="128">
        <v>41932.559999999998</v>
      </c>
    </row>
    <row r="1132" spans="2:3" x14ac:dyDescent="0.25">
      <c r="B1132" s="141">
        <v>43847</v>
      </c>
      <c r="C1132" s="128">
        <v>41945.37</v>
      </c>
    </row>
    <row r="1133" spans="2:3" x14ac:dyDescent="0.25">
      <c r="B1133" s="141">
        <v>43850</v>
      </c>
      <c r="C1133" s="128">
        <v>41528.910000000003</v>
      </c>
    </row>
    <row r="1134" spans="2:3" x14ac:dyDescent="0.25">
      <c r="B1134" s="141">
        <v>43851</v>
      </c>
      <c r="C1134" s="128">
        <v>41323.81</v>
      </c>
    </row>
    <row r="1135" spans="2:3" x14ac:dyDescent="0.25">
      <c r="B1135" s="141">
        <v>43852</v>
      </c>
      <c r="C1135" s="128">
        <v>41115.379999999997</v>
      </c>
    </row>
    <row r="1136" spans="2:3" x14ac:dyDescent="0.25">
      <c r="B1136" s="141">
        <v>43853</v>
      </c>
      <c r="C1136" s="128">
        <v>41386.400000000001</v>
      </c>
    </row>
    <row r="1137" spans="2:3" x14ac:dyDescent="0.25">
      <c r="B1137" s="141">
        <v>43854</v>
      </c>
      <c r="C1137" s="128">
        <v>41613.19</v>
      </c>
    </row>
    <row r="1138" spans="2:3" x14ac:dyDescent="0.25">
      <c r="B1138" s="141">
        <v>43857</v>
      </c>
      <c r="C1138" s="128">
        <v>41155.120000000003</v>
      </c>
    </row>
    <row r="1139" spans="2:3" x14ac:dyDescent="0.25">
      <c r="B1139" s="141">
        <v>43858</v>
      </c>
      <c r="C1139" s="128">
        <v>40966.86</v>
      </c>
    </row>
    <row r="1140" spans="2:3" x14ac:dyDescent="0.25">
      <c r="B1140" s="141">
        <v>43859</v>
      </c>
      <c r="C1140" s="128">
        <v>41198.660000000003</v>
      </c>
    </row>
    <row r="1141" spans="2:3" x14ac:dyDescent="0.25">
      <c r="B1141" s="141">
        <v>43860</v>
      </c>
      <c r="C1141" s="128">
        <v>40913.82</v>
      </c>
    </row>
    <row r="1142" spans="2:3" x14ac:dyDescent="0.25">
      <c r="B1142" s="141">
        <v>43861</v>
      </c>
      <c r="C1142" s="128">
        <v>40723.49</v>
      </c>
    </row>
    <row r="1143" spans="2:3" x14ac:dyDescent="0.25">
      <c r="B1143" s="141">
        <v>43862</v>
      </c>
      <c r="C1143" s="128">
        <v>39735.53</v>
      </c>
    </row>
    <row r="1144" spans="2:3" x14ac:dyDescent="0.25">
      <c r="B1144" s="141">
        <v>43864</v>
      </c>
      <c r="C1144" s="128">
        <v>39872.31</v>
      </c>
    </row>
    <row r="1145" spans="2:3" x14ac:dyDescent="0.25">
      <c r="B1145" s="141">
        <v>43865</v>
      </c>
      <c r="C1145" s="128">
        <v>40789.379999999997</v>
      </c>
    </row>
    <row r="1146" spans="2:3" x14ac:dyDescent="0.25">
      <c r="B1146" s="141">
        <v>43866</v>
      </c>
      <c r="C1146" s="128">
        <v>41142.660000000003</v>
      </c>
    </row>
    <row r="1147" spans="2:3" x14ac:dyDescent="0.25">
      <c r="B1147" s="141">
        <v>43867</v>
      </c>
      <c r="C1147" s="128">
        <v>41306.03</v>
      </c>
    </row>
    <row r="1148" spans="2:3" x14ac:dyDescent="0.25">
      <c r="B1148" s="141">
        <v>43868</v>
      </c>
      <c r="C1148" s="128">
        <v>41141.85</v>
      </c>
    </row>
    <row r="1149" spans="2:3" x14ac:dyDescent="0.25">
      <c r="B1149" s="141">
        <v>43871</v>
      </c>
      <c r="C1149" s="128">
        <v>40979.620000000003</v>
      </c>
    </row>
    <row r="1150" spans="2:3" x14ac:dyDescent="0.25">
      <c r="B1150" s="141">
        <v>43872</v>
      </c>
      <c r="C1150" s="128">
        <v>41216.14</v>
      </c>
    </row>
    <row r="1151" spans="2:3" x14ac:dyDescent="0.25">
      <c r="B1151" s="141">
        <v>43873</v>
      </c>
      <c r="C1151" s="128">
        <v>41565.9</v>
      </c>
    </row>
    <row r="1152" spans="2:3" x14ac:dyDescent="0.25">
      <c r="B1152" s="141">
        <v>43874</v>
      </c>
      <c r="C1152" s="128">
        <v>41459.79</v>
      </c>
    </row>
    <row r="1153" spans="2:3" x14ac:dyDescent="0.25">
      <c r="B1153" s="141">
        <v>43875</v>
      </c>
      <c r="C1153" s="128">
        <v>41257.74</v>
      </c>
    </row>
    <row r="1154" spans="2:3" x14ac:dyDescent="0.25">
      <c r="B1154" s="141">
        <v>43878</v>
      </c>
      <c r="C1154" s="128">
        <v>41055.69</v>
      </c>
    </row>
    <row r="1155" spans="2:3" x14ac:dyDescent="0.25">
      <c r="B1155" s="141">
        <v>43879</v>
      </c>
      <c r="C1155" s="128">
        <v>40894.379999999997</v>
      </c>
    </row>
    <row r="1156" spans="2:3" x14ac:dyDescent="0.25">
      <c r="B1156" s="141">
        <v>43880</v>
      </c>
      <c r="C1156" s="128">
        <v>41323</v>
      </c>
    </row>
    <row r="1157" spans="2:3" x14ac:dyDescent="0.25">
      <c r="B1157" s="141">
        <v>43881</v>
      </c>
      <c r="C1157" s="128">
        <v>41170.120000000003</v>
      </c>
    </row>
    <row r="1158" spans="2:3" x14ac:dyDescent="0.25">
      <c r="B1158" s="141">
        <v>43885</v>
      </c>
      <c r="C1158" s="128">
        <v>40363.230000000003</v>
      </c>
    </row>
    <row r="1159" spans="2:3" x14ac:dyDescent="0.25">
      <c r="B1159" s="141">
        <v>43886</v>
      </c>
      <c r="C1159" s="128">
        <v>40281.199999999997</v>
      </c>
    </row>
    <row r="1160" spans="2:3" x14ac:dyDescent="0.25">
      <c r="B1160" s="141">
        <v>43887</v>
      </c>
      <c r="C1160" s="128">
        <v>39888.959999999999</v>
      </c>
    </row>
    <row r="1161" spans="2:3" x14ac:dyDescent="0.25">
      <c r="B1161" s="141">
        <v>43888</v>
      </c>
      <c r="C1161" s="128">
        <v>39745.660000000003</v>
      </c>
    </row>
    <row r="1162" spans="2:3" x14ac:dyDescent="0.25">
      <c r="B1162" s="141">
        <v>43889</v>
      </c>
      <c r="C1162" s="128">
        <v>38297.29</v>
      </c>
    </row>
    <row r="1163" spans="2:3" x14ac:dyDescent="0.25">
      <c r="B1163" s="141">
        <v>43892</v>
      </c>
      <c r="C1163" s="128">
        <v>38144.019999999997</v>
      </c>
    </row>
    <row r="1164" spans="2:3" x14ac:dyDescent="0.25">
      <c r="B1164" s="141">
        <v>43893</v>
      </c>
      <c r="C1164" s="128">
        <v>38623.699999999997</v>
      </c>
    </row>
    <row r="1165" spans="2:3" x14ac:dyDescent="0.25">
      <c r="B1165" s="141">
        <v>43894</v>
      </c>
      <c r="C1165" s="128">
        <v>38409.480000000003</v>
      </c>
    </row>
    <row r="1166" spans="2:3" x14ac:dyDescent="0.25">
      <c r="B1166" s="141">
        <v>43895</v>
      </c>
      <c r="C1166" s="128">
        <v>38470.61</v>
      </c>
    </row>
    <row r="1167" spans="2:3" x14ac:dyDescent="0.25">
      <c r="B1167" s="141">
        <v>43896</v>
      </c>
      <c r="C1167" s="128">
        <v>37576.620000000003</v>
      </c>
    </row>
    <row r="1168" spans="2:3" x14ac:dyDescent="0.25">
      <c r="B1168" s="141">
        <v>43899</v>
      </c>
      <c r="C1168" s="128">
        <v>35634.949999999997</v>
      </c>
    </row>
    <row r="1169" spans="2:3" x14ac:dyDescent="0.25">
      <c r="B1169" s="141">
        <v>43901</v>
      </c>
      <c r="C1169" s="128">
        <v>35697.4</v>
      </c>
    </row>
    <row r="1170" spans="2:3" x14ac:dyDescent="0.25">
      <c r="B1170" s="141">
        <v>43902</v>
      </c>
      <c r="C1170" s="128">
        <v>32778.14</v>
      </c>
    </row>
    <row r="1171" spans="2:3" x14ac:dyDescent="0.25">
      <c r="B1171" s="141">
        <v>43903</v>
      </c>
      <c r="C1171" s="128">
        <v>34103.480000000003</v>
      </c>
    </row>
    <row r="1172" spans="2:3" x14ac:dyDescent="0.25">
      <c r="B1172" s="141">
        <v>43906</v>
      </c>
      <c r="C1172" s="128">
        <v>31390.07</v>
      </c>
    </row>
    <row r="1173" spans="2:3" x14ac:dyDescent="0.25">
      <c r="B1173" s="141">
        <v>43907</v>
      </c>
      <c r="C1173" s="128">
        <v>30579.09</v>
      </c>
    </row>
    <row r="1174" spans="2:3" x14ac:dyDescent="0.25">
      <c r="B1174" s="141">
        <v>43908</v>
      </c>
      <c r="C1174" s="128">
        <v>28869.51</v>
      </c>
    </row>
    <row r="1175" spans="2:3" x14ac:dyDescent="0.25">
      <c r="B1175" s="141">
        <v>43909</v>
      </c>
      <c r="C1175" s="128">
        <v>28288.23</v>
      </c>
    </row>
    <row r="1176" spans="2:3" x14ac:dyDescent="0.25">
      <c r="B1176" s="141">
        <v>43910</v>
      </c>
      <c r="C1176" s="128">
        <v>29915.96</v>
      </c>
    </row>
    <row r="1177" spans="2:3" x14ac:dyDescent="0.25">
      <c r="B1177" s="141">
        <v>43913</v>
      </c>
      <c r="C1177" s="128">
        <v>25981.24</v>
      </c>
    </row>
    <row r="1178" spans="2:3" x14ac:dyDescent="0.25">
      <c r="B1178" s="141">
        <v>43914</v>
      </c>
      <c r="C1178" s="128">
        <v>26674.03</v>
      </c>
    </row>
    <row r="1179" spans="2:3" x14ac:dyDescent="0.25">
      <c r="B1179" s="141">
        <v>43915</v>
      </c>
      <c r="C1179" s="128">
        <v>28535.78</v>
      </c>
    </row>
    <row r="1180" spans="2:3" x14ac:dyDescent="0.25">
      <c r="B1180" s="141">
        <v>43916</v>
      </c>
      <c r="C1180" s="128">
        <v>29946.77</v>
      </c>
    </row>
    <row r="1181" spans="2:3" x14ac:dyDescent="0.25">
      <c r="B1181" s="141">
        <v>43917</v>
      </c>
      <c r="C1181" s="128">
        <v>29815.59</v>
      </c>
    </row>
    <row r="1182" spans="2:3" x14ac:dyDescent="0.25">
      <c r="B1182" s="141">
        <v>43920</v>
      </c>
      <c r="C1182" s="128">
        <v>28440.32</v>
      </c>
    </row>
    <row r="1183" spans="2:3" x14ac:dyDescent="0.25">
      <c r="B1183" s="141">
        <v>43921</v>
      </c>
      <c r="C1183" s="128">
        <v>29468.49</v>
      </c>
    </row>
    <row r="1184" spans="2:3" x14ac:dyDescent="0.25">
      <c r="B1184" s="141">
        <v>43922</v>
      </c>
      <c r="C1184" s="128">
        <v>28265.31</v>
      </c>
    </row>
    <row r="1185" spans="2:3" x14ac:dyDescent="0.25">
      <c r="B1185" s="141">
        <v>43924</v>
      </c>
      <c r="C1185" s="128">
        <v>27590.95</v>
      </c>
    </row>
    <row r="1186" spans="2:3" x14ac:dyDescent="0.25">
      <c r="B1186" s="141">
        <v>43928</v>
      </c>
      <c r="C1186" s="128">
        <v>30067.21</v>
      </c>
    </row>
    <row r="1187" spans="2:3" x14ac:dyDescent="0.25">
      <c r="B1187" s="141">
        <v>43929</v>
      </c>
      <c r="C1187" s="128">
        <v>29893.96</v>
      </c>
    </row>
    <row r="1188" spans="2:3" x14ac:dyDescent="0.25">
      <c r="B1188" s="141">
        <v>43930</v>
      </c>
      <c r="C1188" s="128">
        <v>31159.62</v>
      </c>
    </row>
    <row r="1189" spans="2:3" x14ac:dyDescent="0.25">
      <c r="B1189" s="141">
        <v>43934</v>
      </c>
      <c r="C1189" s="128">
        <v>30690.02</v>
      </c>
    </row>
    <row r="1190" spans="2:3" x14ac:dyDescent="0.25">
      <c r="B1190" s="141">
        <v>43936</v>
      </c>
      <c r="C1190" s="128">
        <v>30379.81</v>
      </c>
    </row>
    <row r="1191" spans="2:3" x14ac:dyDescent="0.25">
      <c r="B1191" s="141">
        <v>43937</v>
      </c>
      <c r="C1191" s="128">
        <v>30602.61</v>
      </c>
    </row>
    <row r="1192" spans="2:3" x14ac:dyDescent="0.25">
      <c r="B1192" s="141">
        <v>43938</v>
      </c>
      <c r="C1192" s="128">
        <v>31588.720000000001</v>
      </c>
    </row>
    <row r="1193" spans="2:3" x14ac:dyDescent="0.25">
      <c r="B1193" s="141">
        <v>43941</v>
      </c>
      <c r="C1193" s="128">
        <v>31648</v>
      </c>
    </row>
    <row r="1194" spans="2:3" x14ac:dyDescent="0.25">
      <c r="B1194" s="141">
        <v>43942</v>
      </c>
      <c r="C1194" s="128">
        <v>30636.71</v>
      </c>
    </row>
    <row r="1195" spans="2:3" x14ac:dyDescent="0.25">
      <c r="B1195" s="141">
        <v>43943</v>
      </c>
      <c r="C1195" s="128">
        <v>31379.55</v>
      </c>
    </row>
    <row r="1196" spans="2:3" x14ac:dyDescent="0.25">
      <c r="B1196" s="141">
        <v>43944</v>
      </c>
      <c r="C1196" s="128">
        <v>31863.08</v>
      </c>
    </row>
    <row r="1197" spans="2:3" x14ac:dyDescent="0.25">
      <c r="B1197" s="141">
        <v>43945</v>
      </c>
      <c r="C1197" s="128">
        <v>31327.22</v>
      </c>
    </row>
    <row r="1198" spans="2:3" x14ac:dyDescent="0.25">
      <c r="B1198" s="141">
        <v>43948</v>
      </c>
      <c r="C1198" s="128">
        <v>31743.08</v>
      </c>
    </row>
    <row r="1199" spans="2:3" x14ac:dyDescent="0.25">
      <c r="B1199" s="141">
        <v>43949</v>
      </c>
      <c r="C1199" s="128">
        <v>32114.52</v>
      </c>
    </row>
    <row r="1200" spans="2:3" x14ac:dyDescent="0.25">
      <c r="B1200" s="141">
        <v>43950</v>
      </c>
      <c r="C1200" s="128">
        <v>32720.16</v>
      </c>
    </row>
    <row r="1201" spans="2:3" x14ac:dyDescent="0.25">
      <c r="B1201" s="141">
        <v>43951</v>
      </c>
      <c r="C1201" s="128">
        <v>33717.620000000003</v>
      </c>
    </row>
    <row r="1202" spans="2:3" x14ac:dyDescent="0.25">
      <c r="B1202" s="141">
        <v>43955</v>
      </c>
      <c r="C1202" s="128">
        <v>31715.35</v>
      </c>
    </row>
    <row r="1203" spans="2:3" x14ac:dyDescent="0.25">
      <c r="B1203" s="141">
        <v>43956</v>
      </c>
      <c r="C1203" s="128">
        <v>31453.51</v>
      </c>
    </row>
    <row r="1204" spans="2:3" x14ac:dyDescent="0.25">
      <c r="B1204" s="141">
        <v>43957</v>
      </c>
      <c r="C1204" s="128">
        <v>31685.75</v>
      </c>
    </row>
    <row r="1205" spans="2:3" x14ac:dyDescent="0.25">
      <c r="B1205" s="141">
        <v>43958</v>
      </c>
      <c r="C1205" s="128">
        <v>31443.38</v>
      </c>
    </row>
    <row r="1206" spans="2:3" x14ac:dyDescent="0.25">
      <c r="B1206" s="141">
        <v>43959</v>
      </c>
      <c r="C1206" s="128">
        <v>31642.7</v>
      </c>
    </row>
    <row r="1207" spans="2:3" x14ac:dyDescent="0.25">
      <c r="B1207" s="141">
        <v>43962</v>
      </c>
      <c r="C1207" s="128">
        <v>31561.22</v>
      </c>
    </row>
    <row r="1208" spans="2:3" x14ac:dyDescent="0.25">
      <c r="B1208" s="141">
        <v>43963</v>
      </c>
      <c r="C1208" s="128">
        <v>31371.119999999999</v>
      </c>
    </row>
    <row r="1209" spans="2:3" x14ac:dyDescent="0.25">
      <c r="B1209" s="141">
        <v>43964</v>
      </c>
      <c r="C1209" s="128">
        <v>32008.61</v>
      </c>
    </row>
    <row r="1210" spans="2:3" x14ac:dyDescent="0.25">
      <c r="B1210" s="141">
        <v>43965</v>
      </c>
      <c r="C1210" s="128">
        <v>31122.89</v>
      </c>
    </row>
    <row r="1211" spans="2:3" x14ac:dyDescent="0.25">
      <c r="B1211" s="141">
        <v>43966</v>
      </c>
      <c r="C1211" s="128">
        <v>31097.73</v>
      </c>
    </row>
    <row r="1212" spans="2:3" x14ac:dyDescent="0.25">
      <c r="B1212" s="141">
        <v>43969</v>
      </c>
      <c r="C1212" s="128">
        <v>30028.98</v>
      </c>
    </row>
    <row r="1213" spans="2:3" x14ac:dyDescent="0.25">
      <c r="B1213" s="141">
        <v>43970</v>
      </c>
      <c r="C1213" s="128">
        <v>30196.17</v>
      </c>
    </row>
    <row r="1214" spans="2:3" x14ac:dyDescent="0.25">
      <c r="B1214" s="141">
        <v>43971</v>
      </c>
      <c r="C1214" s="128">
        <v>30818.61</v>
      </c>
    </row>
    <row r="1215" spans="2:3" x14ac:dyDescent="0.25">
      <c r="B1215" s="141">
        <v>43972</v>
      </c>
      <c r="C1215" s="128">
        <v>30932.9</v>
      </c>
    </row>
    <row r="1216" spans="2:3" x14ac:dyDescent="0.25">
      <c r="B1216" s="141">
        <v>43973</v>
      </c>
      <c r="C1216" s="128">
        <v>30672.59</v>
      </c>
    </row>
    <row r="1217" spans="2:3" x14ac:dyDescent="0.25">
      <c r="B1217" s="141">
        <v>43977</v>
      </c>
      <c r="C1217" s="128">
        <v>30609.3</v>
      </c>
    </row>
    <row r="1218" spans="2:3" x14ac:dyDescent="0.25">
      <c r="B1218" s="141">
        <v>43978</v>
      </c>
      <c r="C1218" s="128">
        <v>31605.22</v>
      </c>
    </row>
    <row r="1219" spans="2:3" x14ac:dyDescent="0.25">
      <c r="B1219" s="141">
        <v>43979</v>
      </c>
      <c r="C1219" s="128">
        <v>32200.59</v>
      </c>
    </row>
    <row r="1220" spans="2:3" x14ac:dyDescent="0.25">
      <c r="B1220" s="141">
        <v>43980</v>
      </c>
      <c r="C1220" s="128">
        <v>32424.1</v>
      </c>
    </row>
    <row r="1221" spans="2:3" x14ac:dyDescent="0.25">
      <c r="B1221" s="141">
        <v>43983</v>
      </c>
      <c r="C1221" s="128">
        <v>33303.519999999997</v>
      </c>
    </row>
    <row r="1222" spans="2:3" x14ac:dyDescent="0.25">
      <c r="B1222" s="141">
        <v>43984</v>
      </c>
      <c r="C1222" s="128">
        <v>33825.53</v>
      </c>
    </row>
    <row r="1223" spans="2:3" x14ac:dyDescent="0.25">
      <c r="B1223" s="141">
        <v>43985</v>
      </c>
      <c r="C1223" s="128">
        <v>34109.54</v>
      </c>
    </row>
    <row r="1224" spans="2:3" x14ac:dyDescent="0.25">
      <c r="B1224" s="141">
        <v>43986</v>
      </c>
      <c r="C1224" s="128">
        <v>33980.699999999997</v>
      </c>
    </row>
    <row r="1225" spans="2:3" x14ac:dyDescent="0.25">
      <c r="B1225" s="141">
        <v>43987</v>
      </c>
      <c r="C1225" s="128">
        <v>34287.24</v>
      </c>
    </row>
    <row r="1226" spans="2:3" x14ac:dyDescent="0.25">
      <c r="B1226" s="141">
        <v>43990</v>
      </c>
      <c r="C1226" s="128">
        <v>34370.58</v>
      </c>
    </row>
    <row r="1227" spans="2:3" x14ac:dyDescent="0.25">
      <c r="B1227" s="141">
        <v>43991</v>
      </c>
      <c r="C1227" s="128">
        <v>33956.69</v>
      </c>
    </row>
    <row r="1228" spans="2:3" x14ac:dyDescent="0.25">
      <c r="B1228" s="141">
        <v>43992</v>
      </c>
      <c r="C1228" s="128">
        <v>34247.050000000003</v>
      </c>
    </row>
    <row r="1229" spans="2:3" x14ac:dyDescent="0.25">
      <c r="B1229" s="141">
        <v>43993</v>
      </c>
      <c r="C1229" s="128">
        <v>33538.370000000003</v>
      </c>
    </row>
    <row r="1230" spans="2:3" x14ac:dyDescent="0.25">
      <c r="B1230" s="141">
        <v>43994</v>
      </c>
      <c r="C1230" s="128">
        <v>33780.89</v>
      </c>
    </row>
    <row r="1231" spans="2:3" x14ac:dyDescent="0.25">
      <c r="B1231" s="141">
        <v>43997</v>
      </c>
      <c r="C1231" s="128">
        <v>33228.800000000003</v>
      </c>
    </row>
    <row r="1232" spans="2:3" x14ac:dyDescent="0.25">
      <c r="B1232" s="141">
        <v>43998</v>
      </c>
      <c r="C1232" s="128">
        <v>33605.22</v>
      </c>
    </row>
    <row r="1233" spans="2:3" x14ac:dyDescent="0.25">
      <c r="B1233" s="141">
        <v>43999</v>
      </c>
      <c r="C1233" s="128">
        <v>33507.919999999998</v>
      </c>
    </row>
    <row r="1234" spans="2:3" x14ac:dyDescent="0.25">
      <c r="B1234" s="141">
        <v>44000</v>
      </c>
      <c r="C1234" s="128">
        <v>34208.050000000003</v>
      </c>
    </row>
    <row r="1235" spans="2:3" x14ac:dyDescent="0.25">
      <c r="B1235" s="141">
        <v>44001</v>
      </c>
      <c r="C1235" s="128">
        <v>34731.730000000003</v>
      </c>
    </row>
    <row r="1236" spans="2:3" x14ac:dyDescent="0.25">
      <c r="B1236" s="141">
        <v>44004</v>
      </c>
      <c r="C1236" s="128">
        <v>34911.32</v>
      </c>
    </row>
    <row r="1237" spans="2:3" x14ac:dyDescent="0.25">
      <c r="B1237" s="141">
        <v>44005</v>
      </c>
      <c r="C1237" s="128">
        <v>35430.43</v>
      </c>
    </row>
    <row r="1238" spans="2:3" x14ac:dyDescent="0.25">
      <c r="B1238" s="141">
        <v>44006</v>
      </c>
      <c r="C1238" s="128">
        <v>34868.980000000003</v>
      </c>
    </row>
    <row r="1239" spans="2:3" x14ac:dyDescent="0.25">
      <c r="B1239" s="141">
        <v>44007</v>
      </c>
      <c r="C1239" s="128">
        <v>34842.1</v>
      </c>
    </row>
    <row r="1240" spans="2:3" x14ac:dyDescent="0.25">
      <c r="B1240" s="141">
        <v>44008</v>
      </c>
      <c r="C1240" s="128">
        <v>35171.269999999997</v>
      </c>
    </row>
    <row r="1241" spans="2:3" x14ac:dyDescent="0.25">
      <c r="B1241" s="141">
        <v>44011</v>
      </c>
      <c r="C1241" s="128">
        <v>34961.519999999997</v>
      </c>
    </row>
    <row r="1242" spans="2:3" x14ac:dyDescent="0.25">
      <c r="B1242" s="141">
        <v>44012</v>
      </c>
      <c r="C1242" s="128">
        <v>34915.800000000003</v>
      </c>
    </row>
    <row r="1243" spans="2:3" x14ac:dyDescent="0.25">
      <c r="B1243" s="141">
        <v>44013</v>
      </c>
      <c r="C1243" s="128">
        <v>35414.449999999997</v>
      </c>
    </row>
    <row r="1244" spans="2:3" x14ac:dyDescent="0.25">
      <c r="B1244" s="141">
        <v>44014</v>
      </c>
      <c r="C1244" s="128">
        <v>35843.699999999997</v>
      </c>
    </row>
    <row r="1245" spans="2:3" x14ac:dyDescent="0.25">
      <c r="B1245" s="141">
        <v>44015</v>
      </c>
      <c r="C1245" s="128">
        <v>36021.42</v>
      </c>
    </row>
    <row r="1246" spans="2:3" x14ac:dyDescent="0.25">
      <c r="B1246" s="141">
        <v>44018</v>
      </c>
      <c r="C1246" s="128">
        <v>36487.279999999999</v>
      </c>
    </row>
    <row r="1247" spans="2:3" x14ac:dyDescent="0.25">
      <c r="B1247" s="141">
        <v>44019</v>
      </c>
      <c r="C1247" s="128">
        <v>36674.519999999997</v>
      </c>
    </row>
    <row r="1248" spans="2:3" x14ac:dyDescent="0.25">
      <c r="B1248" s="141">
        <v>44020</v>
      </c>
      <c r="C1248" s="128">
        <v>36329.01</v>
      </c>
    </row>
    <row r="1249" spans="2:3" x14ac:dyDescent="0.25">
      <c r="B1249" s="141">
        <v>44021</v>
      </c>
      <c r="C1249" s="128">
        <v>36737.69</v>
      </c>
    </row>
    <row r="1250" spans="2:3" x14ac:dyDescent="0.25">
      <c r="B1250" s="141">
        <v>44022</v>
      </c>
      <c r="C1250" s="128">
        <v>36594.33</v>
      </c>
    </row>
    <row r="1251" spans="2:3" x14ac:dyDescent="0.25">
      <c r="B1251" s="141">
        <v>44025</v>
      </c>
      <c r="C1251" s="128">
        <v>36693.69</v>
      </c>
    </row>
    <row r="1252" spans="2:3" x14ac:dyDescent="0.25">
      <c r="B1252" s="141">
        <v>44026</v>
      </c>
      <c r="C1252" s="128">
        <v>36033.06</v>
      </c>
    </row>
    <row r="1253" spans="2:3" x14ac:dyDescent="0.25">
      <c r="B1253" s="141">
        <v>44027</v>
      </c>
      <c r="C1253" s="128">
        <v>36051.81</v>
      </c>
    </row>
    <row r="1254" spans="2:3" x14ac:dyDescent="0.25">
      <c r="B1254" s="141">
        <v>44028</v>
      </c>
      <c r="C1254" s="128">
        <v>36471.68</v>
      </c>
    </row>
    <row r="1255" spans="2:3" x14ac:dyDescent="0.25">
      <c r="B1255" s="141">
        <v>44029</v>
      </c>
      <c r="C1255" s="128">
        <v>37020.14</v>
      </c>
    </row>
    <row r="1256" spans="2:3" x14ac:dyDescent="0.25">
      <c r="B1256" s="141">
        <v>44032</v>
      </c>
      <c r="C1256" s="128">
        <v>37418.99</v>
      </c>
    </row>
    <row r="1257" spans="2:3" x14ac:dyDescent="0.25">
      <c r="B1257" s="141">
        <v>44033</v>
      </c>
      <c r="C1257" s="128">
        <v>37930.33</v>
      </c>
    </row>
    <row r="1258" spans="2:3" x14ac:dyDescent="0.25">
      <c r="B1258" s="141">
        <v>44034</v>
      </c>
      <c r="C1258" s="128">
        <v>37871.519999999997</v>
      </c>
    </row>
    <row r="1259" spans="2:3" x14ac:dyDescent="0.25">
      <c r="B1259" s="141">
        <v>44035</v>
      </c>
      <c r="C1259" s="128">
        <v>38140.47</v>
      </c>
    </row>
    <row r="1260" spans="2:3" x14ac:dyDescent="0.25">
      <c r="B1260" s="141">
        <v>44036</v>
      </c>
      <c r="C1260" s="128">
        <v>38128.9</v>
      </c>
    </row>
    <row r="1261" spans="2:3" x14ac:dyDescent="0.25">
      <c r="B1261" s="141">
        <v>44039</v>
      </c>
      <c r="C1261" s="128">
        <v>37934.730000000003</v>
      </c>
    </row>
    <row r="1262" spans="2:3" x14ac:dyDescent="0.25">
      <c r="B1262" s="141">
        <v>44040</v>
      </c>
      <c r="C1262" s="128">
        <v>38492.949999999997</v>
      </c>
    </row>
    <row r="1263" spans="2:3" x14ac:dyDescent="0.25">
      <c r="B1263" s="141">
        <v>44041</v>
      </c>
      <c r="C1263" s="128">
        <v>38071.129999999997</v>
      </c>
    </row>
    <row r="1264" spans="2:3" x14ac:dyDescent="0.25">
      <c r="B1264" s="141">
        <v>44042</v>
      </c>
      <c r="C1264" s="128">
        <v>37736.07</v>
      </c>
    </row>
    <row r="1265" spans="2:3" x14ac:dyDescent="0.25">
      <c r="B1265" s="141">
        <v>44043</v>
      </c>
      <c r="C1265" s="128">
        <v>37606.89</v>
      </c>
    </row>
    <row r="1266" spans="2:3" x14ac:dyDescent="0.25">
      <c r="B1266" s="141">
        <v>44046</v>
      </c>
      <c r="C1266" s="128">
        <v>36939.599999999999</v>
      </c>
    </row>
    <row r="1267" spans="2:3" x14ac:dyDescent="0.25">
      <c r="B1267" s="141">
        <v>44047</v>
      </c>
      <c r="C1267" s="128">
        <v>37687.910000000003</v>
      </c>
    </row>
    <row r="1268" spans="2:3" x14ac:dyDescent="0.25">
      <c r="B1268" s="141">
        <v>44048</v>
      </c>
      <c r="C1268" s="128">
        <v>37663.33</v>
      </c>
    </row>
    <row r="1269" spans="2:3" x14ac:dyDescent="0.25">
      <c r="B1269" s="141">
        <v>44049</v>
      </c>
      <c r="C1269" s="128">
        <v>38025.449999999997</v>
      </c>
    </row>
    <row r="1270" spans="2:3" x14ac:dyDescent="0.25">
      <c r="B1270" s="141">
        <v>44050</v>
      </c>
      <c r="C1270" s="128">
        <v>38040.57</v>
      </c>
    </row>
    <row r="1271" spans="2:3" x14ac:dyDescent="0.25">
      <c r="B1271" s="141">
        <v>44053</v>
      </c>
      <c r="C1271" s="128">
        <v>38182.080000000002</v>
      </c>
    </row>
    <row r="1272" spans="2:3" x14ac:dyDescent="0.25">
      <c r="B1272" s="141">
        <v>44054</v>
      </c>
      <c r="C1272" s="128">
        <v>38407.01</v>
      </c>
    </row>
    <row r="1273" spans="2:3" x14ac:dyDescent="0.25">
      <c r="B1273" s="141">
        <v>44055</v>
      </c>
      <c r="C1273" s="128">
        <v>38369.629999999997</v>
      </c>
    </row>
    <row r="1274" spans="2:3" x14ac:dyDescent="0.25">
      <c r="B1274" s="141">
        <v>44056</v>
      </c>
      <c r="C1274" s="128">
        <v>38310.49</v>
      </c>
    </row>
    <row r="1275" spans="2:3" x14ac:dyDescent="0.25">
      <c r="B1275" s="141">
        <v>44057</v>
      </c>
      <c r="C1275" s="128">
        <v>37877.339999999997</v>
      </c>
    </row>
    <row r="1276" spans="2:3" x14ac:dyDescent="0.25">
      <c r="B1276" s="141">
        <v>44060</v>
      </c>
      <c r="C1276" s="128">
        <v>38050.78</v>
      </c>
    </row>
    <row r="1277" spans="2:3" x14ac:dyDescent="0.25">
      <c r="B1277" s="141">
        <v>44061</v>
      </c>
      <c r="C1277" s="128">
        <v>38528.32</v>
      </c>
    </row>
    <row r="1278" spans="2:3" x14ac:dyDescent="0.25">
      <c r="B1278" s="141">
        <v>44062</v>
      </c>
      <c r="C1278" s="128">
        <v>38614.79</v>
      </c>
    </row>
    <row r="1279" spans="2:3" x14ac:dyDescent="0.25">
      <c r="B1279" s="141">
        <v>44063</v>
      </c>
      <c r="C1279" s="128">
        <v>38220.39</v>
      </c>
    </row>
    <row r="1280" spans="2:3" x14ac:dyDescent="0.25">
      <c r="B1280" s="141">
        <v>44064</v>
      </c>
      <c r="C1280" s="128">
        <v>38434.720000000001</v>
      </c>
    </row>
    <row r="1281" spans="2:3" x14ac:dyDescent="0.25">
      <c r="B1281" s="141">
        <v>44067</v>
      </c>
      <c r="C1281" s="128">
        <v>38799.08</v>
      </c>
    </row>
    <row r="1282" spans="2:3" x14ac:dyDescent="0.25">
      <c r="B1282" s="141">
        <v>44068</v>
      </c>
      <c r="C1282" s="128">
        <v>38843.879999999997</v>
      </c>
    </row>
    <row r="1283" spans="2:3" x14ac:dyDescent="0.25">
      <c r="B1283" s="141">
        <v>44069</v>
      </c>
      <c r="C1283" s="128">
        <v>39073.919999999998</v>
      </c>
    </row>
    <row r="1284" spans="2:3" x14ac:dyDescent="0.25">
      <c r="B1284" s="141">
        <v>44070</v>
      </c>
      <c r="C1284" s="128">
        <v>39113.47</v>
      </c>
    </row>
    <row r="1285" spans="2:3" x14ac:dyDescent="0.25">
      <c r="B1285" s="141">
        <v>44071</v>
      </c>
      <c r="C1285" s="128">
        <v>39467.31</v>
      </c>
    </row>
    <row r="1286" spans="2:3" x14ac:dyDescent="0.25">
      <c r="B1286" s="141">
        <v>44074</v>
      </c>
      <c r="C1286" s="128">
        <v>38628.29</v>
      </c>
    </row>
    <row r="1287" spans="2:3" x14ac:dyDescent="0.25">
      <c r="B1287" s="141">
        <v>44075</v>
      </c>
      <c r="C1287" s="128">
        <v>38900.800000000003</v>
      </c>
    </row>
    <row r="1288" spans="2:3" x14ac:dyDescent="0.25">
      <c r="B1288" s="141">
        <v>44076</v>
      </c>
      <c r="C1288" s="128">
        <v>39086.03</v>
      </c>
    </row>
    <row r="1289" spans="2:3" x14ac:dyDescent="0.25">
      <c r="B1289" s="141">
        <v>44077</v>
      </c>
      <c r="C1289" s="128">
        <v>38990.94</v>
      </c>
    </row>
    <row r="1290" spans="2:3" x14ac:dyDescent="0.25">
      <c r="B1290" s="141">
        <v>44078</v>
      </c>
      <c r="C1290" s="128">
        <v>38357.18</v>
      </c>
    </row>
    <row r="1291" spans="2:3" x14ac:dyDescent="0.25">
      <c r="B1291" s="141">
        <v>44081</v>
      </c>
      <c r="C1291" s="128">
        <v>38417.230000000003</v>
      </c>
    </row>
    <row r="1292" spans="2:3" x14ac:dyDescent="0.25">
      <c r="B1292" s="141">
        <v>44082</v>
      </c>
      <c r="C1292" s="128">
        <v>38365.35</v>
      </c>
    </row>
    <row r="1293" spans="2:3" x14ac:dyDescent="0.25">
      <c r="B1293" s="141">
        <v>44083</v>
      </c>
      <c r="C1293" s="128">
        <v>38193.919999999998</v>
      </c>
    </row>
    <row r="1294" spans="2:3" x14ac:dyDescent="0.25">
      <c r="B1294" s="141">
        <v>44084</v>
      </c>
      <c r="C1294" s="128">
        <v>38840.32</v>
      </c>
    </row>
    <row r="1295" spans="2:3" x14ac:dyDescent="0.25">
      <c r="B1295" s="141">
        <v>44085</v>
      </c>
      <c r="C1295" s="128">
        <v>38854.550000000003</v>
      </c>
    </row>
    <row r="1296" spans="2:3" x14ac:dyDescent="0.25">
      <c r="B1296" s="141">
        <v>44088</v>
      </c>
      <c r="C1296" s="128">
        <v>38756.629999999997</v>
      </c>
    </row>
    <row r="1297" spans="2:3" x14ac:dyDescent="0.25">
      <c r="B1297" s="141">
        <v>44089</v>
      </c>
      <c r="C1297" s="128">
        <v>39044.35</v>
      </c>
    </row>
    <row r="1298" spans="2:3" x14ac:dyDescent="0.25">
      <c r="B1298" s="141">
        <v>44090</v>
      </c>
      <c r="C1298" s="128">
        <v>39302.85</v>
      </c>
    </row>
    <row r="1299" spans="2:3" x14ac:dyDescent="0.25">
      <c r="B1299" s="141">
        <v>44091</v>
      </c>
      <c r="C1299" s="128">
        <v>38979.85</v>
      </c>
    </row>
    <row r="1300" spans="2:3" x14ac:dyDescent="0.25">
      <c r="B1300" s="141">
        <v>44092</v>
      </c>
      <c r="C1300" s="128">
        <v>38845.82</v>
      </c>
    </row>
    <row r="1301" spans="2:3" x14ac:dyDescent="0.25">
      <c r="B1301" s="141">
        <v>44095</v>
      </c>
      <c r="C1301" s="128">
        <v>38034.14</v>
      </c>
    </row>
    <row r="1302" spans="2:3" x14ac:dyDescent="0.25">
      <c r="B1302" s="141">
        <v>44096</v>
      </c>
      <c r="C1302" s="128">
        <v>37734.080000000002</v>
      </c>
    </row>
    <row r="1303" spans="2:3" x14ac:dyDescent="0.25">
      <c r="B1303" s="141">
        <v>44097</v>
      </c>
      <c r="C1303" s="128">
        <v>37668.42</v>
      </c>
    </row>
    <row r="1304" spans="2:3" x14ac:dyDescent="0.25">
      <c r="B1304" s="141">
        <v>44098</v>
      </c>
      <c r="C1304" s="128">
        <v>36553.599999999999</v>
      </c>
    </row>
    <row r="1305" spans="2:3" x14ac:dyDescent="0.25">
      <c r="B1305" s="141">
        <v>44099</v>
      </c>
      <c r="C1305" s="128">
        <v>37388.660000000003</v>
      </c>
    </row>
    <row r="1306" spans="2:3" x14ac:dyDescent="0.25">
      <c r="B1306" s="141">
        <v>44102</v>
      </c>
      <c r="C1306" s="128">
        <v>37981.629999999997</v>
      </c>
    </row>
    <row r="1307" spans="2:3" x14ac:dyDescent="0.25">
      <c r="B1307" s="141">
        <v>44103</v>
      </c>
      <c r="C1307" s="128">
        <v>37973.22</v>
      </c>
    </row>
    <row r="1308" spans="2:3" x14ac:dyDescent="0.25">
      <c r="B1308" s="141">
        <v>44104</v>
      </c>
      <c r="C1308" s="128">
        <v>38067.93</v>
      </c>
    </row>
    <row r="1309" spans="2:3" x14ac:dyDescent="0.25">
      <c r="B1309" s="141">
        <v>44105</v>
      </c>
      <c r="C1309" s="128">
        <v>38697.050000000003</v>
      </c>
    </row>
    <row r="1310" spans="2:3" x14ac:dyDescent="0.25">
      <c r="B1310" s="141">
        <v>44109</v>
      </c>
      <c r="C1310" s="128">
        <v>38973.699999999997</v>
      </c>
    </row>
    <row r="1311" spans="2:3" x14ac:dyDescent="0.25">
      <c r="B1311" s="141">
        <v>44110</v>
      </c>
      <c r="C1311" s="128">
        <v>39574.57</v>
      </c>
    </row>
    <row r="1312" spans="2:3" x14ac:dyDescent="0.25">
      <c r="B1312" s="141">
        <v>44111</v>
      </c>
      <c r="C1312" s="128">
        <v>39878.949999999997</v>
      </c>
    </row>
    <row r="1313" spans="2:3" x14ac:dyDescent="0.25">
      <c r="B1313" s="141">
        <v>44112</v>
      </c>
      <c r="C1313" s="128">
        <v>40182.67</v>
      </c>
    </row>
    <row r="1314" spans="2:3" x14ac:dyDescent="0.25">
      <c r="B1314" s="141">
        <v>44113</v>
      </c>
      <c r="C1314" s="128">
        <v>40509.49</v>
      </c>
    </row>
    <row r="1315" spans="2:3" x14ac:dyDescent="0.25">
      <c r="B1315" s="141">
        <v>44116</v>
      </c>
      <c r="C1315" s="128">
        <v>40593.800000000003</v>
      </c>
    </row>
    <row r="1316" spans="2:3" x14ac:dyDescent="0.25">
      <c r="B1316" s="141">
        <v>44117</v>
      </c>
      <c r="C1316" s="128">
        <v>40625.51</v>
      </c>
    </row>
    <row r="1317" spans="2:3" x14ac:dyDescent="0.25">
      <c r="B1317" s="141">
        <v>44118</v>
      </c>
      <c r="C1317" s="128">
        <v>40794.74</v>
      </c>
    </row>
    <row r="1318" spans="2:3" x14ac:dyDescent="0.25">
      <c r="B1318" s="141">
        <v>44119</v>
      </c>
      <c r="C1318" s="128">
        <v>39728.410000000003</v>
      </c>
    </row>
    <row r="1319" spans="2:3" x14ac:dyDescent="0.25">
      <c r="B1319" s="141">
        <v>44120</v>
      </c>
      <c r="C1319" s="128">
        <v>39982.980000000003</v>
      </c>
    </row>
    <row r="1320" spans="2:3" x14ac:dyDescent="0.25">
      <c r="B1320" s="141">
        <v>44123</v>
      </c>
      <c r="C1320" s="128">
        <v>40431.599999999999</v>
      </c>
    </row>
    <row r="1321" spans="2:3" x14ac:dyDescent="0.25">
      <c r="B1321" s="141">
        <v>44124</v>
      </c>
      <c r="C1321" s="128">
        <v>40544.370000000003</v>
      </c>
    </row>
    <row r="1322" spans="2:3" x14ac:dyDescent="0.25">
      <c r="B1322" s="141">
        <v>44125</v>
      </c>
      <c r="C1322" s="128">
        <v>40707.31</v>
      </c>
    </row>
    <row r="1323" spans="2:3" x14ac:dyDescent="0.25">
      <c r="B1323" s="141">
        <v>44126</v>
      </c>
      <c r="C1323" s="128">
        <v>40558.49</v>
      </c>
    </row>
    <row r="1324" spans="2:3" x14ac:dyDescent="0.25">
      <c r="B1324" s="141">
        <v>44127</v>
      </c>
      <c r="C1324" s="128">
        <v>40685.5</v>
      </c>
    </row>
    <row r="1325" spans="2:3" x14ac:dyDescent="0.25">
      <c r="B1325" s="141">
        <v>44130</v>
      </c>
      <c r="C1325" s="128">
        <v>40145.5</v>
      </c>
    </row>
    <row r="1326" spans="2:3" x14ac:dyDescent="0.25">
      <c r="B1326" s="141">
        <v>44131</v>
      </c>
      <c r="C1326" s="128">
        <v>40522.1</v>
      </c>
    </row>
    <row r="1327" spans="2:3" x14ac:dyDescent="0.25">
      <c r="B1327" s="141">
        <v>44132</v>
      </c>
      <c r="C1327" s="128">
        <v>39922.46</v>
      </c>
    </row>
    <row r="1328" spans="2:3" x14ac:dyDescent="0.25">
      <c r="B1328" s="141">
        <v>44133</v>
      </c>
      <c r="C1328" s="128">
        <v>39749.85</v>
      </c>
    </row>
    <row r="1329" spans="2:3" x14ac:dyDescent="0.25">
      <c r="B1329" s="141">
        <v>44134</v>
      </c>
      <c r="C1329" s="128">
        <v>39614.07</v>
      </c>
    </row>
    <row r="1330" spans="2:3" x14ac:dyDescent="0.25">
      <c r="B1330" s="141">
        <v>44137</v>
      </c>
      <c r="C1330" s="128">
        <v>39757.58</v>
      </c>
    </row>
    <row r="1331" spans="2:3" x14ac:dyDescent="0.25">
      <c r="B1331" s="141">
        <v>44138</v>
      </c>
      <c r="C1331" s="128">
        <v>40261.129999999997</v>
      </c>
    </row>
    <row r="1332" spans="2:3" x14ac:dyDescent="0.25">
      <c r="B1332" s="141">
        <v>44139</v>
      </c>
      <c r="C1332" s="128">
        <v>40616.14</v>
      </c>
    </row>
    <row r="1333" spans="2:3" x14ac:dyDescent="0.25">
      <c r="B1333" s="141">
        <v>44140</v>
      </c>
      <c r="C1333" s="128">
        <v>41340.160000000003</v>
      </c>
    </row>
    <row r="1334" spans="2:3" x14ac:dyDescent="0.25">
      <c r="B1334" s="141">
        <v>44141</v>
      </c>
      <c r="C1334" s="128">
        <v>41893.06</v>
      </c>
    </row>
    <row r="1335" spans="2:3" x14ac:dyDescent="0.25">
      <c r="B1335" s="141">
        <v>44144</v>
      </c>
      <c r="C1335" s="128">
        <v>42597.43</v>
      </c>
    </row>
    <row r="1336" spans="2:3" x14ac:dyDescent="0.25">
      <c r="B1336" s="141">
        <v>44145</v>
      </c>
      <c r="C1336" s="128">
        <v>43277.65</v>
      </c>
    </row>
    <row r="1337" spans="2:3" x14ac:dyDescent="0.25">
      <c r="B1337" s="141">
        <v>44146</v>
      </c>
      <c r="C1337" s="128">
        <v>43593.67</v>
      </c>
    </row>
    <row r="1338" spans="2:3" x14ac:dyDescent="0.25">
      <c r="B1338" s="141">
        <v>44147</v>
      </c>
      <c r="C1338" s="128">
        <v>43357.19</v>
      </c>
    </row>
    <row r="1339" spans="2:3" x14ac:dyDescent="0.25">
      <c r="B1339" s="141">
        <v>44148</v>
      </c>
      <c r="C1339" s="128">
        <v>43443</v>
      </c>
    </row>
    <row r="1340" spans="2:3" x14ac:dyDescent="0.25">
      <c r="B1340" s="141">
        <v>44149</v>
      </c>
      <c r="C1340" s="128">
        <v>43637.98</v>
      </c>
    </row>
    <row r="1341" spans="2:3" x14ac:dyDescent="0.25">
      <c r="B1341" s="141">
        <v>44152</v>
      </c>
      <c r="C1341" s="128">
        <v>43952.71</v>
      </c>
    </row>
    <row r="1342" spans="2:3" x14ac:dyDescent="0.25">
      <c r="B1342" s="141">
        <v>44153</v>
      </c>
      <c r="C1342" s="128">
        <v>44180.05</v>
      </c>
    </row>
    <row r="1343" spans="2:3" x14ac:dyDescent="0.25">
      <c r="B1343" s="141">
        <v>44154</v>
      </c>
      <c r="C1343" s="128">
        <v>43599.96</v>
      </c>
    </row>
    <row r="1344" spans="2:3" x14ac:dyDescent="0.25">
      <c r="B1344" s="141">
        <v>44155</v>
      </c>
      <c r="C1344" s="128">
        <v>43882.25</v>
      </c>
    </row>
    <row r="1345" spans="2:3" x14ac:dyDescent="0.25">
      <c r="B1345" s="141">
        <v>44158</v>
      </c>
      <c r="C1345" s="128">
        <v>44077.15</v>
      </c>
    </row>
    <row r="1346" spans="2:3" x14ac:dyDescent="0.25">
      <c r="B1346" s="141">
        <v>44159</v>
      </c>
      <c r="C1346" s="128">
        <v>44523.02</v>
      </c>
    </row>
    <row r="1347" spans="2:3" x14ac:dyDescent="0.25">
      <c r="B1347" s="141">
        <v>44160</v>
      </c>
      <c r="C1347" s="128">
        <v>43828.1</v>
      </c>
    </row>
    <row r="1348" spans="2:3" x14ac:dyDescent="0.25">
      <c r="B1348" s="141">
        <v>44161</v>
      </c>
      <c r="C1348" s="128">
        <v>44259.74</v>
      </c>
    </row>
    <row r="1349" spans="2:3" x14ac:dyDescent="0.25">
      <c r="B1349" s="141">
        <v>44162</v>
      </c>
      <c r="C1349" s="128">
        <v>44149.72</v>
      </c>
    </row>
    <row r="1350" spans="2:3" x14ac:dyDescent="0.25">
      <c r="B1350" s="141">
        <v>44166</v>
      </c>
      <c r="C1350" s="128">
        <v>44655.44</v>
      </c>
    </row>
    <row r="1351" spans="2:3" x14ac:dyDescent="0.25">
      <c r="B1351" s="141">
        <v>44167</v>
      </c>
      <c r="C1351" s="128">
        <v>44618.04</v>
      </c>
    </row>
    <row r="1352" spans="2:3" x14ac:dyDescent="0.25">
      <c r="B1352" s="141">
        <v>44168</v>
      </c>
      <c r="C1352" s="128">
        <v>44632.65</v>
      </c>
    </row>
    <row r="1353" spans="2:3" x14ac:dyDescent="0.25">
      <c r="B1353" s="141">
        <v>44169</v>
      </c>
      <c r="C1353" s="128">
        <v>45079.55</v>
      </c>
    </row>
    <row r="1354" spans="2:3" x14ac:dyDescent="0.25">
      <c r="B1354" s="141">
        <v>44172</v>
      </c>
      <c r="C1354" s="128">
        <v>45426.97</v>
      </c>
    </row>
    <row r="1355" spans="2:3" x14ac:dyDescent="0.25">
      <c r="B1355" s="141">
        <v>44173</v>
      </c>
      <c r="C1355" s="128">
        <v>45608.51</v>
      </c>
    </row>
    <row r="1356" spans="2:3" x14ac:dyDescent="0.25">
      <c r="B1356" s="141">
        <v>44174</v>
      </c>
      <c r="C1356" s="128">
        <v>46103.5</v>
      </c>
    </row>
    <row r="1357" spans="2:3" x14ac:dyDescent="0.25">
      <c r="B1357" s="141">
        <v>44175</v>
      </c>
      <c r="C1357" s="128">
        <v>45959.88</v>
      </c>
    </row>
    <row r="1358" spans="2:3" x14ac:dyDescent="0.25">
      <c r="B1358" s="141">
        <v>44176</v>
      </c>
      <c r="C1358" s="128">
        <v>46099.01</v>
      </c>
    </row>
    <row r="1359" spans="2:3" x14ac:dyDescent="0.25">
      <c r="B1359" s="141">
        <v>44179</v>
      </c>
      <c r="C1359" s="128">
        <v>46253.46</v>
      </c>
    </row>
    <row r="1360" spans="2:3" x14ac:dyDescent="0.25">
      <c r="B1360" s="141">
        <v>44180</v>
      </c>
      <c r="C1360" s="128">
        <v>46263.17</v>
      </c>
    </row>
    <row r="1361" spans="2:3" x14ac:dyDescent="0.25">
      <c r="B1361" s="141">
        <v>44181</v>
      </c>
      <c r="C1361" s="128">
        <v>46666.46</v>
      </c>
    </row>
    <row r="1362" spans="2:3" x14ac:dyDescent="0.25">
      <c r="B1362" s="141">
        <v>44182</v>
      </c>
      <c r="C1362" s="128">
        <v>46890.34</v>
      </c>
    </row>
    <row r="1363" spans="2:3" x14ac:dyDescent="0.25">
      <c r="B1363" s="141">
        <v>44183</v>
      </c>
      <c r="C1363" s="128">
        <v>46960.69</v>
      </c>
    </row>
    <row r="1364" spans="2:3" x14ac:dyDescent="0.25">
      <c r="B1364" s="141">
        <v>44186</v>
      </c>
      <c r="C1364" s="128">
        <v>45553.96</v>
      </c>
    </row>
    <row r="1365" spans="2:3" x14ac:dyDescent="0.25">
      <c r="B1365" s="141">
        <v>44187</v>
      </c>
      <c r="C1365" s="128">
        <v>46006.69</v>
      </c>
    </row>
    <row r="1366" spans="2:3" x14ac:dyDescent="0.25">
      <c r="B1366" s="141">
        <v>44188</v>
      </c>
      <c r="C1366" s="128">
        <v>46444.18</v>
      </c>
    </row>
    <row r="1367" spans="2:3" x14ac:dyDescent="0.25">
      <c r="B1367" s="141">
        <v>44189</v>
      </c>
      <c r="C1367" s="128">
        <v>46973.54</v>
      </c>
    </row>
    <row r="1368" spans="2:3" x14ac:dyDescent="0.25">
      <c r="B1368" s="141">
        <v>44193</v>
      </c>
      <c r="C1368" s="128">
        <v>47353.75</v>
      </c>
    </row>
    <row r="1369" spans="2:3" x14ac:dyDescent="0.25">
      <c r="B1369" s="141">
        <v>44194</v>
      </c>
      <c r="C1369" s="128">
        <v>47613.08</v>
      </c>
    </row>
    <row r="1370" spans="2:3" x14ac:dyDescent="0.25">
      <c r="B1370" s="141">
        <v>44195</v>
      </c>
      <c r="C1370" s="128">
        <v>47746.22</v>
      </c>
    </row>
    <row r="1371" spans="2:3" x14ac:dyDescent="0.25">
      <c r="B1371" s="141">
        <v>44196</v>
      </c>
      <c r="C1371" s="128">
        <v>47751.33</v>
      </c>
    </row>
    <row r="1372" spans="2:3" x14ac:dyDescent="0.25">
      <c r="B1372" s="141">
        <v>44197</v>
      </c>
      <c r="C1372" s="128">
        <v>47868.98</v>
      </c>
    </row>
    <row r="1373" spans="2:3" x14ac:dyDescent="0.25">
      <c r="B1373" s="141">
        <v>44200</v>
      </c>
      <c r="C1373" s="128">
        <v>48176.800000000003</v>
      </c>
    </row>
    <row r="1374" spans="2:3" x14ac:dyDescent="0.25">
      <c r="B1374" s="141">
        <v>44201</v>
      </c>
      <c r="C1374" s="128">
        <v>48437.78</v>
      </c>
    </row>
    <row r="1375" spans="2:3" x14ac:dyDescent="0.25">
      <c r="B1375" s="141">
        <v>44202</v>
      </c>
      <c r="C1375" s="128">
        <v>48174.06</v>
      </c>
    </row>
    <row r="1376" spans="2:3" x14ac:dyDescent="0.25">
      <c r="B1376" s="141">
        <v>44203</v>
      </c>
      <c r="C1376" s="128">
        <v>48093.32</v>
      </c>
    </row>
    <row r="1377" spans="2:3" x14ac:dyDescent="0.25">
      <c r="B1377" s="141">
        <v>44204</v>
      </c>
      <c r="C1377" s="128">
        <v>48782.51</v>
      </c>
    </row>
    <row r="1378" spans="2:3" x14ac:dyDescent="0.25">
      <c r="B1378" s="141">
        <v>44207</v>
      </c>
      <c r="C1378" s="128">
        <v>49269.32</v>
      </c>
    </row>
    <row r="1379" spans="2:3" x14ac:dyDescent="0.25">
      <c r="B1379" s="141">
        <v>44208</v>
      </c>
      <c r="C1379" s="128">
        <v>49517.11</v>
      </c>
    </row>
    <row r="1380" spans="2:3" x14ac:dyDescent="0.25">
      <c r="B1380" s="141">
        <v>44209</v>
      </c>
      <c r="C1380" s="128">
        <v>49492.32</v>
      </c>
    </row>
    <row r="1381" spans="2:3" x14ac:dyDescent="0.25">
      <c r="B1381" s="141">
        <v>44210</v>
      </c>
      <c r="C1381" s="128">
        <v>49584.160000000003</v>
      </c>
    </row>
    <row r="1382" spans="2:3" x14ac:dyDescent="0.25">
      <c r="B1382" s="141">
        <v>44211</v>
      </c>
      <c r="C1382" s="128">
        <v>49034.67</v>
      </c>
    </row>
    <row r="1383" spans="2:3" x14ac:dyDescent="0.25">
      <c r="B1383" s="141">
        <v>44214</v>
      </c>
      <c r="C1383" s="128">
        <v>48564.27</v>
      </c>
    </row>
    <row r="1384" spans="2:3" x14ac:dyDescent="0.25">
      <c r="B1384" s="141">
        <v>44215</v>
      </c>
      <c r="C1384" s="128">
        <v>49398.29</v>
      </c>
    </row>
    <row r="1385" spans="2:3" x14ac:dyDescent="0.25">
      <c r="B1385" s="141">
        <v>44216</v>
      </c>
      <c r="C1385" s="128">
        <v>49792.12</v>
      </c>
    </row>
    <row r="1386" spans="2:3" x14ac:dyDescent="0.25">
      <c r="B1386" s="141">
        <v>44217</v>
      </c>
      <c r="C1386" s="128">
        <v>49624.76</v>
      </c>
    </row>
    <row r="1387" spans="2:3" x14ac:dyDescent="0.25">
      <c r="B1387" s="141">
        <v>44218</v>
      </c>
      <c r="C1387" s="128">
        <v>48878.54</v>
      </c>
    </row>
    <row r="1388" spans="2:3" x14ac:dyDescent="0.25">
      <c r="B1388" s="141">
        <v>44221</v>
      </c>
      <c r="C1388" s="128">
        <v>48347.59</v>
      </c>
    </row>
    <row r="1389" spans="2:3" x14ac:dyDescent="0.25">
      <c r="B1389" s="141">
        <v>44223</v>
      </c>
      <c r="C1389" s="128">
        <v>47409.93</v>
      </c>
    </row>
    <row r="1390" spans="2:3" x14ac:dyDescent="0.25">
      <c r="B1390" s="141">
        <v>44224</v>
      </c>
      <c r="C1390" s="128">
        <v>46874.36</v>
      </c>
    </row>
    <row r="1391" spans="2:3" x14ac:dyDescent="0.25">
      <c r="B1391" s="141">
        <v>44225</v>
      </c>
      <c r="C1391" s="128">
        <v>46285.77</v>
      </c>
    </row>
    <row r="1392" spans="2:3" x14ac:dyDescent="0.25">
      <c r="B1392" s="141">
        <v>44228</v>
      </c>
      <c r="C1392" s="128">
        <v>48600.61</v>
      </c>
    </row>
    <row r="1393" spans="2:3" x14ac:dyDescent="0.25">
      <c r="B1393" s="141">
        <v>44229</v>
      </c>
      <c r="C1393" s="128">
        <v>49797.72</v>
      </c>
    </row>
    <row r="1394" spans="2:3" x14ac:dyDescent="0.25">
      <c r="B1394" s="141">
        <v>44230</v>
      </c>
      <c r="C1394" s="128">
        <v>50255.75</v>
      </c>
    </row>
    <row r="1395" spans="2:3" x14ac:dyDescent="0.25">
      <c r="B1395" s="141">
        <v>44231</v>
      </c>
      <c r="C1395" s="128">
        <v>50614.29</v>
      </c>
    </row>
    <row r="1396" spans="2:3" x14ac:dyDescent="0.25">
      <c r="B1396" s="141">
        <v>44232</v>
      </c>
      <c r="C1396" s="128">
        <v>50731.63</v>
      </c>
    </row>
    <row r="1397" spans="2:3" x14ac:dyDescent="0.25">
      <c r="B1397" s="141">
        <v>44235</v>
      </c>
      <c r="C1397" s="128">
        <v>51348.77</v>
      </c>
    </row>
    <row r="1398" spans="2:3" x14ac:dyDescent="0.25">
      <c r="B1398" s="141">
        <v>44236</v>
      </c>
      <c r="C1398" s="128">
        <v>51329.08</v>
      </c>
    </row>
    <row r="1399" spans="2:3" x14ac:dyDescent="0.25">
      <c r="B1399" s="141">
        <v>44237</v>
      </c>
      <c r="C1399" s="128">
        <v>51309.39</v>
      </c>
    </row>
    <row r="1400" spans="2:3" x14ac:dyDescent="0.25">
      <c r="B1400" s="141">
        <v>44238</v>
      </c>
      <c r="C1400" s="128">
        <v>51531.519999999997</v>
      </c>
    </row>
    <row r="1401" spans="2:3" x14ac:dyDescent="0.25">
      <c r="B1401" s="141">
        <v>44239</v>
      </c>
      <c r="C1401" s="128">
        <v>51544.3</v>
      </c>
    </row>
    <row r="1402" spans="2:3" x14ac:dyDescent="0.25">
      <c r="B1402" s="141">
        <v>44242</v>
      </c>
      <c r="C1402" s="128">
        <v>52154.13</v>
      </c>
    </row>
    <row r="1403" spans="2:3" x14ac:dyDescent="0.25">
      <c r="B1403" s="141">
        <v>44243</v>
      </c>
      <c r="C1403" s="128">
        <v>52104.17</v>
      </c>
    </row>
    <row r="1404" spans="2:3" x14ac:dyDescent="0.25">
      <c r="B1404" s="141">
        <v>44244</v>
      </c>
      <c r="C1404" s="128">
        <v>51703.83</v>
      </c>
    </row>
    <row r="1405" spans="2:3" x14ac:dyDescent="0.25">
      <c r="B1405" s="141">
        <v>44245</v>
      </c>
      <c r="C1405" s="128">
        <v>51324.69</v>
      </c>
    </row>
    <row r="1406" spans="2:3" x14ac:dyDescent="0.25">
      <c r="B1406" s="141">
        <v>44246</v>
      </c>
      <c r="C1406" s="128">
        <v>50889.760000000002</v>
      </c>
    </row>
    <row r="1407" spans="2:3" x14ac:dyDescent="0.25">
      <c r="B1407" s="141">
        <v>44249</v>
      </c>
      <c r="C1407" s="128">
        <v>49744.32</v>
      </c>
    </row>
    <row r="1408" spans="2:3" x14ac:dyDescent="0.25">
      <c r="B1408" s="141">
        <v>44250</v>
      </c>
      <c r="C1408" s="128">
        <v>49751.41</v>
      </c>
    </row>
    <row r="1409" spans="2:3" x14ac:dyDescent="0.25">
      <c r="B1409" s="141">
        <v>44251</v>
      </c>
      <c r="C1409" s="128">
        <v>50781.69</v>
      </c>
    </row>
    <row r="1410" spans="2:3" x14ac:dyDescent="0.25">
      <c r="B1410" s="141">
        <v>44252</v>
      </c>
      <c r="C1410" s="128">
        <v>51039.31</v>
      </c>
    </row>
    <row r="1411" spans="2:3" x14ac:dyDescent="0.25">
      <c r="B1411" s="141">
        <v>44253</v>
      </c>
      <c r="C1411" s="128">
        <v>49099.99</v>
      </c>
    </row>
    <row r="1412" spans="2:3" x14ac:dyDescent="0.25">
      <c r="B1412" s="141">
        <v>44256</v>
      </c>
      <c r="C1412" s="128">
        <v>49849.84</v>
      </c>
    </row>
    <row r="1413" spans="2:3" x14ac:dyDescent="0.25">
      <c r="B1413" s="141">
        <v>44257</v>
      </c>
      <c r="C1413" s="128">
        <v>50296.89</v>
      </c>
    </row>
    <row r="1414" spans="2:3" x14ac:dyDescent="0.25">
      <c r="B1414" s="141">
        <v>44258</v>
      </c>
      <c r="C1414" s="128">
        <v>51444.65</v>
      </c>
    </row>
    <row r="1415" spans="2:3" x14ac:dyDescent="0.25">
      <c r="B1415" s="141">
        <v>44259</v>
      </c>
      <c r="C1415" s="128">
        <v>50846.080000000002</v>
      </c>
    </row>
    <row r="1416" spans="2:3" x14ac:dyDescent="0.25">
      <c r="B1416" s="141">
        <v>44260</v>
      </c>
      <c r="C1416" s="128">
        <v>50405.32</v>
      </c>
    </row>
    <row r="1417" spans="2:3" x14ac:dyDescent="0.25">
      <c r="B1417" s="141">
        <v>44263</v>
      </c>
      <c r="C1417" s="128">
        <v>50441.07</v>
      </c>
    </row>
    <row r="1418" spans="2:3" x14ac:dyDescent="0.25">
      <c r="B1418" s="141">
        <v>44264</v>
      </c>
      <c r="C1418" s="128">
        <v>51025.48</v>
      </c>
    </row>
    <row r="1419" spans="2:3" x14ac:dyDescent="0.25">
      <c r="B1419" s="141">
        <v>44265</v>
      </c>
      <c r="C1419" s="128">
        <v>51279.51</v>
      </c>
    </row>
    <row r="1420" spans="2:3" x14ac:dyDescent="0.25">
      <c r="B1420" s="141">
        <v>44267</v>
      </c>
      <c r="C1420" s="128">
        <v>50792.08</v>
      </c>
    </row>
    <row r="1421" spans="2:3" x14ac:dyDescent="0.25">
      <c r="B1421" s="141">
        <v>44270</v>
      </c>
      <c r="C1421" s="128">
        <v>50395.08</v>
      </c>
    </row>
    <row r="1422" spans="2:3" x14ac:dyDescent="0.25">
      <c r="B1422" s="141">
        <v>44271</v>
      </c>
      <c r="C1422" s="128">
        <v>50363.96</v>
      </c>
    </row>
    <row r="1423" spans="2:3" x14ac:dyDescent="0.25">
      <c r="B1423" s="141">
        <v>44272</v>
      </c>
      <c r="C1423" s="128">
        <v>49801.62</v>
      </c>
    </row>
    <row r="1424" spans="2:3" x14ac:dyDescent="0.25">
      <c r="B1424" s="141">
        <v>44273</v>
      </c>
      <c r="C1424" s="128">
        <v>49216.52</v>
      </c>
    </row>
    <row r="1425" spans="2:3" x14ac:dyDescent="0.25">
      <c r="B1425" s="141">
        <v>44274</v>
      </c>
      <c r="C1425" s="128">
        <v>49858.239999999998</v>
      </c>
    </row>
    <row r="1426" spans="2:3" x14ac:dyDescent="0.25">
      <c r="B1426" s="141">
        <v>44277</v>
      </c>
      <c r="C1426" s="128">
        <v>49771.29</v>
      </c>
    </row>
    <row r="1427" spans="2:3" x14ac:dyDescent="0.25">
      <c r="B1427" s="141">
        <v>44278</v>
      </c>
      <c r="C1427" s="128">
        <v>50051.44</v>
      </c>
    </row>
    <row r="1428" spans="2:3" x14ac:dyDescent="0.25">
      <c r="B1428" s="141">
        <v>44279</v>
      </c>
      <c r="C1428" s="128">
        <v>49180.31</v>
      </c>
    </row>
    <row r="1429" spans="2:3" x14ac:dyDescent="0.25">
      <c r="B1429" s="141">
        <v>44280</v>
      </c>
      <c r="C1429" s="128">
        <v>48440.12</v>
      </c>
    </row>
    <row r="1430" spans="2:3" x14ac:dyDescent="0.25">
      <c r="B1430" s="141">
        <v>44281</v>
      </c>
      <c r="C1430" s="128">
        <v>49008.5</v>
      </c>
    </row>
    <row r="1431" spans="2:3" x14ac:dyDescent="0.25">
      <c r="B1431" s="141">
        <v>44285</v>
      </c>
      <c r="C1431" s="128">
        <v>50136.58</v>
      </c>
    </row>
    <row r="1432" spans="2:3" x14ac:dyDescent="0.25">
      <c r="B1432" s="141">
        <v>44286</v>
      </c>
      <c r="C1432" s="128">
        <v>49509.15</v>
      </c>
    </row>
    <row r="1433" spans="2:3" x14ac:dyDescent="0.25">
      <c r="B1433" s="141">
        <v>44287</v>
      </c>
      <c r="C1433" s="128">
        <v>50029.83</v>
      </c>
    </row>
    <row r="1434" spans="2:3" x14ac:dyDescent="0.25">
      <c r="B1434" s="141">
        <v>44291</v>
      </c>
      <c r="C1434" s="128">
        <v>49159.32</v>
      </c>
    </row>
    <row r="1435" spans="2:3" x14ac:dyDescent="0.25">
      <c r="B1435" s="141">
        <v>44292</v>
      </c>
      <c r="C1435" s="128">
        <v>49201.39</v>
      </c>
    </row>
    <row r="1436" spans="2:3" x14ac:dyDescent="0.25">
      <c r="B1436" s="141">
        <v>44293</v>
      </c>
      <c r="C1436" s="128">
        <v>49661.760000000002</v>
      </c>
    </row>
    <row r="1437" spans="2:3" x14ac:dyDescent="0.25">
      <c r="B1437" s="141">
        <v>44294</v>
      </c>
      <c r="C1437" s="128">
        <v>49746.21</v>
      </c>
    </row>
    <row r="1438" spans="2:3" x14ac:dyDescent="0.25">
      <c r="B1438" s="141">
        <v>44295</v>
      </c>
      <c r="C1438" s="128">
        <v>49591.32</v>
      </c>
    </row>
    <row r="1439" spans="2:3" x14ac:dyDescent="0.25">
      <c r="B1439" s="141">
        <v>44298</v>
      </c>
      <c r="C1439" s="128">
        <v>47883.38</v>
      </c>
    </row>
    <row r="1440" spans="2:3" x14ac:dyDescent="0.25">
      <c r="B1440" s="141">
        <v>44299</v>
      </c>
      <c r="C1440" s="128">
        <v>48544.06</v>
      </c>
    </row>
    <row r="1441" spans="2:3" x14ac:dyDescent="0.25">
      <c r="B1441" s="141">
        <v>44301</v>
      </c>
      <c r="C1441" s="128">
        <v>48803.68</v>
      </c>
    </row>
    <row r="1442" spans="2:3" x14ac:dyDescent="0.25">
      <c r="B1442" s="141">
        <v>44302</v>
      </c>
      <c r="C1442" s="128">
        <v>48832.03</v>
      </c>
    </row>
    <row r="1443" spans="2:3" x14ac:dyDescent="0.25">
      <c r="B1443" s="141">
        <v>44305</v>
      </c>
      <c r="C1443" s="128">
        <v>47949.42</v>
      </c>
    </row>
    <row r="1444" spans="2:3" x14ac:dyDescent="0.25">
      <c r="B1444" s="141">
        <v>44306</v>
      </c>
      <c r="C1444" s="128">
        <v>47705.8</v>
      </c>
    </row>
    <row r="1445" spans="2:3" x14ac:dyDescent="0.25">
      <c r="B1445" s="141">
        <v>44308</v>
      </c>
      <c r="C1445" s="128">
        <v>48080.67</v>
      </c>
    </row>
    <row r="1446" spans="2:3" x14ac:dyDescent="0.25">
      <c r="B1446" s="141">
        <v>44309</v>
      </c>
      <c r="C1446" s="128">
        <v>47878.45</v>
      </c>
    </row>
    <row r="1447" spans="2:3" x14ac:dyDescent="0.25">
      <c r="B1447" s="141">
        <v>44312</v>
      </c>
      <c r="C1447" s="128">
        <v>48386.51</v>
      </c>
    </row>
    <row r="1448" spans="2:3" x14ac:dyDescent="0.25">
      <c r="B1448" s="141">
        <v>44313</v>
      </c>
      <c r="C1448" s="128">
        <v>48944.14</v>
      </c>
    </row>
    <row r="1449" spans="2:3" x14ac:dyDescent="0.25">
      <c r="B1449" s="141">
        <v>44314</v>
      </c>
      <c r="C1449" s="128">
        <v>49733.84</v>
      </c>
    </row>
    <row r="1450" spans="2:3" x14ac:dyDescent="0.25">
      <c r="B1450" s="141">
        <v>44315</v>
      </c>
      <c r="C1450" s="128">
        <v>49765.94</v>
      </c>
    </row>
    <row r="1451" spans="2:3" x14ac:dyDescent="0.25">
      <c r="B1451" s="141">
        <v>44316</v>
      </c>
      <c r="C1451" s="128">
        <v>48782.36</v>
      </c>
    </row>
    <row r="1452" spans="2:3" x14ac:dyDescent="0.25">
      <c r="B1452" s="141">
        <v>44319</v>
      </c>
      <c r="C1452" s="128">
        <v>48718.52</v>
      </c>
    </row>
    <row r="1453" spans="2:3" x14ac:dyDescent="0.25">
      <c r="B1453" s="141">
        <v>44320</v>
      </c>
      <c r="C1453" s="128">
        <v>48253.51</v>
      </c>
    </row>
    <row r="1454" spans="2:3" x14ac:dyDescent="0.25">
      <c r="B1454" s="141">
        <v>44321</v>
      </c>
      <c r="C1454" s="128">
        <v>48677.55</v>
      </c>
    </row>
    <row r="1455" spans="2:3" x14ac:dyDescent="0.25">
      <c r="B1455" s="141">
        <v>44322</v>
      </c>
      <c r="C1455" s="128">
        <v>48949.760000000002</v>
      </c>
    </row>
    <row r="1456" spans="2:3" x14ac:dyDescent="0.25">
      <c r="B1456" s="141">
        <v>44323</v>
      </c>
      <c r="C1456" s="128">
        <v>49206.47</v>
      </c>
    </row>
    <row r="1457" spans="2:3" x14ac:dyDescent="0.25">
      <c r="B1457" s="141">
        <v>44326</v>
      </c>
      <c r="C1457" s="128">
        <v>49502.41</v>
      </c>
    </row>
    <row r="1458" spans="2:3" x14ac:dyDescent="0.25">
      <c r="B1458" s="141">
        <v>44327</v>
      </c>
      <c r="C1458" s="128">
        <v>49161.81</v>
      </c>
    </row>
    <row r="1459" spans="2:3" x14ac:dyDescent="0.25">
      <c r="B1459" s="141">
        <v>44328</v>
      </c>
      <c r="C1459" s="128">
        <v>48690.8</v>
      </c>
    </row>
    <row r="1460" spans="2:3" x14ac:dyDescent="0.25">
      <c r="B1460" s="141">
        <v>44330</v>
      </c>
      <c r="C1460" s="128">
        <v>48732.55</v>
      </c>
    </row>
    <row r="1461" spans="2:3" x14ac:dyDescent="0.25">
      <c r="B1461" s="141">
        <v>44333</v>
      </c>
      <c r="C1461" s="128">
        <v>49580.73</v>
      </c>
    </row>
    <row r="1462" spans="2:3" x14ac:dyDescent="0.25">
      <c r="B1462" s="141">
        <v>44334</v>
      </c>
      <c r="C1462" s="128">
        <v>50193.33</v>
      </c>
    </row>
    <row r="1463" spans="2:3" x14ac:dyDescent="0.25">
      <c r="B1463" s="141">
        <v>44335</v>
      </c>
      <c r="C1463" s="128">
        <v>49902.64</v>
      </c>
    </row>
    <row r="1464" spans="2:3" x14ac:dyDescent="0.25">
      <c r="B1464" s="141">
        <v>44336</v>
      </c>
      <c r="C1464" s="128">
        <v>49564.86</v>
      </c>
    </row>
    <row r="1465" spans="2:3" x14ac:dyDescent="0.25">
      <c r="B1465" s="141">
        <v>44337</v>
      </c>
      <c r="C1465" s="128">
        <v>50540.480000000003</v>
      </c>
    </row>
    <row r="1466" spans="2:3" x14ac:dyDescent="0.25">
      <c r="B1466" s="141">
        <v>44340</v>
      </c>
      <c r="C1466" s="128">
        <v>50651.9</v>
      </c>
    </row>
    <row r="1467" spans="2:3" x14ac:dyDescent="0.25">
      <c r="B1467" s="141">
        <v>44341</v>
      </c>
      <c r="C1467" s="128">
        <v>50637.53</v>
      </c>
    </row>
    <row r="1468" spans="2:3" x14ac:dyDescent="0.25">
      <c r="B1468" s="141">
        <v>44342</v>
      </c>
      <c r="C1468" s="128">
        <v>51017.52</v>
      </c>
    </row>
    <row r="1469" spans="2:3" x14ac:dyDescent="0.25">
      <c r="B1469" s="141">
        <v>44343</v>
      </c>
      <c r="C1469" s="128">
        <v>51115.22</v>
      </c>
    </row>
    <row r="1470" spans="2:3" x14ac:dyDescent="0.25">
      <c r="B1470" s="141">
        <v>44344</v>
      </c>
      <c r="C1470" s="128">
        <v>51422.879999999997</v>
      </c>
    </row>
    <row r="1471" spans="2:3" x14ac:dyDescent="0.25">
      <c r="B1471" s="141">
        <v>44347</v>
      </c>
      <c r="C1471" s="128">
        <v>51937.440000000002</v>
      </c>
    </row>
    <row r="1472" spans="2:3" x14ac:dyDescent="0.25">
      <c r="B1472" s="141">
        <v>44348</v>
      </c>
      <c r="C1472" s="128">
        <v>51934.879999999997</v>
      </c>
    </row>
    <row r="1473" spans="2:3" x14ac:dyDescent="0.25">
      <c r="B1473" s="141">
        <v>44349</v>
      </c>
      <c r="C1473" s="128">
        <v>51849.48</v>
      </c>
    </row>
    <row r="1474" spans="2:3" x14ac:dyDescent="0.25">
      <c r="B1474" s="141">
        <v>44350</v>
      </c>
      <c r="C1474" s="128">
        <v>52232.43</v>
      </c>
    </row>
    <row r="1475" spans="2:3" x14ac:dyDescent="0.25">
      <c r="B1475" s="141">
        <v>44351</v>
      </c>
      <c r="C1475" s="128">
        <v>52100.05</v>
      </c>
    </row>
    <row r="1476" spans="2:3" x14ac:dyDescent="0.25">
      <c r="B1476" s="141">
        <v>44354</v>
      </c>
      <c r="C1476" s="128">
        <v>52328.51</v>
      </c>
    </row>
    <row r="1477" spans="2:3" x14ac:dyDescent="0.25">
      <c r="B1477" s="141">
        <v>44355</v>
      </c>
      <c r="C1477" s="128">
        <v>52275.57</v>
      </c>
    </row>
    <row r="1478" spans="2:3" x14ac:dyDescent="0.25">
      <c r="B1478" s="141">
        <v>44356</v>
      </c>
      <c r="C1478" s="128">
        <v>51941.64</v>
      </c>
    </row>
    <row r="1479" spans="2:3" x14ac:dyDescent="0.25">
      <c r="B1479" s="141">
        <v>44357</v>
      </c>
      <c r="C1479" s="128">
        <v>52300.47</v>
      </c>
    </row>
    <row r="1480" spans="2:3" x14ac:dyDescent="0.25">
      <c r="B1480" s="141">
        <v>44358</v>
      </c>
      <c r="C1480" s="128">
        <v>52474.76</v>
      </c>
    </row>
    <row r="1481" spans="2:3" x14ac:dyDescent="0.25">
      <c r="B1481" s="141">
        <v>44361</v>
      </c>
      <c r="C1481" s="128">
        <v>52551.53</v>
      </c>
    </row>
    <row r="1482" spans="2:3" x14ac:dyDescent="0.25">
      <c r="B1482" s="141">
        <v>44362</v>
      </c>
      <c r="C1482" s="128">
        <v>52773.05</v>
      </c>
    </row>
    <row r="1483" spans="2:3" x14ac:dyDescent="0.25">
      <c r="B1483" s="141">
        <v>44363</v>
      </c>
      <c r="C1483" s="128">
        <v>52501.98</v>
      </c>
    </row>
    <row r="1484" spans="2:3" x14ac:dyDescent="0.25">
      <c r="B1484" s="141">
        <v>44364</v>
      </c>
      <c r="C1484" s="128">
        <v>52323.33</v>
      </c>
    </row>
    <row r="1485" spans="2:3" x14ac:dyDescent="0.25">
      <c r="B1485" s="141">
        <v>44365</v>
      </c>
      <c r="C1485" s="128">
        <v>52344.45</v>
      </c>
    </row>
    <row r="1486" spans="2:3" x14ac:dyDescent="0.25">
      <c r="B1486" s="141">
        <v>44368</v>
      </c>
      <c r="C1486" s="128">
        <v>52574.46</v>
      </c>
    </row>
    <row r="1487" spans="2:3" x14ac:dyDescent="0.25">
      <c r="B1487" s="141">
        <v>44369</v>
      </c>
      <c r="C1487" s="128">
        <v>52588.71</v>
      </c>
    </row>
    <row r="1488" spans="2:3" x14ac:dyDescent="0.25">
      <c r="B1488" s="141">
        <v>44370</v>
      </c>
      <c r="C1488" s="128">
        <v>52306.080000000002</v>
      </c>
    </row>
    <row r="1489" spans="2:3" x14ac:dyDescent="0.25">
      <c r="B1489" s="141">
        <v>44371</v>
      </c>
      <c r="C1489" s="128">
        <v>52699</v>
      </c>
    </row>
    <row r="1490" spans="2:3" x14ac:dyDescent="0.25">
      <c r="B1490" s="141">
        <v>44372</v>
      </c>
      <c r="C1490" s="128">
        <v>52925.04</v>
      </c>
    </row>
    <row r="1491" spans="2:3" x14ac:dyDescent="0.25">
      <c r="B1491" s="141">
        <v>44375</v>
      </c>
      <c r="C1491" s="128">
        <v>52735.59</v>
      </c>
    </row>
    <row r="1492" spans="2:3" x14ac:dyDescent="0.25">
      <c r="B1492" s="141">
        <v>44376</v>
      </c>
      <c r="C1492" s="128">
        <v>52549.66</v>
      </c>
    </row>
    <row r="1493" spans="2:3" x14ac:dyDescent="0.25">
      <c r="B1493" s="141">
        <v>44377</v>
      </c>
      <c r="C1493" s="128">
        <v>52482.71</v>
      </c>
    </row>
    <row r="1494" spans="2:3" x14ac:dyDescent="0.25">
      <c r="B1494" s="141">
        <v>44378</v>
      </c>
      <c r="C1494" s="128">
        <v>52318.6</v>
      </c>
    </row>
    <row r="1495" spans="2:3" x14ac:dyDescent="0.25">
      <c r="B1495" s="141">
        <v>44379</v>
      </c>
      <c r="C1495" s="128">
        <v>52484.67</v>
      </c>
    </row>
    <row r="1496" spans="2:3" x14ac:dyDescent="0.25">
      <c r="B1496" s="141">
        <v>44382</v>
      </c>
      <c r="C1496" s="128">
        <v>52880</v>
      </c>
    </row>
    <row r="1497" spans="2:3" x14ac:dyDescent="0.25">
      <c r="B1497" s="141">
        <v>44383</v>
      </c>
      <c r="C1497" s="128">
        <v>52861.18</v>
      </c>
    </row>
    <row r="1498" spans="2:3" x14ac:dyDescent="0.25">
      <c r="B1498" s="141">
        <v>44384</v>
      </c>
      <c r="C1498" s="128">
        <v>53054.76</v>
      </c>
    </row>
    <row r="1499" spans="2:3" x14ac:dyDescent="0.25">
      <c r="B1499" s="141">
        <v>44385</v>
      </c>
      <c r="C1499" s="128">
        <v>52568.94</v>
      </c>
    </row>
    <row r="1500" spans="2:3" x14ac:dyDescent="0.25">
      <c r="B1500" s="141">
        <v>44386</v>
      </c>
      <c r="C1500" s="128">
        <v>52386.19</v>
      </c>
    </row>
    <row r="1501" spans="2:3" x14ac:dyDescent="0.25">
      <c r="B1501" s="141">
        <v>44389</v>
      </c>
      <c r="C1501" s="128">
        <v>52372.69</v>
      </c>
    </row>
    <row r="1502" spans="2:3" x14ac:dyDescent="0.25">
      <c r="B1502" s="141">
        <v>44390</v>
      </c>
      <c r="C1502" s="128">
        <v>52769.73</v>
      </c>
    </row>
    <row r="1503" spans="2:3" x14ac:dyDescent="0.25">
      <c r="B1503" s="141">
        <v>44391</v>
      </c>
      <c r="C1503" s="128">
        <v>52904.05</v>
      </c>
    </row>
    <row r="1504" spans="2:3" x14ac:dyDescent="0.25">
      <c r="B1504" s="141">
        <v>44392</v>
      </c>
      <c r="C1504" s="128">
        <v>53158.85</v>
      </c>
    </row>
    <row r="1505" spans="2:3" x14ac:dyDescent="0.25">
      <c r="B1505" s="141">
        <v>44393</v>
      </c>
      <c r="C1505" s="128">
        <v>53140.06</v>
      </c>
    </row>
    <row r="1506" spans="2:3" x14ac:dyDescent="0.25">
      <c r="B1506" s="141">
        <v>44396</v>
      </c>
      <c r="C1506" s="128">
        <v>52553.4</v>
      </c>
    </row>
    <row r="1507" spans="2:3" x14ac:dyDescent="0.25">
      <c r="B1507" s="141">
        <v>44397</v>
      </c>
      <c r="C1507" s="128">
        <v>52198.51</v>
      </c>
    </row>
    <row r="1508" spans="2:3" x14ac:dyDescent="0.25">
      <c r="B1508" s="141">
        <v>44399</v>
      </c>
      <c r="C1508" s="128">
        <v>52837.21</v>
      </c>
    </row>
    <row r="1509" spans="2:3" x14ac:dyDescent="0.25">
      <c r="B1509" s="141">
        <v>44400</v>
      </c>
      <c r="C1509" s="128">
        <v>52975.8</v>
      </c>
    </row>
    <row r="1510" spans="2:3" x14ac:dyDescent="0.25">
      <c r="B1510" s="141">
        <v>44403</v>
      </c>
      <c r="C1510" s="128">
        <v>52852.27</v>
      </c>
    </row>
    <row r="1511" spans="2:3" x14ac:dyDescent="0.25">
      <c r="B1511" s="141">
        <v>44404</v>
      </c>
      <c r="C1511" s="128">
        <v>52578.76</v>
      </c>
    </row>
    <row r="1512" spans="2:3" x14ac:dyDescent="0.25">
      <c r="B1512" s="141">
        <v>44405</v>
      </c>
      <c r="C1512" s="128">
        <v>52443.71</v>
      </c>
    </row>
    <row r="1513" spans="2:3" x14ac:dyDescent="0.25">
      <c r="B1513" s="141">
        <v>44406</v>
      </c>
      <c r="C1513" s="128">
        <v>52653.07</v>
      </c>
    </row>
    <row r="1514" spans="2:3" x14ac:dyDescent="0.25">
      <c r="B1514" s="141">
        <v>44407</v>
      </c>
      <c r="C1514" s="128">
        <v>52586.84</v>
      </c>
    </row>
    <row r="1515" spans="2:3" x14ac:dyDescent="0.25">
      <c r="B1515" s="141">
        <v>44410</v>
      </c>
      <c r="C1515" s="128">
        <v>52950.63</v>
      </c>
    </row>
    <row r="1516" spans="2:3" x14ac:dyDescent="0.25">
      <c r="B1516" s="141">
        <v>44411</v>
      </c>
      <c r="C1516" s="128">
        <v>53823.360000000001</v>
      </c>
    </row>
    <row r="1517" spans="2:3" x14ac:dyDescent="0.25">
      <c r="B1517" s="141">
        <v>44412</v>
      </c>
      <c r="C1517" s="128">
        <v>54369.77</v>
      </c>
    </row>
    <row r="1518" spans="2:3" x14ac:dyDescent="0.25">
      <c r="B1518" s="141">
        <v>44413</v>
      </c>
      <c r="C1518" s="128">
        <v>54492.84</v>
      </c>
    </row>
    <row r="1519" spans="2:3" x14ac:dyDescent="0.25">
      <c r="B1519" s="141">
        <v>44414</v>
      </c>
      <c r="C1519" s="128">
        <v>54277.72</v>
      </c>
    </row>
    <row r="1520" spans="2:3" x14ac:dyDescent="0.25">
      <c r="B1520" s="141">
        <v>44417</v>
      </c>
      <c r="C1520" s="128">
        <v>54402.85</v>
      </c>
    </row>
    <row r="1521" spans="2:3" x14ac:dyDescent="0.25">
      <c r="B1521" s="141">
        <v>44418</v>
      </c>
      <c r="C1521" s="128">
        <v>54554.66</v>
      </c>
    </row>
    <row r="1522" spans="2:3" x14ac:dyDescent="0.25">
      <c r="B1522" s="141">
        <v>44419</v>
      </c>
      <c r="C1522" s="128">
        <v>54525.93</v>
      </c>
    </row>
    <row r="1523" spans="2:3" x14ac:dyDescent="0.25">
      <c r="B1523" s="141">
        <v>44420</v>
      </c>
      <c r="C1523" s="128">
        <v>54843.98</v>
      </c>
    </row>
    <row r="1524" spans="2:3" x14ac:dyDescent="0.25">
      <c r="B1524" s="141">
        <v>44421</v>
      </c>
      <c r="C1524" s="128">
        <v>55437.29</v>
      </c>
    </row>
    <row r="1525" spans="2:3" x14ac:dyDescent="0.25">
      <c r="B1525" s="141">
        <v>44424</v>
      </c>
      <c r="C1525" s="128">
        <v>55582.58</v>
      </c>
    </row>
    <row r="1526" spans="2:3" x14ac:dyDescent="0.25">
      <c r="B1526" s="141">
        <v>44425</v>
      </c>
      <c r="C1526" s="128">
        <v>55792.27</v>
      </c>
    </row>
    <row r="1527" spans="2:3" x14ac:dyDescent="0.25">
      <c r="B1527" s="141">
        <v>44426</v>
      </c>
      <c r="C1527" s="128">
        <v>55629.49</v>
      </c>
    </row>
    <row r="1528" spans="2:3" x14ac:dyDescent="0.25">
      <c r="B1528" s="141">
        <v>44428</v>
      </c>
      <c r="C1528" s="128">
        <v>55329.32</v>
      </c>
    </row>
    <row r="1529" spans="2:3" x14ac:dyDescent="0.25">
      <c r="B1529" s="141">
        <v>44431</v>
      </c>
      <c r="C1529" s="128">
        <v>55555.79</v>
      </c>
    </row>
    <row r="1530" spans="2:3" x14ac:dyDescent="0.25">
      <c r="B1530" s="141">
        <v>44432</v>
      </c>
      <c r="C1530" s="128">
        <v>55958.98</v>
      </c>
    </row>
    <row r="1531" spans="2:3" x14ac:dyDescent="0.25">
      <c r="B1531" s="141">
        <v>44433</v>
      </c>
      <c r="C1531" s="128">
        <v>55944.21</v>
      </c>
    </row>
    <row r="1532" spans="2:3" x14ac:dyDescent="0.25">
      <c r="B1532" s="141">
        <v>44434</v>
      </c>
      <c r="C1532" s="128">
        <v>55949.1</v>
      </c>
    </row>
    <row r="1533" spans="2:3" x14ac:dyDescent="0.25">
      <c r="B1533" s="141">
        <v>44435</v>
      </c>
      <c r="C1533" s="128">
        <v>56124.72</v>
      </c>
    </row>
    <row r="1534" spans="2:3" x14ac:dyDescent="0.25">
      <c r="B1534" s="141">
        <v>44438</v>
      </c>
      <c r="C1534" s="128">
        <v>56889.760000000002</v>
      </c>
    </row>
    <row r="1535" spans="2:3" x14ac:dyDescent="0.25">
      <c r="B1535" s="141">
        <v>44439</v>
      </c>
      <c r="C1535" s="128">
        <v>57552.39</v>
      </c>
    </row>
    <row r="1536" spans="2:3" x14ac:dyDescent="0.25">
      <c r="B1536" s="141">
        <v>44440</v>
      </c>
      <c r="C1536" s="128">
        <v>57338.21</v>
      </c>
    </row>
    <row r="1537" spans="2:3" x14ac:dyDescent="0.25">
      <c r="B1537" s="141">
        <v>44441</v>
      </c>
      <c r="C1537" s="128">
        <v>57852.54</v>
      </c>
    </row>
    <row r="1538" spans="2:3" x14ac:dyDescent="0.25">
      <c r="B1538" s="141">
        <v>44442</v>
      </c>
      <c r="C1538" s="128">
        <v>58129.95</v>
      </c>
    </row>
    <row r="1539" spans="2:3" x14ac:dyDescent="0.25">
      <c r="B1539" s="141">
        <v>44445</v>
      </c>
      <c r="C1539" s="128">
        <v>58296.91</v>
      </c>
    </row>
    <row r="1540" spans="2:3" x14ac:dyDescent="0.25">
      <c r="B1540" s="141">
        <v>44446</v>
      </c>
      <c r="C1540" s="128">
        <v>58279.48</v>
      </c>
    </row>
    <row r="1541" spans="2:3" x14ac:dyDescent="0.25">
      <c r="B1541" s="141">
        <v>44447</v>
      </c>
      <c r="C1541" s="128">
        <v>58250.26</v>
      </c>
    </row>
    <row r="1542" spans="2:3" x14ac:dyDescent="0.25">
      <c r="B1542" s="141">
        <v>44448</v>
      </c>
      <c r="C1542" s="128">
        <v>58305.07</v>
      </c>
    </row>
    <row r="1543" spans="2:3" x14ac:dyDescent="0.25">
      <c r="B1543" s="141">
        <v>44452</v>
      </c>
      <c r="C1543" s="128">
        <v>58177.760000000002</v>
      </c>
    </row>
    <row r="1544" spans="2:3" x14ac:dyDescent="0.25">
      <c r="B1544" s="141">
        <v>44453</v>
      </c>
      <c r="C1544" s="128">
        <v>58247.09</v>
      </c>
    </row>
    <row r="1545" spans="2:3" x14ac:dyDescent="0.25">
      <c r="B1545" s="141">
        <v>44454</v>
      </c>
      <c r="C1545" s="128">
        <v>58723.199999999997</v>
      </c>
    </row>
    <row r="1546" spans="2:3" x14ac:dyDescent="0.25">
      <c r="B1546" s="141">
        <v>44455</v>
      </c>
      <c r="C1546" s="128">
        <v>59141.16</v>
      </c>
    </row>
    <row r="1547" spans="2:3" x14ac:dyDescent="0.25">
      <c r="B1547" s="141">
        <v>44456</v>
      </c>
      <c r="C1547" s="128">
        <v>59015.89</v>
      </c>
    </row>
    <row r="1548" spans="2:3" x14ac:dyDescent="0.25">
      <c r="B1548" s="141">
        <v>44459</v>
      </c>
      <c r="C1548" s="128">
        <v>58490.93</v>
      </c>
    </row>
    <row r="1549" spans="2:3" x14ac:dyDescent="0.25">
      <c r="B1549" s="141">
        <v>44460</v>
      </c>
      <c r="C1549" s="128">
        <v>59005.27</v>
      </c>
    </row>
    <row r="1550" spans="2:3" x14ac:dyDescent="0.25">
      <c r="B1550" s="141">
        <v>44461</v>
      </c>
      <c r="C1550" s="128">
        <v>58927.33</v>
      </c>
    </row>
    <row r="1551" spans="2:3" x14ac:dyDescent="0.25">
      <c r="B1551" s="141">
        <v>44462</v>
      </c>
      <c r="C1551" s="128">
        <v>59885.36</v>
      </c>
    </row>
    <row r="1552" spans="2:3" x14ac:dyDescent="0.25">
      <c r="B1552" s="141">
        <v>44463</v>
      </c>
      <c r="C1552" s="128">
        <v>60048.47</v>
      </c>
    </row>
    <row r="1553" spans="2:3" x14ac:dyDescent="0.25">
      <c r="B1553" s="141">
        <v>44466</v>
      </c>
      <c r="C1553" s="128">
        <v>60077.88</v>
      </c>
    </row>
    <row r="1554" spans="2:3" x14ac:dyDescent="0.25">
      <c r="B1554" s="141">
        <v>44467</v>
      </c>
      <c r="C1554" s="128">
        <v>59667.6</v>
      </c>
    </row>
    <row r="1555" spans="2:3" x14ac:dyDescent="0.25">
      <c r="B1555" s="141">
        <v>44468</v>
      </c>
      <c r="C1555" s="128">
        <v>59413.27</v>
      </c>
    </row>
    <row r="1556" spans="2:3" x14ac:dyDescent="0.25">
      <c r="B1556" s="141">
        <v>44469</v>
      </c>
      <c r="C1556" s="128">
        <v>59126.36</v>
      </c>
    </row>
    <row r="1557" spans="2:3" x14ac:dyDescent="0.25">
      <c r="B1557" s="141">
        <v>44470</v>
      </c>
      <c r="C1557" s="128">
        <v>58765.58</v>
      </c>
    </row>
    <row r="1558" spans="2:3" x14ac:dyDescent="0.25">
      <c r="B1558" s="141">
        <v>44473</v>
      </c>
      <c r="C1558" s="128">
        <v>59299.32</v>
      </c>
    </row>
    <row r="1559" spans="2:3" x14ac:dyDescent="0.25">
      <c r="B1559" s="141">
        <v>44474</v>
      </c>
      <c r="C1559" s="128">
        <v>59744.88</v>
      </c>
    </row>
    <row r="1560" spans="2:3" x14ac:dyDescent="0.25">
      <c r="B1560" s="141">
        <v>44475</v>
      </c>
      <c r="C1560" s="128">
        <v>59189.73</v>
      </c>
    </row>
    <row r="1561" spans="2:3" x14ac:dyDescent="0.25">
      <c r="B1561" s="141">
        <v>44476</v>
      </c>
      <c r="C1561" s="128">
        <v>59677.83</v>
      </c>
    </row>
    <row r="1562" spans="2:3" x14ac:dyDescent="0.25">
      <c r="B1562" s="141">
        <v>44477</v>
      </c>
      <c r="C1562" s="128">
        <v>60059.06</v>
      </c>
    </row>
    <row r="1563" spans="2:3" x14ac:dyDescent="0.25">
      <c r="B1563" s="141">
        <v>44480</v>
      </c>
      <c r="C1563" s="128">
        <v>60135.78</v>
      </c>
    </row>
    <row r="1564" spans="2:3" x14ac:dyDescent="0.25">
      <c r="B1564" s="141">
        <v>44481</v>
      </c>
      <c r="C1564" s="128">
        <v>60284.31</v>
      </c>
    </row>
    <row r="1565" spans="2:3" x14ac:dyDescent="0.25">
      <c r="B1565" s="141">
        <v>44482</v>
      </c>
      <c r="C1565" s="128">
        <v>60737.05</v>
      </c>
    </row>
    <row r="1566" spans="2:3" x14ac:dyDescent="0.25">
      <c r="B1566" s="141">
        <v>44483</v>
      </c>
      <c r="C1566" s="128">
        <v>61305.95</v>
      </c>
    </row>
    <row r="1567" spans="2:3" x14ac:dyDescent="0.25">
      <c r="B1567" s="141">
        <v>44487</v>
      </c>
      <c r="C1567" s="128">
        <v>61765.59</v>
      </c>
    </row>
    <row r="1568" spans="2:3" x14ac:dyDescent="0.25">
      <c r="B1568" s="141">
        <v>44488</v>
      </c>
      <c r="C1568" s="128">
        <v>61716.05</v>
      </c>
    </row>
    <row r="1569" spans="2:3" x14ac:dyDescent="0.25">
      <c r="B1569" s="141">
        <v>44489</v>
      </c>
      <c r="C1569" s="128">
        <v>61259.96</v>
      </c>
    </row>
    <row r="1570" spans="2:3" x14ac:dyDescent="0.25">
      <c r="B1570" s="141">
        <v>44490</v>
      </c>
      <c r="C1570" s="128">
        <v>60923.5</v>
      </c>
    </row>
    <row r="1571" spans="2:3" x14ac:dyDescent="0.25">
      <c r="B1571" s="141">
        <v>44491</v>
      </c>
      <c r="C1571" s="128">
        <v>60821.62</v>
      </c>
    </row>
    <row r="1572" spans="2:3" x14ac:dyDescent="0.25">
      <c r="B1572" s="141">
        <v>44494</v>
      </c>
      <c r="C1572" s="128">
        <v>60967.05</v>
      </c>
    </row>
    <row r="1573" spans="2:3" x14ac:dyDescent="0.25">
      <c r="B1573" s="141">
        <v>44495</v>
      </c>
      <c r="C1573" s="128">
        <v>61350.26</v>
      </c>
    </row>
    <row r="1574" spans="2:3" x14ac:dyDescent="0.25">
      <c r="B1574" s="141">
        <v>44496</v>
      </c>
      <c r="C1574" s="128">
        <v>61143.33</v>
      </c>
    </row>
    <row r="1575" spans="2:3" x14ac:dyDescent="0.25">
      <c r="B1575" s="141">
        <v>44497</v>
      </c>
      <c r="C1575" s="128">
        <v>59984.7</v>
      </c>
    </row>
    <row r="1576" spans="2:3" x14ac:dyDescent="0.25">
      <c r="B1576" s="141">
        <v>44498</v>
      </c>
      <c r="C1576" s="128">
        <v>59306.93</v>
      </c>
    </row>
    <row r="1577" spans="2:3" x14ac:dyDescent="0.25">
      <c r="B1577" s="141">
        <v>44501</v>
      </c>
      <c r="C1577" s="128">
        <v>60138.46</v>
      </c>
    </row>
    <row r="1578" spans="2:3" x14ac:dyDescent="0.25">
      <c r="B1578" s="141">
        <v>44502</v>
      </c>
      <c r="C1578" s="128">
        <v>60029.06</v>
      </c>
    </row>
    <row r="1579" spans="2:3" x14ac:dyDescent="0.25">
      <c r="B1579" s="141">
        <v>44503</v>
      </c>
      <c r="C1579" s="128">
        <v>59771.92</v>
      </c>
    </row>
    <row r="1580" spans="2:3" x14ac:dyDescent="0.25">
      <c r="B1580" s="141">
        <v>44504</v>
      </c>
      <c r="C1580" s="128">
        <v>60067.62</v>
      </c>
    </row>
    <row r="1581" spans="2:3" x14ac:dyDescent="0.25">
      <c r="B1581" s="141">
        <v>44508</v>
      </c>
      <c r="C1581" s="128">
        <v>60545.61</v>
      </c>
    </row>
    <row r="1582" spans="2:3" x14ac:dyDescent="0.25">
      <c r="B1582" s="141">
        <v>44509</v>
      </c>
      <c r="C1582" s="128">
        <v>60433.45</v>
      </c>
    </row>
    <row r="1583" spans="2:3" x14ac:dyDescent="0.25">
      <c r="B1583" s="141">
        <v>44510</v>
      </c>
      <c r="C1583" s="128">
        <v>60352.82</v>
      </c>
    </row>
    <row r="1584" spans="2:3" x14ac:dyDescent="0.25">
      <c r="B1584" s="141">
        <v>44511</v>
      </c>
      <c r="C1584" s="128">
        <v>59919.69</v>
      </c>
    </row>
    <row r="1585" spans="2:3" x14ac:dyDescent="0.25">
      <c r="B1585" s="141">
        <v>44512</v>
      </c>
      <c r="C1585" s="128">
        <v>60686.69</v>
      </c>
    </row>
    <row r="1586" spans="2:3" x14ac:dyDescent="0.25">
      <c r="B1586" s="141">
        <v>44515</v>
      </c>
      <c r="C1586" s="128">
        <v>60718.71</v>
      </c>
    </row>
    <row r="1587" spans="2:3" x14ac:dyDescent="0.25">
      <c r="B1587" s="141">
        <v>44516</v>
      </c>
      <c r="C1587" s="128">
        <v>60322.37</v>
      </c>
    </row>
    <row r="1588" spans="2:3" x14ac:dyDescent="0.25">
      <c r="B1588" s="141">
        <v>44517</v>
      </c>
      <c r="C1588" s="128">
        <v>60008.33</v>
      </c>
    </row>
    <row r="1589" spans="2:3" x14ac:dyDescent="0.25">
      <c r="B1589" s="141">
        <v>44518</v>
      </c>
      <c r="C1589" s="128">
        <v>59636.01</v>
      </c>
    </row>
    <row r="1590" spans="2:3" x14ac:dyDescent="0.25">
      <c r="B1590" s="141">
        <v>44522</v>
      </c>
      <c r="C1590" s="128">
        <v>58465.89</v>
      </c>
    </row>
    <row r="1591" spans="2:3" x14ac:dyDescent="0.25">
      <c r="B1591" s="141">
        <v>44523</v>
      </c>
      <c r="C1591" s="128">
        <v>58664.33</v>
      </c>
    </row>
    <row r="1592" spans="2:3" x14ac:dyDescent="0.25">
      <c r="B1592" s="141">
        <v>44524</v>
      </c>
      <c r="C1592" s="128">
        <v>58340.99</v>
      </c>
    </row>
    <row r="1593" spans="2:3" x14ac:dyDescent="0.25">
      <c r="B1593" s="141">
        <v>44525</v>
      </c>
      <c r="C1593" s="128">
        <v>58795.09</v>
      </c>
    </row>
    <row r="1594" spans="2:3" x14ac:dyDescent="0.25">
      <c r="B1594" s="141">
        <v>44526</v>
      </c>
      <c r="C1594" s="128">
        <v>57107.15</v>
      </c>
    </row>
    <row r="1595" spans="2:3" x14ac:dyDescent="0.25">
      <c r="B1595" s="141">
        <v>44529</v>
      </c>
      <c r="C1595" s="128">
        <v>57260.58</v>
      </c>
    </row>
    <row r="1596" spans="2:3" x14ac:dyDescent="0.25">
      <c r="B1596" s="141">
        <v>44530</v>
      </c>
      <c r="C1596" s="128">
        <v>57064.87</v>
      </c>
    </row>
    <row r="1597" spans="2:3" x14ac:dyDescent="0.25">
      <c r="B1597" s="141">
        <v>44531</v>
      </c>
      <c r="C1597" s="128">
        <v>57684.79</v>
      </c>
    </row>
    <row r="1598" spans="2:3" x14ac:dyDescent="0.25">
      <c r="B1598" s="141">
        <v>44532</v>
      </c>
      <c r="C1598" s="128">
        <v>58461.29</v>
      </c>
    </row>
    <row r="1599" spans="2:3" x14ac:dyDescent="0.25">
      <c r="B1599" s="141">
        <v>44533</v>
      </c>
      <c r="C1599" s="128">
        <v>57696.46</v>
      </c>
    </row>
    <row r="1600" spans="2:3" x14ac:dyDescent="0.25">
      <c r="B1600" s="141">
        <v>44536</v>
      </c>
      <c r="C1600" s="128">
        <v>56747.14</v>
      </c>
    </row>
    <row r="1601" spans="2:3" x14ac:dyDescent="0.25">
      <c r="B1601" s="141">
        <v>44537</v>
      </c>
      <c r="C1601" s="128">
        <v>57633.65</v>
      </c>
    </row>
    <row r="1602" spans="2:3" x14ac:dyDescent="0.25">
      <c r="B1602" s="141">
        <v>44538</v>
      </c>
      <c r="C1602" s="128">
        <v>58649.68</v>
      </c>
    </row>
    <row r="1603" spans="2:3" x14ac:dyDescent="0.25">
      <c r="B1603" s="141">
        <v>44539</v>
      </c>
      <c r="C1603" s="128">
        <v>58807.13</v>
      </c>
    </row>
    <row r="1604" spans="2:3" x14ac:dyDescent="0.25">
      <c r="B1604" s="141">
        <v>44540</v>
      </c>
      <c r="C1604" s="128">
        <v>58786.67</v>
      </c>
    </row>
    <row r="1605" spans="2:3" x14ac:dyDescent="0.25">
      <c r="B1605" s="141">
        <v>44543</v>
      </c>
      <c r="C1605" s="128">
        <v>58283.42</v>
      </c>
    </row>
    <row r="1606" spans="2:3" x14ac:dyDescent="0.25">
      <c r="B1606" s="141">
        <v>44544</v>
      </c>
      <c r="C1606" s="128">
        <v>58117.09</v>
      </c>
    </row>
    <row r="1607" spans="2:3" x14ac:dyDescent="0.25">
      <c r="B1607" s="141">
        <v>44545</v>
      </c>
      <c r="C1607" s="128">
        <v>57788.03</v>
      </c>
    </row>
    <row r="1608" spans="2:3" x14ac:dyDescent="0.25">
      <c r="B1608" s="141">
        <v>44546</v>
      </c>
      <c r="C1608" s="128">
        <v>57901.14</v>
      </c>
    </row>
    <row r="1609" spans="2:3" x14ac:dyDescent="0.25">
      <c r="B1609" s="141">
        <v>44547</v>
      </c>
      <c r="C1609" s="128">
        <v>57011.74</v>
      </c>
    </row>
    <row r="1610" spans="2:3" x14ac:dyDescent="0.25">
      <c r="B1610" s="141">
        <v>44550</v>
      </c>
      <c r="C1610" s="128">
        <v>55822.01</v>
      </c>
    </row>
    <row r="1611" spans="2:3" x14ac:dyDescent="0.25">
      <c r="B1611" s="141">
        <v>44551</v>
      </c>
      <c r="C1611" s="128">
        <v>56319.01</v>
      </c>
    </row>
    <row r="1612" spans="2:3" x14ac:dyDescent="0.25">
      <c r="B1612" s="141">
        <v>44552</v>
      </c>
      <c r="C1612" s="128">
        <v>56930.559999999998</v>
      </c>
    </row>
    <row r="1613" spans="2:3" x14ac:dyDescent="0.25">
      <c r="B1613" s="141">
        <v>44553</v>
      </c>
      <c r="C1613" s="128">
        <v>57315.28</v>
      </c>
    </row>
    <row r="1614" spans="2:3" x14ac:dyDescent="0.25">
      <c r="B1614" s="141">
        <v>44554</v>
      </c>
      <c r="C1614" s="128">
        <v>57124.31</v>
      </c>
    </row>
    <row r="1615" spans="2:3" x14ac:dyDescent="0.25">
      <c r="B1615" s="141">
        <v>44557</v>
      </c>
      <c r="C1615" s="128">
        <v>57420.24</v>
      </c>
    </row>
    <row r="1616" spans="2:3" x14ac:dyDescent="0.25">
      <c r="B1616" s="141">
        <v>44558</v>
      </c>
      <c r="C1616" s="128">
        <v>57897.48</v>
      </c>
    </row>
    <row r="1617" spans="2:3" x14ac:dyDescent="0.25">
      <c r="B1617" s="141">
        <v>44559</v>
      </c>
      <c r="C1617" s="128">
        <v>57806.49</v>
      </c>
    </row>
    <row r="1618" spans="2:3" x14ac:dyDescent="0.25">
      <c r="B1618" s="141">
        <v>44560</v>
      </c>
      <c r="C1618" s="128">
        <v>57794.32</v>
      </c>
    </row>
    <row r="1619" spans="2:3" x14ac:dyDescent="0.25">
      <c r="B1619" s="141">
        <v>44561</v>
      </c>
      <c r="C1619" s="128">
        <v>58253.82</v>
      </c>
    </row>
    <row r="1620" spans="2:3" x14ac:dyDescent="0.25">
      <c r="B1620" s="141">
        <v>44564</v>
      </c>
      <c r="C1620" s="128">
        <v>59183.22</v>
      </c>
    </row>
    <row r="1621" spans="2:3" x14ac:dyDescent="0.25">
      <c r="B1621" s="141">
        <v>44565</v>
      </c>
      <c r="C1621" s="128">
        <v>59855.93</v>
      </c>
    </row>
    <row r="1622" spans="2:3" x14ac:dyDescent="0.25">
      <c r="B1622" s="141">
        <v>44566</v>
      </c>
      <c r="C1622" s="128">
        <v>60223.15</v>
      </c>
    </row>
    <row r="1623" spans="2:3" x14ac:dyDescent="0.25">
      <c r="B1623" s="141">
        <v>44567</v>
      </c>
      <c r="C1623" s="128">
        <v>59601.84</v>
      </c>
    </row>
    <row r="1624" spans="2:3" x14ac:dyDescent="0.25">
      <c r="B1624" s="141">
        <v>44568</v>
      </c>
      <c r="C1624" s="128">
        <v>59744.65</v>
      </c>
    </row>
    <row r="1625" spans="2:3" x14ac:dyDescent="0.25">
      <c r="B1625" s="141">
        <v>44571</v>
      </c>
      <c r="C1625" s="128">
        <v>60395.63</v>
      </c>
    </row>
    <row r="1626" spans="2:3" x14ac:dyDescent="0.25">
      <c r="B1626" s="141">
        <v>44572</v>
      </c>
      <c r="C1626" s="128">
        <v>60616.89</v>
      </c>
    </row>
    <row r="1627" spans="2:3" x14ac:dyDescent="0.25">
      <c r="B1627" s="141">
        <v>44573</v>
      </c>
      <c r="C1627" s="128">
        <v>61150.04</v>
      </c>
    </row>
    <row r="1628" spans="2:3" x14ac:dyDescent="0.25">
      <c r="B1628" s="141">
        <v>44574</v>
      </c>
      <c r="C1628" s="128">
        <v>61235.3</v>
      </c>
    </row>
    <row r="1629" spans="2:3" x14ac:dyDescent="0.25">
      <c r="B1629" s="141">
        <v>44575</v>
      </c>
      <c r="C1629" s="128">
        <v>61223.03</v>
      </c>
    </row>
    <row r="1630" spans="2:3" x14ac:dyDescent="0.25">
      <c r="B1630" s="141">
        <v>44578</v>
      </c>
      <c r="C1630" s="128">
        <v>61308.91</v>
      </c>
    </row>
    <row r="1631" spans="2:3" x14ac:dyDescent="0.25">
      <c r="B1631" s="141">
        <v>44579</v>
      </c>
      <c r="C1631" s="128">
        <v>60754.86</v>
      </c>
    </row>
    <row r="1632" spans="2:3" x14ac:dyDescent="0.25">
      <c r="B1632" s="141">
        <v>44580</v>
      </c>
      <c r="C1632" s="128">
        <v>60098.82</v>
      </c>
    </row>
    <row r="1633" spans="2:3" x14ac:dyDescent="0.25">
      <c r="B1633" s="141">
        <v>44581</v>
      </c>
      <c r="C1633" s="128">
        <v>59464.62</v>
      </c>
    </row>
    <row r="1634" spans="2:3" x14ac:dyDescent="0.25">
      <c r="B1634" s="141">
        <v>44582</v>
      </c>
      <c r="C1634" s="128">
        <v>59037.18</v>
      </c>
    </row>
    <row r="1635" spans="2:3" x14ac:dyDescent="0.25">
      <c r="B1635" s="141">
        <v>44585</v>
      </c>
      <c r="C1635" s="128">
        <v>57491.51</v>
      </c>
    </row>
    <row r="1636" spans="2:3" x14ac:dyDescent="0.25">
      <c r="B1636" s="141">
        <v>44586</v>
      </c>
      <c r="C1636" s="128">
        <v>57858.15</v>
      </c>
    </row>
    <row r="1637" spans="2:3" x14ac:dyDescent="0.25">
      <c r="B1637" s="141">
        <v>44588</v>
      </c>
      <c r="C1637" s="128">
        <v>57276.94</v>
      </c>
    </row>
    <row r="1638" spans="2:3" x14ac:dyDescent="0.25">
      <c r="B1638" s="141">
        <v>44589</v>
      </c>
      <c r="C1638" s="128">
        <v>57200.23</v>
      </c>
    </row>
    <row r="1639" spans="2:3" x14ac:dyDescent="0.25">
      <c r="B1639" s="141">
        <v>44592</v>
      </c>
      <c r="C1639" s="128">
        <v>58014.17</v>
      </c>
    </row>
    <row r="1640" spans="2:3" x14ac:dyDescent="0.25">
      <c r="B1640" s="141">
        <v>44593</v>
      </c>
      <c r="C1640" s="128">
        <v>58862.57</v>
      </c>
    </row>
    <row r="1641" spans="2:3" x14ac:dyDescent="0.25">
      <c r="B1641" s="141">
        <v>44594</v>
      </c>
      <c r="C1641" s="128">
        <v>59558.33</v>
      </c>
    </row>
    <row r="1642" spans="2:3" x14ac:dyDescent="0.25">
      <c r="B1642" s="141">
        <v>44595</v>
      </c>
      <c r="C1642" s="128">
        <v>58788.02</v>
      </c>
    </row>
    <row r="1643" spans="2:3" x14ac:dyDescent="0.25">
      <c r="B1643" s="141">
        <v>44596</v>
      </c>
      <c r="C1643" s="128">
        <v>58644.82</v>
      </c>
    </row>
    <row r="1644" spans="2:3" x14ac:dyDescent="0.25">
      <c r="B1644" s="141">
        <v>44599</v>
      </c>
      <c r="C1644" s="128">
        <v>57621.19</v>
      </c>
    </row>
    <row r="1645" spans="2:3" x14ac:dyDescent="0.25">
      <c r="B1645" s="141">
        <v>44600</v>
      </c>
      <c r="C1645" s="128">
        <v>57808.58</v>
      </c>
    </row>
    <row r="1646" spans="2:3" x14ac:dyDescent="0.25">
      <c r="B1646" s="141">
        <v>44601</v>
      </c>
      <c r="C1646" s="128">
        <v>58465.97</v>
      </c>
    </row>
    <row r="1647" spans="2:3" x14ac:dyDescent="0.25">
      <c r="B1647" s="141">
        <v>44602</v>
      </c>
      <c r="C1647" s="128">
        <v>58926.03</v>
      </c>
    </row>
    <row r="1648" spans="2:3" x14ac:dyDescent="0.25">
      <c r="B1648" s="141">
        <v>44603</v>
      </c>
      <c r="C1648" s="128">
        <v>58152.92</v>
      </c>
    </row>
    <row r="1649" spans="2:3" x14ac:dyDescent="0.25">
      <c r="B1649" s="141">
        <v>44606</v>
      </c>
      <c r="C1649" s="128">
        <v>56405.84</v>
      </c>
    </row>
    <row r="1650" spans="2:3" x14ac:dyDescent="0.25">
      <c r="B1650" s="141">
        <v>44607</v>
      </c>
      <c r="C1650" s="128">
        <v>58142.05</v>
      </c>
    </row>
    <row r="1651" spans="2:3" x14ac:dyDescent="0.25">
      <c r="B1651" s="141">
        <v>44608</v>
      </c>
      <c r="C1651" s="128">
        <v>57996.68</v>
      </c>
    </row>
    <row r="1652" spans="2:3" x14ac:dyDescent="0.25">
      <c r="B1652" s="141">
        <v>44609</v>
      </c>
      <c r="C1652" s="128">
        <v>57892.01</v>
      </c>
    </row>
    <row r="1653" spans="2:3" x14ac:dyDescent="0.25">
      <c r="B1653" s="141">
        <v>44610</v>
      </c>
      <c r="C1653" s="128">
        <v>57832.97</v>
      </c>
    </row>
    <row r="1654" spans="2:3" x14ac:dyDescent="0.25">
      <c r="B1654" s="141">
        <v>44613</v>
      </c>
      <c r="C1654" s="128">
        <v>57683.59</v>
      </c>
    </row>
    <row r="1655" spans="2:3" x14ac:dyDescent="0.25">
      <c r="B1655" s="141">
        <v>44614</v>
      </c>
      <c r="C1655" s="128">
        <v>57300.68</v>
      </c>
    </row>
    <row r="1656" spans="2:3" x14ac:dyDescent="0.25">
      <c r="B1656" s="141">
        <v>44615</v>
      </c>
      <c r="C1656" s="128">
        <v>57232.06</v>
      </c>
    </row>
    <row r="1657" spans="2:3" x14ac:dyDescent="0.25">
      <c r="B1657" s="141">
        <v>44616</v>
      </c>
      <c r="C1657" s="128">
        <v>54529.91</v>
      </c>
    </row>
    <row r="1658" spans="2:3" x14ac:dyDescent="0.25">
      <c r="B1658" s="141">
        <v>44617</v>
      </c>
      <c r="C1658" s="128">
        <v>55858.52</v>
      </c>
    </row>
    <row r="1659" spans="2:3" x14ac:dyDescent="0.25">
      <c r="B1659" s="141">
        <v>44620</v>
      </c>
      <c r="C1659" s="128">
        <v>56247.28</v>
      </c>
    </row>
    <row r="1660" spans="2:3" x14ac:dyDescent="0.25">
      <c r="B1660" s="141">
        <v>44622</v>
      </c>
      <c r="C1660" s="128">
        <v>55468.9</v>
      </c>
    </row>
    <row r="1661" spans="2:3" x14ac:dyDescent="0.25">
      <c r="B1661" s="141">
        <v>44623</v>
      </c>
      <c r="C1661" s="128">
        <v>55102.68</v>
      </c>
    </row>
    <row r="1662" spans="2:3" x14ac:dyDescent="0.25">
      <c r="B1662" s="141">
        <v>44624</v>
      </c>
      <c r="C1662" s="128">
        <v>54333.81</v>
      </c>
    </row>
    <row r="1663" spans="2:3" x14ac:dyDescent="0.25">
      <c r="B1663" s="141">
        <v>44627</v>
      </c>
      <c r="C1663" s="128">
        <v>52842.75</v>
      </c>
    </row>
    <row r="1664" spans="2:3" x14ac:dyDescent="0.25">
      <c r="B1664" s="141">
        <v>44628</v>
      </c>
      <c r="C1664" s="128">
        <v>53424.09</v>
      </c>
    </row>
    <row r="1665" spans="2:3" x14ac:dyDescent="0.25">
      <c r="B1665" s="141">
        <v>44629</v>
      </c>
      <c r="C1665" s="128">
        <v>54647.33</v>
      </c>
    </row>
    <row r="1666" spans="2:3" x14ac:dyDescent="0.25">
      <c r="B1666" s="141">
        <v>44630</v>
      </c>
      <c r="C1666" s="128">
        <v>55464.39</v>
      </c>
    </row>
    <row r="1667" spans="2:3" x14ac:dyDescent="0.25">
      <c r="B1667" s="141">
        <v>44631</v>
      </c>
      <c r="C1667" s="128">
        <v>55550.3</v>
      </c>
    </row>
    <row r="1668" spans="2:3" x14ac:dyDescent="0.25">
      <c r="B1668" s="141">
        <v>44634</v>
      </c>
      <c r="C1668" s="128">
        <v>56486.02</v>
      </c>
    </row>
    <row r="1669" spans="2:3" x14ac:dyDescent="0.25">
      <c r="B1669" s="141">
        <v>44635</v>
      </c>
      <c r="C1669" s="128">
        <v>55776.85</v>
      </c>
    </row>
    <row r="1670" spans="2:3" x14ac:dyDescent="0.25">
      <c r="B1670" s="141">
        <v>44636</v>
      </c>
      <c r="C1670" s="128">
        <v>56816.65</v>
      </c>
    </row>
    <row r="1671" spans="2:3" x14ac:dyDescent="0.25">
      <c r="B1671" s="141">
        <v>44637</v>
      </c>
      <c r="C1671" s="128">
        <v>57863.93</v>
      </c>
    </row>
    <row r="1672" spans="2:3" x14ac:dyDescent="0.25">
      <c r="B1672" s="141">
        <v>44641</v>
      </c>
      <c r="C1672" s="128">
        <v>57292.49</v>
      </c>
    </row>
    <row r="1673" spans="2:3" x14ac:dyDescent="0.25">
      <c r="B1673" s="141">
        <v>44642</v>
      </c>
      <c r="C1673" s="128">
        <v>57989.3</v>
      </c>
    </row>
    <row r="1674" spans="2:3" x14ac:dyDescent="0.25">
      <c r="B1674" s="141">
        <v>44643</v>
      </c>
      <c r="C1674" s="128">
        <v>57684.82</v>
      </c>
    </row>
    <row r="1675" spans="2:3" x14ac:dyDescent="0.25">
      <c r="B1675" s="141">
        <v>44644</v>
      </c>
      <c r="C1675" s="128">
        <v>57595.68</v>
      </c>
    </row>
    <row r="1676" spans="2:3" x14ac:dyDescent="0.25">
      <c r="B1676" s="141">
        <v>44645</v>
      </c>
      <c r="C1676" s="128">
        <v>57362.2</v>
      </c>
    </row>
    <row r="1677" spans="2:3" x14ac:dyDescent="0.25">
      <c r="B1677" s="141">
        <v>44648</v>
      </c>
      <c r="C1677" s="128">
        <v>57593.49</v>
      </c>
    </row>
    <row r="1678" spans="2:3" x14ac:dyDescent="0.25">
      <c r="B1678" s="141">
        <v>44649</v>
      </c>
      <c r="C1678" s="128">
        <v>57943.65</v>
      </c>
    </row>
    <row r="1679" spans="2:3" x14ac:dyDescent="0.25">
      <c r="B1679" s="141">
        <v>44650</v>
      </c>
      <c r="C1679" s="128">
        <v>58683.99</v>
      </c>
    </row>
    <row r="1680" spans="2:3" x14ac:dyDescent="0.25">
      <c r="B1680" s="141">
        <v>44651</v>
      </c>
      <c r="C1680" s="128">
        <v>58568.51</v>
      </c>
    </row>
    <row r="1681" spans="2:3" x14ac:dyDescent="0.25">
      <c r="B1681" s="141">
        <v>44652</v>
      </c>
      <c r="C1681" s="128">
        <v>59276.69</v>
      </c>
    </row>
    <row r="1682" spans="2:3" x14ac:dyDescent="0.25">
      <c r="B1682" s="141">
        <v>44655</v>
      </c>
      <c r="C1682" s="128">
        <v>60611.74</v>
      </c>
    </row>
    <row r="1683" spans="2:3" x14ac:dyDescent="0.25">
      <c r="B1683" s="141">
        <v>44656</v>
      </c>
      <c r="C1683" s="128">
        <v>60176.5</v>
      </c>
    </row>
    <row r="1684" spans="2:3" x14ac:dyDescent="0.25">
      <c r="B1684" s="141">
        <v>44657</v>
      </c>
      <c r="C1684" s="128">
        <v>59610.41</v>
      </c>
    </row>
    <row r="1685" spans="2:3" x14ac:dyDescent="0.25">
      <c r="B1685" s="141">
        <v>44658</v>
      </c>
      <c r="C1685" s="128">
        <v>59034.95</v>
      </c>
    </row>
    <row r="1686" spans="2:3" x14ac:dyDescent="0.25">
      <c r="B1686" s="141">
        <v>44659</v>
      </c>
      <c r="C1686" s="128">
        <v>59447.18</v>
      </c>
    </row>
    <row r="1687" spans="2:3" x14ac:dyDescent="0.25">
      <c r="B1687" s="141">
        <v>44662</v>
      </c>
      <c r="C1687" s="128">
        <v>58964.57</v>
      </c>
    </row>
    <row r="1688" spans="2:3" x14ac:dyDescent="0.25">
      <c r="B1688" s="141">
        <v>44663</v>
      </c>
      <c r="C1688" s="128">
        <v>58576.37</v>
      </c>
    </row>
    <row r="1689" spans="2:3" x14ac:dyDescent="0.25">
      <c r="B1689" s="141">
        <v>44664</v>
      </c>
      <c r="C1689" s="128">
        <v>58338.93</v>
      </c>
    </row>
    <row r="1690" spans="2:3" x14ac:dyDescent="0.25">
      <c r="B1690" s="141">
        <v>44669</v>
      </c>
      <c r="C1690" s="128">
        <v>57166.74</v>
      </c>
    </row>
    <row r="1691" spans="2:3" x14ac:dyDescent="0.25">
      <c r="B1691" s="141">
        <v>44670</v>
      </c>
      <c r="C1691" s="128">
        <v>56463.15</v>
      </c>
    </row>
    <row r="1692" spans="2:3" x14ac:dyDescent="0.25">
      <c r="B1692" s="141">
        <v>44671</v>
      </c>
      <c r="C1692" s="128">
        <v>57037.5</v>
      </c>
    </row>
    <row r="1693" spans="2:3" x14ac:dyDescent="0.25">
      <c r="B1693" s="141">
        <v>44672</v>
      </c>
      <c r="C1693" s="128">
        <v>57911.68</v>
      </c>
    </row>
    <row r="1694" spans="2:3" x14ac:dyDescent="0.25">
      <c r="B1694" s="141">
        <v>44673</v>
      </c>
      <c r="C1694" s="128">
        <v>57197.15</v>
      </c>
    </row>
    <row r="1695" spans="2:3" x14ac:dyDescent="0.25">
      <c r="B1695" s="141">
        <v>44676</v>
      </c>
      <c r="C1695" s="128">
        <v>56579.89</v>
      </c>
    </row>
    <row r="1696" spans="2:3" x14ac:dyDescent="0.25">
      <c r="B1696" s="141">
        <v>44677</v>
      </c>
      <c r="C1696" s="128">
        <v>57356.61</v>
      </c>
    </row>
    <row r="1697" spans="2:3" x14ac:dyDescent="0.25">
      <c r="B1697" s="141">
        <v>44678</v>
      </c>
      <c r="C1697" s="128">
        <v>56819.39</v>
      </c>
    </row>
    <row r="1698" spans="2:3" x14ac:dyDescent="0.25">
      <c r="B1698" s="141">
        <v>44679</v>
      </c>
      <c r="C1698" s="128">
        <v>57521.06</v>
      </c>
    </row>
    <row r="1699" spans="2:3" x14ac:dyDescent="0.25">
      <c r="B1699" s="141">
        <v>44680</v>
      </c>
      <c r="C1699" s="128">
        <v>57060.87</v>
      </c>
    </row>
    <row r="1700" spans="2:3" x14ac:dyDescent="0.25">
      <c r="B1700" s="141">
        <v>44683</v>
      </c>
      <c r="C1700" s="128">
        <v>56975.99</v>
      </c>
    </row>
    <row r="1701" spans="2:3" x14ac:dyDescent="0.25">
      <c r="B1701" s="141">
        <v>44685</v>
      </c>
      <c r="C1701" s="128">
        <v>55669.03</v>
      </c>
    </row>
    <row r="1702" spans="2:3" x14ac:dyDescent="0.25">
      <c r="B1702" s="141">
        <v>44686</v>
      </c>
      <c r="C1702" s="128">
        <v>55702.23</v>
      </c>
    </row>
    <row r="1703" spans="2:3" x14ac:dyDescent="0.25">
      <c r="B1703" s="141">
        <v>44687</v>
      </c>
      <c r="C1703" s="128">
        <v>54835.58</v>
      </c>
    </row>
    <row r="1704" spans="2:3" x14ac:dyDescent="0.25">
      <c r="B1704" s="141">
        <v>44690</v>
      </c>
      <c r="C1704" s="128">
        <v>54470.67</v>
      </c>
    </row>
    <row r="1705" spans="2:3" x14ac:dyDescent="0.25">
      <c r="B1705" s="141">
        <v>44691</v>
      </c>
      <c r="C1705" s="128">
        <v>54364.85</v>
      </c>
    </row>
    <row r="1706" spans="2:3" x14ac:dyDescent="0.25">
      <c r="B1706" s="141">
        <v>44692</v>
      </c>
      <c r="C1706" s="128">
        <v>54088.39</v>
      </c>
    </row>
    <row r="1707" spans="2:3" x14ac:dyDescent="0.25">
      <c r="B1707" s="141">
        <v>44693</v>
      </c>
      <c r="C1707" s="128">
        <v>52930.31</v>
      </c>
    </row>
    <row r="1708" spans="2:3" x14ac:dyDescent="0.25">
      <c r="B1708" s="141">
        <v>44694</v>
      </c>
      <c r="C1708" s="128">
        <v>52793.62</v>
      </c>
    </row>
    <row r="1709" spans="2:3" x14ac:dyDescent="0.25">
      <c r="B1709" s="141">
        <v>44697</v>
      </c>
      <c r="C1709" s="128">
        <v>52973.84</v>
      </c>
    </row>
    <row r="1710" spans="2:3" x14ac:dyDescent="0.25">
      <c r="B1710" s="141">
        <v>44698</v>
      </c>
      <c r="C1710" s="128">
        <v>54318.47</v>
      </c>
    </row>
    <row r="1711" spans="2:3" x14ac:dyDescent="0.25">
      <c r="B1711" s="141">
        <v>44699</v>
      </c>
      <c r="C1711" s="128">
        <v>54208.53</v>
      </c>
    </row>
    <row r="1712" spans="2:3" x14ac:dyDescent="0.25">
      <c r="B1712" s="141">
        <v>44700</v>
      </c>
      <c r="C1712" s="128">
        <v>52792.23</v>
      </c>
    </row>
    <row r="1713" spans="2:3" x14ac:dyDescent="0.25">
      <c r="B1713" s="141">
        <v>44701</v>
      </c>
      <c r="C1713" s="128">
        <v>54326.39</v>
      </c>
    </row>
    <row r="1714" spans="2:3" x14ac:dyDescent="0.25">
      <c r="B1714" s="141">
        <v>44704</v>
      </c>
      <c r="C1714" s="128">
        <v>54288.61</v>
      </c>
    </row>
    <row r="1715" spans="2:3" x14ac:dyDescent="0.25">
      <c r="B1715" s="141">
        <v>44705</v>
      </c>
      <c r="C1715" s="128">
        <v>54052.61</v>
      </c>
    </row>
    <row r="1716" spans="2:3" x14ac:dyDescent="0.25">
      <c r="B1716" s="141">
        <v>44706</v>
      </c>
      <c r="C1716" s="128">
        <v>53749.26</v>
      </c>
    </row>
    <row r="1717" spans="2:3" x14ac:dyDescent="0.25">
      <c r="B1717" s="141">
        <v>44707</v>
      </c>
      <c r="C1717" s="128">
        <v>54252.53</v>
      </c>
    </row>
    <row r="1718" spans="2:3" x14ac:dyDescent="0.25">
      <c r="B1718" s="141">
        <v>44708</v>
      </c>
      <c r="C1718" s="128">
        <v>54884.66</v>
      </c>
    </row>
    <row r="1719" spans="2:3" x14ac:dyDescent="0.25">
      <c r="B1719" s="141">
        <v>44711</v>
      </c>
      <c r="C1719" s="128">
        <v>55925.74</v>
      </c>
    </row>
    <row r="1720" spans="2:3" x14ac:dyDescent="0.25">
      <c r="B1720" s="141">
        <v>44712</v>
      </c>
      <c r="C1720" s="128">
        <v>55566.41</v>
      </c>
    </row>
    <row r="1721" spans="2:3" x14ac:dyDescent="0.25">
      <c r="B1721" s="141">
        <v>44713</v>
      </c>
      <c r="C1721" s="128">
        <v>55381.17</v>
      </c>
    </row>
    <row r="1722" spans="2:3" x14ac:dyDescent="0.25">
      <c r="B1722" s="141">
        <v>44714</v>
      </c>
      <c r="C1722" s="128">
        <v>55818.11</v>
      </c>
    </row>
    <row r="1723" spans="2:3" x14ac:dyDescent="0.25">
      <c r="B1723" s="141">
        <v>44715</v>
      </c>
      <c r="C1723" s="128">
        <v>55769.23</v>
      </c>
    </row>
    <row r="1724" spans="2:3" x14ac:dyDescent="0.25">
      <c r="B1724" s="141">
        <v>44718</v>
      </c>
      <c r="C1724" s="128">
        <v>55675.32</v>
      </c>
    </row>
    <row r="1725" spans="2:3" x14ac:dyDescent="0.25">
      <c r="B1725" s="141">
        <v>44719</v>
      </c>
      <c r="C1725" s="128">
        <v>55107.34</v>
      </c>
    </row>
    <row r="1726" spans="2:3" x14ac:dyDescent="0.25">
      <c r="B1726" s="141">
        <v>44720</v>
      </c>
      <c r="C1726" s="128">
        <v>54892.49</v>
      </c>
    </row>
    <row r="1727" spans="2:3" x14ac:dyDescent="0.25">
      <c r="B1727" s="141">
        <v>44721</v>
      </c>
      <c r="C1727" s="128">
        <v>55320.28</v>
      </c>
    </row>
    <row r="1728" spans="2:3" x14ac:dyDescent="0.25">
      <c r="B1728" s="141">
        <v>44722</v>
      </c>
      <c r="C1728" s="128">
        <v>54303.44</v>
      </c>
    </row>
    <row r="1729" spans="2:3" x14ac:dyDescent="0.25">
      <c r="B1729" s="141">
        <v>44725</v>
      </c>
      <c r="C1729" s="128">
        <v>52846.7</v>
      </c>
    </row>
    <row r="1730" spans="2:3" x14ac:dyDescent="0.25">
      <c r="B1730" s="141">
        <v>44726</v>
      </c>
      <c r="C1730" s="128">
        <v>52693.57</v>
      </c>
    </row>
    <row r="1731" spans="2:3" x14ac:dyDescent="0.25">
      <c r="B1731" s="141">
        <v>44727</v>
      </c>
      <c r="C1731" s="128">
        <v>52541.39</v>
      </c>
    </row>
    <row r="1732" spans="2:3" x14ac:dyDescent="0.25">
      <c r="B1732" s="141">
        <v>44728</v>
      </c>
      <c r="C1732" s="128">
        <v>51495.79</v>
      </c>
    </row>
    <row r="1733" spans="2:3" x14ac:dyDescent="0.25">
      <c r="B1733" s="141">
        <v>44729</v>
      </c>
      <c r="C1733" s="128">
        <v>51360.42</v>
      </c>
    </row>
    <row r="1734" spans="2:3" x14ac:dyDescent="0.25">
      <c r="B1734" s="141">
        <v>44732</v>
      </c>
      <c r="C1734" s="128">
        <v>51597.84</v>
      </c>
    </row>
    <row r="1735" spans="2:3" x14ac:dyDescent="0.25">
      <c r="B1735" s="141">
        <v>44733</v>
      </c>
      <c r="C1735" s="128">
        <v>52532.07</v>
      </c>
    </row>
    <row r="1736" spans="2:3" x14ac:dyDescent="0.25">
      <c r="B1736" s="141">
        <v>44734</v>
      </c>
      <c r="C1736" s="128">
        <v>51822.53</v>
      </c>
    </row>
    <row r="1737" spans="2:3" x14ac:dyDescent="0.25">
      <c r="B1737" s="141">
        <v>44735</v>
      </c>
      <c r="C1737" s="128">
        <v>52265.72</v>
      </c>
    </row>
    <row r="1738" spans="2:3" x14ac:dyDescent="0.25">
      <c r="B1738" s="141">
        <v>44736</v>
      </c>
      <c r="C1738" s="128">
        <v>52727.98</v>
      </c>
    </row>
    <row r="1739" spans="2:3" x14ac:dyDescent="0.25">
      <c r="B1739" s="141">
        <v>44739</v>
      </c>
      <c r="C1739" s="128">
        <v>53161.279999999999</v>
      </c>
    </row>
    <row r="1740" spans="2:3" x14ac:dyDescent="0.25">
      <c r="B1740" s="141">
        <v>44740</v>
      </c>
      <c r="C1740" s="128">
        <v>53177.45</v>
      </c>
    </row>
    <row r="1741" spans="2:3" x14ac:dyDescent="0.25">
      <c r="B1741" s="141">
        <v>44741</v>
      </c>
      <c r="C1741" s="128">
        <v>53026.97</v>
      </c>
    </row>
    <row r="1742" spans="2:3" x14ac:dyDescent="0.25">
      <c r="B1742" s="141">
        <v>44742</v>
      </c>
      <c r="C1742" s="128">
        <v>53018.94</v>
      </c>
    </row>
    <row r="1743" spans="2:3" x14ac:dyDescent="0.25">
      <c r="B1743" s="141">
        <v>44743</v>
      </c>
      <c r="C1743" s="128">
        <v>52907.93</v>
      </c>
    </row>
    <row r="1744" spans="2:3" x14ac:dyDescent="0.25">
      <c r="B1744" s="141">
        <v>44746</v>
      </c>
      <c r="C1744" s="128">
        <v>53234.77</v>
      </c>
    </row>
    <row r="1745" spans="2:3" x14ac:dyDescent="0.25">
      <c r="B1745" s="141">
        <v>44747</v>
      </c>
      <c r="C1745" s="128">
        <v>53134.35</v>
      </c>
    </row>
    <row r="1746" spans="2:3" x14ac:dyDescent="0.25">
      <c r="B1746" s="141">
        <v>44748</v>
      </c>
      <c r="C1746" s="128">
        <v>53750.97</v>
      </c>
    </row>
    <row r="1747" spans="2:3" x14ac:dyDescent="0.25">
      <c r="B1747" s="141">
        <v>44749</v>
      </c>
      <c r="C1747" s="128">
        <v>54178.46</v>
      </c>
    </row>
    <row r="1748" spans="2:3" x14ac:dyDescent="0.25">
      <c r="B1748" s="141">
        <v>44750</v>
      </c>
      <c r="C1748" s="128">
        <v>54481.84</v>
      </c>
    </row>
    <row r="1749" spans="2:3" x14ac:dyDescent="0.25">
      <c r="B1749" s="141">
        <v>44753</v>
      </c>
      <c r="C1749" s="128">
        <v>54395.23</v>
      </c>
    </row>
    <row r="1750" spans="2:3" x14ac:dyDescent="0.25">
      <c r="B1750" s="141">
        <v>44754</v>
      </c>
      <c r="C1750" s="128">
        <v>53886.61</v>
      </c>
    </row>
    <row r="1751" spans="2:3" x14ac:dyDescent="0.25">
      <c r="B1751" s="141">
        <v>44755</v>
      </c>
      <c r="C1751" s="128">
        <v>53514.15</v>
      </c>
    </row>
    <row r="1752" spans="2:3" x14ac:dyDescent="0.25">
      <c r="B1752" s="141">
        <v>44756</v>
      </c>
      <c r="C1752" s="128">
        <v>53416.15</v>
      </c>
    </row>
    <row r="1753" spans="2:3" x14ac:dyDescent="0.25">
      <c r="B1753" s="141">
        <v>44757</v>
      </c>
      <c r="C1753" s="128">
        <v>53760.78</v>
      </c>
    </row>
    <row r="1754" spans="2:3" x14ac:dyDescent="0.25">
      <c r="B1754" s="141">
        <v>44760</v>
      </c>
      <c r="C1754" s="128">
        <v>54521.15</v>
      </c>
    </row>
    <row r="1755" spans="2:3" x14ac:dyDescent="0.25">
      <c r="B1755" s="141">
        <v>44761</v>
      </c>
      <c r="C1755" s="128">
        <v>54767.62</v>
      </c>
    </row>
    <row r="1756" spans="2:3" x14ac:dyDescent="0.25">
      <c r="B1756" s="141">
        <v>44762</v>
      </c>
      <c r="C1756" s="128">
        <v>55397.53</v>
      </c>
    </row>
    <row r="1757" spans="2:3" x14ac:dyDescent="0.25">
      <c r="B1757" s="141">
        <v>44763</v>
      </c>
      <c r="C1757" s="128">
        <v>55681.95</v>
      </c>
    </row>
    <row r="1758" spans="2:3" x14ac:dyDescent="0.25">
      <c r="B1758" s="141">
        <v>44764</v>
      </c>
      <c r="C1758" s="128">
        <v>56072.23</v>
      </c>
    </row>
    <row r="1759" spans="2:3" x14ac:dyDescent="0.25">
      <c r="B1759" s="141">
        <v>44767</v>
      </c>
      <c r="C1759" s="128">
        <v>55766.22</v>
      </c>
    </row>
    <row r="1760" spans="2:3" x14ac:dyDescent="0.25">
      <c r="B1760" s="141">
        <v>44768</v>
      </c>
      <c r="C1760" s="128">
        <v>55268.49</v>
      </c>
    </row>
    <row r="1761" spans="2:3" x14ac:dyDescent="0.25">
      <c r="B1761" s="141">
        <v>44769</v>
      </c>
      <c r="C1761" s="128">
        <v>55816.32</v>
      </c>
    </row>
    <row r="1762" spans="2:3" x14ac:dyDescent="0.25">
      <c r="B1762" s="141">
        <v>44770</v>
      </c>
      <c r="C1762" s="128">
        <v>56857.79</v>
      </c>
    </row>
    <row r="1763" spans="2:3" x14ac:dyDescent="0.25">
      <c r="B1763" s="141">
        <v>44771</v>
      </c>
      <c r="C1763" s="128">
        <v>57570.25</v>
      </c>
    </row>
    <row r="1764" spans="2:3" x14ac:dyDescent="0.25">
      <c r="B1764" s="141">
        <v>44774</v>
      </c>
      <c r="C1764" s="128">
        <v>58115.5</v>
      </c>
    </row>
    <row r="1765" spans="2:3" x14ac:dyDescent="0.25">
      <c r="B1765" s="141">
        <v>44775</v>
      </c>
      <c r="C1765" s="128">
        <v>58136.36</v>
      </c>
    </row>
    <row r="1766" spans="2:3" x14ac:dyDescent="0.25">
      <c r="B1766" s="141">
        <v>44776</v>
      </c>
      <c r="C1766" s="128">
        <v>58350.53</v>
      </c>
    </row>
    <row r="1767" spans="2:3" x14ac:dyDescent="0.25">
      <c r="B1767" s="141">
        <v>44777</v>
      </c>
      <c r="C1767" s="128">
        <v>58298.8</v>
      </c>
    </row>
    <row r="1768" spans="2:3" x14ac:dyDescent="0.25">
      <c r="B1768" s="141">
        <v>44778</v>
      </c>
      <c r="C1768" s="128">
        <v>58387.93</v>
      </c>
    </row>
    <row r="1769" spans="2:3" x14ac:dyDescent="0.25">
      <c r="B1769" s="141">
        <v>44781</v>
      </c>
      <c r="C1769" s="128">
        <v>58853.07</v>
      </c>
    </row>
    <row r="1770" spans="2:3" x14ac:dyDescent="0.25">
      <c r="B1770" s="141">
        <v>44783</v>
      </c>
      <c r="C1770" s="128">
        <v>58817.29</v>
      </c>
    </row>
    <row r="1771" spans="2:3" x14ac:dyDescent="0.25">
      <c r="B1771" s="141">
        <v>44784</v>
      </c>
      <c r="C1771" s="128">
        <v>59332.6</v>
      </c>
    </row>
    <row r="1772" spans="2:3" x14ac:dyDescent="0.25">
      <c r="B1772" s="141">
        <v>44785</v>
      </c>
      <c r="C1772" s="128">
        <v>59462.78</v>
      </c>
    </row>
    <row r="1773" spans="2:3" x14ac:dyDescent="0.25">
      <c r="B1773" s="141">
        <v>44789</v>
      </c>
      <c r="C1773" s="128">
        <v>59842.21</v>
      </c>
    </row>
    <row r="1774" spans="2:3" x14ac:dyDescent="0.25">
      <c r="B1774" s="141">
        <v>44790</v>
      </c>
      <c r="C1774" s="128">
        <v>60260.13</v>
      </c>
    </row>
    <row r="1775" spans="2:3" x14ac:dyDescent="0.25">
      <c r="B1775" s="141">
        <v>44791</v>
      </c>
      <c r="C1775" s="128">
        <v>60298</v>
      </c>
    </row>
    <row r="1776" spans="2:3" x14ac:dyDescent="0.25">
      <c r="B1776" s="141">
        <v>44792</v>
      </c>
      <c r="C1776" s="128">
        <v>59646.15</v>
      </c>
    </row>
    <row r="1777" spans="2:3" x14ac:dyDescent="0.25">
      <c r="B1777" s="141">
        <v>44795</v>
      </c>
      <c r="C1777" s="128">
        <v>58773.87</v>
      </c>
    </row>
    <row r="1778" spans="2:3" x14ac:dyDescent="0.25">
      <c r="B1778" s="141">
        <v>44796</v>
      </c>
      <c r="C1778" s="128">
        <v>59031.3</v>
      </c>
    </row>
    <row r="1779" spans="2:3" x14ac:dyDescent="0.25">
      <c r="B1779" s="141">
        <v>44797</v>
      </c>
      <c r="C1779" s="128">
        <v>59085.43</v>
      </c>
    </row>
    <row r="1780" spans="2:3" x14ac:dyDescent="0.25">
      <c r="B1780" s="141">
        <v>44798</v>
      </c>
      <c r="C1780" s="128">
        <v>58774.720000000001</v>
      </c>
    </row>
    <row r="1781" spans="2:3" x14ac:dyDescent="0.25">
      <c r="B1781" s="141">
        <v>44799</v>
      </c>
      <c r="C1781" s="128">
        <v>58833.87</v>
      </c>
    </row>
    <row r="1782" spans="2:3" x14ac:dyDescent="0.25">
      <c r="B1782" s="141">
        <v>44802</v>
      </c>
      <c r="C1782" s="128">
        <v>57972.62</v>
      </c>
    </row>
    <row r="1783" spans="2:3" x14ac:dyDescent="0.25">
      <c r="B1783" s="141">
        <v>44803</v>
      </c>
      <c r="C1783" s="128">
        <v>59537.07</v>
      </c>
    </row>
    <row r="1784" spans="2:3" x14ac:dyDescent="0.25">
      <c r="B1784" s="141">
        <v>44805</v>
      </c>
      <c r="C1784" s="128">
        <v>58766.59</v>
      </c>
    </row>
    <row r="1785" spans="2:3" x14ac:dyDescent="0.25">
      <c r="B1785" s="141">
        <v>44806</v>
      </c>
      <c r="C1785" s="128">
        <v>58803.33</v>
      </c>
    </row>
    <row r="1786" spans="2:3" x14ac:dyDescent="0.25">
      <c r="B1786" s="141">
        <v>44809</v>
      </c>
      <c r="C1786" s="128">
        <v>59245.98</v>
      </c>
    </row>
    <row r="1787" spans="2:3" x14ac:dyDescent="0.25">
      <c r="B1787" s="141">
        <v>44810</v>
      </c>
      <c r="C1787" s="128">
        <v>59196.99</v>
      </c>
    </row>
    <row r="1788" spans="2:3" x14ac:dyDescent="0.25">
      <c r="B1788" s="141">
        <v>44811</v>
      </c>
      <c r="C1788" s="128">
        <v>59028.91</v>
      </c>
    </row>
    <row r="1789" spans="2:3" x14ac:dyDescent="0.25">
      <c r="B1789" s="141">
        <v>44812</v>
      </c>
      <c r="C1789" s="128">
        <v>59688.22</v>
      </c>
    </row>
    <row r="1790" spans="2:3" x14ac:dyDescent="0.25">
      <c r="B1790" s="141">
        <v>44813</v>
      </c>
      <c r="C1790" s="128">
        <v>59793.14</v>
      </c>
    </row>
    <row r="1791" spans="2:3" x14ac:dyDescent="0.25">
      <c r="B1791" s="141">
        <v>44816</v>
      </c>
      <c r="C1791" s="128">
        <v>60115.13</v>
      </c>
    </row>
    <row r="1792" spans="2:3" x14ac:dyDescent="0.25">
      <c r="B1792" s="141">
        <v>44817</v>
      </c>
      <c r="C1792" s="128">
        <v>60571.08</v>
      </c>
    </row>
    <row r="1793" spans="2:3" x14ac:dyDescent="0.25">
      <c r="B1793" s="141">
        <v>44818</v>
      </c>
      <c r="C1793" s="128">
        <v>60346.97</v>
      </c>
    </row>
    <row r="1794" spans="2:3" x14ac:dyDescent="0.25">
      <c r="B1794" s="141">
        <v>44819</v>
      </c>
      <c r="C1794" s="128">
        <v>59934.01</v>
      </c>
    </row>
    <row r="1795" spans="2:3" x14ac:dyDescent="0.25">
      <c r="B1795" s="141">
        <v>44820</v>
      </c>
      <c r="C1795" s="128">
        <v>58840.79</v>
      </c>
    </row>
    <row r="1796" spans="2:3" x14ac:dyDescent="0.25">
      <c r="B1796" s="141">
        <v>44823</v>
      </c>
      <c r="C1796" s="128">
        <v>59141.23</v>
      </c>
    </row>
    <row r="1797" spans="2:3" x14ac:dyDescent="0.25">
      <c r="B1797" s="141">
        <v>44824</v>
      </c>
      <c r="C1797" s="128">
        <v>59719.74</v>
      </c>
    </row>
    <row r="1798" spans="2:3" x14ac:dyDescent="0.25">
      <c r="B1798" s="141">
        <v>44825</v>
      </c>
      <c r="C1798" s="128">
        <v>59456.78</v>
      </c>
    </row>
    <row r="1799" spans="2:3" x14ac:dyDescent="0.25">
      <c r="B1799" s="141">
        <v>44826</v>
      </c>
      <c r="C1799" s="128">
        <v>59119.72</v>
      </c>
    </row>
    <row r="1800" spans="2:3" x14ac:dyDescent="0.25">
      <c r="B1800" s="141">
        <v>44827</v>
      </c>
      <c r="C1800" s="128">
        <v>58098.92</v>
      </c>
    </row>
    <row r="1801" spans="2:3" x14ac:dyDescent="0.25">
      <c r="B1801" s="141">
        <v>44830</v>
      </c>
      <c r="C1801" s="128">
        <v>57145.22</v>
      </c>
    </row>
    <row r="1802" spans="2:3" x14ac:dyDescent="0.25">
      <c r="B1802" s="141">
        <v>44831</v>
      </c>
      <c r="C1802" s="128">
        <v>57107.519999999997</v>
      </c>
    </row>
    <row r="1803" spans="2:3" x14ac:dyDescent="0.25">
      <c r="B1803" s="141">
        <v>44832</v>
      </c>
      <c r="C1803" s="128">
        <v>56598.28</v>
      </c>
    </row>
    <row r="1804" spans="2:3" x14ac:dyDescent="0.25">
      <c r="B1804" s="141">
        <v>44833</v>
      </c>
      <c r="C1804" s="128">
        <v>56409.96</v>
      </c>
    </row>
    <row r="1805" spans="2:3" x14ac:dyDescent="0.25">
      <c r="B1805" s="141">
        <v>44834</v>
      </c>
      <c r="C1805" s="128">
        <v>57426.92</v>
      </c>
    </row>
    <row r="1806" spans="2:3" x14ac:dyDescent="0.25">
      <c r="B1806" s="141">
        <v>44837</v>
      </c>
      <c r="C1806" s="128">
        <v>56788.81</v>
      </c>
    </row>
    <row r="1807" spans="2:3" x14ac:dyDescent="0.25">
      <c r="B1807" s="141">
        <v>44838</v>
      </c>
      <c r="C1807" s="128">
        <v>58065.47</v>
      </c>
    </row>
    <row r="1808" spans="2:3" x14ac:dyDescent="0.25">
      <c r="B1808" s="141">
        <v>44840</v>
      </c>
      <c r="C1808" s="128">
        <v>58222.1</v>
      </c>
    </row>
    <row r="1809" spans="2:3" x14ac:dyDescent="0.25">
      <c r="B1809" s="141">
        <v>44841</v>
      </c>
      <c r="C1809" s="128">
        <v>58191.29</v>
      </c>
    </row>
    <row r="1810" spans="2:3" x14ac:dyDescent="0.25">
      <c r="B1810" s="141">
        <v>44844</v>
      </c>
      <c r="C1810" s="128">
        <v>57991.11</v>
      </c>
    </row>
    <row r="1811" spans="2:3" x14ac:dyDescent="0.25">
      <c r="B1811" s="141">
        <v>44845</v>
      </c>
      <c r="C1811" s="128">
        <v>57147.32</v>
      </c>
    </row>
    <row r="1812" spans="2:3" x14ac:dyDescent="0.25">
      <c r="B1812" s="141">
        <v>44846</v>
      </c>
      <c r="C1812" s="128">
        <v>57625.91</v>
      </c>
    </row>
    <row r="1813" spans="2:3" x14ac:dyDescent="0.25">
      <c r="B1813" s="141">
        <v>44847</v>
      </c>
      <c r="C1813" s="128">
        <v>57235.33</v>
      </c>
    </row>
    <row r="1814" spans="2:3" x14ac:dyDescent="0.25">
      <c r="B1814" s="141">
        <v>44848</v>
      </c>
      <c r="C1814" s="128">
        <v>57919.97</v>
      </c>
    </row>
    <row r="1815" spans="2:3" x14ac:dyDescent="0.25">
      <c r="B1815" s="141">
        <v>44851</v>
      </c>
      <c r="C1815" s="128">
        <v>58410.98</v>
      </c>
    </row>
    <row r="1816" spans="2:3" x14ac:dyDescent="0.25">
      <c r="B1816" s="141">
        <v>44852</v>
      </c>
      <c r="C1816" s="128">
        <v>58960.6</v>
      </c>
    </row>
    <row r="1817" spans="2:3" x14ac:dyDescent="0.25">
      <c r="B1817" s="141">
        <v>44853</v>
      </c>
      <c r="C1817" s="128">
        <v>59107.19</v>
      </c>
    </row>
    <row r="1818" spans="2:3" x14ac:dyDescent="0.25">
      <c r="B1818" s="141">
        <v>44854</v>
      </c>
      <c r="C1818" s="128">
        <v>59202.9</v>
      </c>
    </row>
    <row r="1819" spans="2:3" x14ac:dyDescent="0.25">
      <c r="B1819" s="141">
        <v>44855</v>
      </c>
      <c r="C1819" s="128">
        <v>59307.15</v>
      </c>
    </row>
    <row r="1820" spans="2:3" x14ac:dyDescent="0.25">
      <c r="B1820" s="141">
        <v>44858</v>
      </c>
      <c r="C1820" s="128">
        <v>59831.66</v>
      </c>
    </row>
    <row r="1821" spans="2:3" x14ac:dyDescent="0.25">
      <c r="B1821" s="141">
        <v>44859</v>
      </c>
      <c r="C1821" s="128">
        <v>59543.96</v>
      </c>
    </row>
    <row r="1822" spans="2:3" x14ac:dyDescent="0.25">
      <c r="B1822" s="141">
        <v>44861</v>
      </c>
      <c r="C1822" s="128">
        <v>59756.84</v>
      </c>
    </row>
    <row r="1823" spans="2:3" x14ac:dyDescent="0.25">
      <c r="B1823" s="141">
        <v>44862</v>
      </c>
      <c r="C1823" s="128">
        <v>59959.85</v>
      </c>
    </row>
    <row r="1824" spans="2:3" x14ac:dyDescent="0.25">
      <c r="B1824" s="141">
        <v>44865</v>
      </c>
      <c r="C1824" s="128">
        <v>60746.59</v>
      </c>
    </row>
    <row r="1825" spans="2:3" x14ac:dyDescent="0.25">
      <c r="B1825" s="141">
        <v>44866</v>
      </c>
      <c r="C1825" s="128">
        <v>61121.35</v>
      </c>
    </row>
    <row r="1826" spans="2:3" x14ac:dyDescent="0.25">
      <c r="B1826" s="141">
        <v>44867</v>
      </c>
      <c r="C1826" s="128">
        <v>60906.09</v>
      </c>
    </row>
    <row r="1827" spans="2:3" x14ac:dyDescent="0.25">
      <c r="B1827" s="141">
        <v>44868</v>
      </c>
      <c r="C1827" s="128">
        <v>60836.41</v>
      </c>
    </row>
    <row r="1828" spans="2:3" x14ac:dyDescent="0.25">
      <c r="B1828" s="141">
        <v>44869</v>
      </c>
      <c r="C1828" s="128">
        <v>60950.36</v>
      </c>
    </row>
    <row r="1829" spans="2:3" x14ac:dyDescent="0.25">
      <c r="B1829" s="141">
        <v>44872</v>
      </c>
      <c r="C1829" s="128">
        <v>61185.15</v>
      </c>
    </row>
    <row r="1830" spans="2:3" x14ac:dyDescent="0.25">
      <c r="B1830" s="141">
        <v>44874</v>
      </c>
      <c r="C1830" s="128">
        <v>61033.55</v>
      </c>
    </row>
    <row r="1831" spans="2:3" x14ac:dyDescent="0.25">
      <c r="B1831" s="141">
        <v>44875</v>
      </c>
      <c r="C1831" s="128">
        <v>60613.7</v>
      </c>
    </row>
    <row r="1832" spans="2:3" x14ac:dyDescent="0.25">
      <c r="B1832" s="141">
        <v>44876</v>
      </c>
      <c r="C1832" s="128">
        <v>61795.040000000001</v>
      </c>
    </row>
    <row r="1833" spans="2:3" x14ac:dyDescent="0.25">
      <c r="B1833" s="141">
        <v>44879</v>
      </c>
      <c r="C1833" s="128">
        <v>61624.15</v>
      </c>
    </row>
    <row r="1834" spans="2:3" x14ac:dyDescent="0.25">
      <c r="B1834" s="141">
        <v>44880</v>
      </c>
      <c r="C1834" s="128">
        <v>61872.99</v>
      </c>
    </row>
    <row r="1835" spans="2:3" x14ac:dyDescent="0.25">
      <c r="B1835" s="141">
        <v>44881</v>
      </c>
      <c r="C1835" s="128">
        <v>61980.72</v>
      </c>
    </row>
    <row r="1836" spans="2:3" x14ac:dyDescent="0.25">
      <c r="B1836" s="141">
        <v>44882</v>
      </c>
      <c r="C1836" s="128">
        <v>61750.6</v>
      </c>
    </row>
    <row r="1837" spans="2:3" x14ac:dyDescent="0.25">
      <c r="B1837" s="141">
        <v>44883</v>
      </c>
      <c r="C1837" s="128">
        <v>61663.48</v>
      </c>
    </row>
    <row r="1838" spans="2:3" x14ac:dyDescent="0.25">
      <c r="B1838" s="141">
        <v>44886</v>
      </c>
      <c r="C1838" s="128">
        <v>61144.84</v>
      </c>
    </row>
    <row r="1839" spans="2:3" x14ac:dyDescent="0.25">
      <c r="B1839" s="141">
        <v>44887</v>
      </c>
      <c r="C1839" s="128">
        <v>61418.96</v>
      </c>
    </row>
    <row r="1840" spans="2:3" x14ac:dyDescent="0.25">
      <c r="B1840" s="141">
        <v>44888</v>
      </c>
      <c r="C1840" s="128">
        <v>61510.58</v>
      </c>
    </row>
    <row r="1841" spans="2:3" x14ac:dyDescent="0.25">
      <c r="B1841" s="141">
        <v>44889</v>
      </c>
      <c r="C1841" s="128">
        <v>62272.68</v>
      </c>
    </row>
    <row r="1842" spans="2:3" x14ac:dyDescent="0.25">
      <c r="B1842" s="141">
        <v>44890</v>
      </c>
      <c r="C1842" s="128">
        <v>62293.64</v>
      </c>
    </row>
    <row r="1843" spans="2:3" x14ac:dyDescent="0.25">
      <c r="B1843" s="141">
        <v>44893</v>
      </c>
      <c r="C1843" s="128">
        <v>62504.800000000003</v>
      </c>
    </row>
    <row r="1844" spans="2:3" x14ac:dyDescent="0.25">
      <c r="B1844" s="141">
        <v>44894</v>
      </c>
      <c r="C1844" s="128">
        <v>62681.84</v>
      </c>
    </row>
    <row r="1845" spans="2:3" x14ac:dyDescent="0.25">
      <c r="B1845" s="141">
        <v>44895</v>
      </c>
      <c r="C1845" s="128">
        <v>63099.65</v>
      </c>
    </row>
    <row r="1846" spans="2:3" x14ac:dyDescent="0.25">
      <c r="B1846" s="141">
        <v>44896</v>
      </c>
      <c r="C1846" s="128">
        <v>63284.19</v>
      </c>
    </row>
    <row r="1847" spans="2:3" x14ac:dyDescent="0.25">
      <c r="B1847" s="141">
        <v>44897</v>
      </c>
      <c r="C1847" s="128">
        <v>62868.5</v>
      </c>
    </row>
    <row r="1848" spans="2:3" x14ac:dyDescent="0.25">
      <c r="B1848" s="141">
        <v>44900</v>
      </c>
      <c r="C1848" s="128">
        <v>62834.6</v>
      </c>
    </row>
    <row r="1849" spans="2:3" x14ac:dyDescent="0.25">
      <c r="B1849" s="141">
        <v>44901</v>
      </c>
      <c r="C1849" s="128">
        <v>62626.36</v>
      </c>
    </row>
    <row r="1850" spans="2:3" x14ac:dyDescent="0.25">
      <c r="B1850" s="141">
        <v>44902</v>
      </c>
      <c r="C1850" s="128">
        <v>62410.68</v>
      </c>
    </row>
    <row r="1851" spans="2:3" x14ac:dyDescent="0.25">
      <c r="B1851" s="141">
        <v>44903</v>
      </c>
      <c r="C1851" s="128">
        <v>62570.68</v>
      </c>
    </row>
    <row r="1852" spans="2:3" x14ac:dyDescent="0.25">
      <c r="B1852" s="141">
        <v>44904</v>
      </c>
      <c r="C1852" s="128">
        <v>62181.67</v>
      </c>
    </row>
    <row r="1853" spans="2:3" x14ac:dyDescent="0.25">
      <c r="B1853" s="141">
        <v>44907</v>
      </c>
      <c r="C1853" s="128">
        <v>62130.57</v>
      </c>
    </row>
    <row r="1854" spans="2:3" x14ac:dyDescent="0.25">
      <c r="B1854" s="141">
        <v>44908</v>
      </c>
      <c r="C1854" s="128">
        <v>62533.3</v>
      </c>
    </row>
    <row r="1855" spans="2:3" x14ac:dyDescent="0.25">
      <c r="B1855" s="141">
        <v>44909</v>
      </c>
      <c r="C1855" s="128">
        <v>62677.91</v>
      </c>
    </row>
    <row r="1856" spans="2:3" x14ac:dyDescent="0.25">
      <c r="B1856" s="141">
        <v>44910</v>
      </c>
      <c r="C1856" s="128">
        <v>61799.03</v>
      </c>
    </row>
    <row r="1857" spans="2:3" x14ac:dyDescent="0.25">
      <c r="B1857" s="141">
        <v>44911</v>
      </c>
      <c r="C1857" s="128">
        <v>61337.81</v>
      </c>
    </row>
    <row r="1858" spans="2:3" x14ac:dyDescent="0.25">
      <c r="B1858" s="141">
        <v>44914</v>
      </c>
      <c r="C1858" s="128">
        <v>61806.19</v>
      </c>
    </row>
    <row r="1859" spans="2:3" x14ac:dyDescent="0.25">
      <c r="B1859" s="141">
        <v>44915</v>
      </c>
      <c r="C1859" s="128">
        <v>61702.29</v>
      </c>
    </row>
    <row r="1860" spans="2:3" x14ac:dyDescent="0.25">
      <c r="B1860" s="141">
        <v>44916</v>
      </c>
      <c r="C1860" s="128">
        <v>61067.24</v>
      </c>
    </row>
    <row r="1861" spans="2:3" x14ac:dyDescent="0.25">
      <c r="B1861" s="141">
        <v>44917</v>
      </c>
      <c r="C1861" s="128">
        <v>60826.22</v>
      </c>
    </row>
    <row r="1862" spans="2:3" x14ac:dyDescent="0.25">
      <c r="B1862" s="141">
        <v>44918</v>
      </c>
      <c r="C1862" s="128">
        <v>59845.29</v>
      </c>
    </row>
    <row r="1863" spans="2:3" x14ac:dyDescent="0.25">
      <c r="B1863" s="141">
        <v>44921</v>
      </c>
      <c r="C1863" s="128">
        <v>60566.42</v>
      </c>
    </row>
    <row r="1864" spans="2:3" x14ac:dyDescent="0.25">
      <c r="B1864" s="141">
        <v>44922</v>
      </c>
      <c r="C1864" s="128">
        <v>60927.43</v>
      </c>
    </row>
    <row r="1865" spans="2:3" x14ac:dyDescent="0.25">
      <c r="B1865" s="141">
        <v>44923</v>
      </c>
      <c r="C1865" s="128">
        <v>60910.28</v>
      </c>
    </row>
    <row r="1866" spans="2:3" x14ac:dyDescent="0.25">
      <c r="B1866" s="141">
        <v>44924</v>
      </c>
      <c r="C1866" s="128">
        <v>61133.88</v>
      </c>
    </row>
    <row r="1867" spans="2:3" x14ac:dyDescent="0.25">
      <c r="B1867" s="141">
        <v>44925</v>
      </c>
      <c r="C1867" s="128">
        <v>60840.74</v>
      </c>
    </row>
    <row r="1868" spans="2:3" x14ac:dyDescent="0.25">
      <c r="B1868" s="141">
        <v>44928</v>
      </c>
      <c r="C1868" s="128">
        <v>61167.79</v>
      </c>
    </row>
    <row r="1869" spans="2:3" x14ac:dyDescent="0.25">
      <c r="B1869" s="141">
        <v>44929</v>
      </c>
      <c r="C1869" s="128">
        <v>61294.2</v>
      </c>
    </row>
    <row r="1870" spans="2:3" x14ac:dyDescent="0.25">
      <c r="B1870" s="141">
        <v>44930</v>
      </c>
      <c r="C1870" s="128">
        <v>60657.45</v>
      </c>
    </row>
    <row r="1871" spans="2:3" x14ac:dyDescent="0.25">
      <c r="B1871" s="141">
        <v>44931</v>
      </c>
      <c r="C1871" s="128">
        <v>60353.27</v>
      </c>
    </row>
    <row r="1872" spans="2:3" x14ac:dyDescent="0.25">
      <c r="B1872" s="141">
        <v>44932</v>
      </c>
      <c r="C1872" s="128">
        <v>59900.37</v>
      </c>
    </row>
    <row r="1873" spans="2:3" x14ac:dyDescent="0.25">
      <c r="B1873" s="141">
        <v>44935</v>
      </c>
      <c r="C1873" s="128">
        <v>60747.31</v>
      </c>
    </row>
    <row r="1874" spans="2:3" x14ac:dyDescent="0.25">
      <c r="B1874" s="141">
        <v>44936</v>
      </c>
      <c r="C1874" s="128">
        <v>60115.48</v>
      </c>
    </row>
    <row r="1875" spans="2:3" x14ac:dyDescent="0.25">
      <c r="B1875" s="141">
        <v>44937</v>
      </c>
      <c r="C1875" s="128">
        <v>60105.5</v>
      </c>
    </row>
    <row r="1876" spans="2:3" x14ac:dyDescent="0.25">
      <c r="B1876" s="141">
        <v>44938</v>
      </c>
      <c r="C1876" s="128">
        <v>59958.03</v>
      </c>
    </row>
    <row r="1877" spans="2:3" x14ac:dyDescent="0.25">
      <c r="B1877" s="141">
        <v>44939</v>
      </c>
      <c r="C1877" s="128">
        <v>60261.18</v>
      </c>
    </row>
    <row r="1878" spans="2:3" x14ac:dyDescent="0.25">
      <c r="B1878" s="141">
        <v>44942</v>
      </c>
      <c r="C1878" s="128">
        <v>60092.97</v>
      </c>
    </row>
    <row r="1879" spans="2:3" x14ac:dyDescent="0.25">
      <c r="B1879" s="141">
        <v>44943</v>
      </c>
      <c r="C1879" s="128">
        <v>60655.72</v>
      </c>
    </row>
    <row r="1880" spans="2:3" x14ac:dyDescent="0.25">
      <c r="B1880" s="141">
        <v>44944</v>
      </c>
      <c r="C1880" s="128">
        <v>61045.74</v>
      </c>
    </row>
    <row r="1881" spans="2:3" x14ac:dyDescent="0.25">
      <c r="B1881" s="141">
        <v>44945</v>
      </c>
      <c r="C1881" s="128">
        <v>60858.43</v>
      </c>
    </row>
    <row r="1882" spans="2:3" x14ac:dyDescent="0.25">
      <c r="B1882" s="141">
        <v>44946</v>
      </c>
      <c r="C1882" s="128">
        <v>60621.77</v>
      </c>
    </row>
    <row r="1883" spans="2:3" x14ac:dyDescent="0.25">
      <c r="B1883" s="141">
        <v>44949</v>
      </c>
      <c r="C1883" s="128">
        <v>60941.67</v>
      </c>
    </row>
    <row r="1884" spans="2:3" x14ac:dyDescent="0.25">
      <c r="B1884" s="141">
        <v>44950</v>
      </c>
      <c r="C1884" s="128">
        <v>60978.75</v>
      </c>
    </row>
    <row r="1885" spans="2:3" x14ac:dyDescent="0.25">
      <c r="B1885" s="141">
        <v>44951</v>
      </c>
      <c r="C1885" s="128">
        <v>60205.06</v>
      </c>
    </row>
    <row r="1886" spans="2:3" x14ac:dyDescent="0.25">
      <c r="B1886" s="141">
        <v>44953</v>
      </c>
      <c r="C1886" s="128">
        <v>59330.9</v>
      </c>
    </row>
    <row r="1887" spans="2:3" x14ac:dyDescent="0.25">
      <c r="B1887" s="141">
        <v>44956</v>
      </c>
      <c r="C1887" s="128">
        <v>59500.41</v>
      </c>
    </row>
    <row r="1888" spans="2:3" x14ac:dyDescent="0.25">
      <c r="B1888" s="141">
        <v>44957</v>
      </c>
      <c r="C1888" s="128">
        <v>59549.9</v>
      </c>
    </row>
    <row r="1889" spans="2:3" x14ac:dyDescent="0.25">
      <c r="B1889" s="141">
        <v>44958</v>
      </c>
      <c r="C1889" s="128">
        <v>59708.08</v>
      </c>
    </row>
    <row r="1890" spans="2:3" x14ac:dyDescent="0.25">
      <c r="B1890" s="141">
        <v>44959</v>
      </c>
      <c r="C1890" s="128">
        <v>59932.24</v>
      </c>
    </row>
    <row r="1891" spans="2:3" x14ac:dyDescent="0.25">
      <c r="B1891" s="141">
        <v>44960</v>
      </c>
      <c r="C1891" s="128">
        <v>60841.88</v>
      </c>
    </row>
    <row r="1892" spans="2:3" x14ac:dyDescent="0.25">
      <c r="B1892" s="141">
        <v>44963</v>
      </c>
      <c r="C1892" s="128">
        <v>60506.9</v>
      </c>
    </row>
    <row r="1893" spans="2:3" x14ac:dyDescent="0.25">
      <c r="B1893" s="141">
        <v>44964</v>
      </c>
      <c r="C1893" s="128">
        <v>60286.04</v>
      </c>
    </row>
    <row r="1894" spans="2:3" x14ac:dyDescent="0.25">
      <c r="B1894" s="141">
        <v>44965</v>
      </c>
      <c r="C1894" s="128">
        <v>60663.79</v>
      </c>
    </row>
    <row r="1895" spans="2:3" x14ac:dyDescent="0.25">
      <c r="B1895" s="141">
        <v>44966</v>
      </c>
      <c r="C1895" s="128">
        <v>60806.22</v>
      </c>
    </row>
    <row r="1896" spans="2:3" x14ac:dyDescent="0.25">
      <c r="B1896" s="141">
        <v>44967</v>
      </c>
      <c r="C1896" s="128">
        <v>60682.7</v>
      </c>
    </row>
    <row r="1897" spans="2:3" x14ac:dyDescent="0.25">
      <c r="B1897" s="141">
        <v>44970</v>
      </c>
      <c r="C1897" s="128">
        <v>60431.839999999997</v>
      </c>
    </row>
    <row r="1898" spans="2:3" x14ac:dyDescent="0.25">
      <c r="B1898" s="141">
        <v>44971</v>
      </c>
      <c r="C1898" s="128">
        <v>61032.26</v>
      </c>
    </row>
    <row r="1899" spans="2:3" x14ac:dyDescent="0.25">
      <c r="B1899" s="141">
        <v>44972</v>
      </c>
      <c r="C1899" s="128">
        <v>61275.09</v>
      </c>
    </row>
    <row r="1900" spans="2:3" x14ac:dyDescent="0.25">
      <c r="B1900" s="141">
        <v>44973</v>
      </c>
      <c r="C1900" s="128">
        <v>61319.51</v>
      </c>
    </row>
    <row r="1901" spans="2:3" x14ac:dyDescent="0.25">
      <c r="B1901" s="141">
        <v>44974</v>
      </c>
      <c r="C1901" s="128">
        <v>61002.57</v>
      </c>
    </row>
    <row r="1902" spans="2:3" x14ac:dyDescent="0.25">
      <c r="B1902" s="141">
        <v>44977</v>
      </c>
      <c r="C1902" s="128">
        <v>60691.54</v>
      </c>
    </row>
    <row r="1903" spans="2:3" x14ac:dyDescent="0.25">
      <c r="B1903" s="141">
        <v>44978</v>
      </c>
      <c r="C1903" s="128">
        <v>60672.72</v>
      </c>
    </row>
    <row r="1904" spans="2:3" x14ac:dyDescent="0.25">
      <c r="B1904" s="141">
        <v>44979</v>
      </c>
      <c r="C1904" s="128">
        <v>59744.98</v>
      </c>
    </row>
    <row r="1905" spans="2:3" x14ac:dyDescent="0.25">
      <c r="B1905" s="141">
        <v>44980</v>
      </c>
      <c r="C1905" s="128">
        <v>59605.8</v>
      </c>
    </row>
    <row r="1906" spans="2:3" x14ac:dyDescent="0.25">
      <c r="B1906" s="141">
        <v>44981</v>
      </c>
      <c r="C1906" s="128">
        <v>59463.93</v>
      </c>
    </row>
    <row r="1907" spans="2:3" x14ac:dyDescent="0.25">
      <c r="B1907" s="141">
        <v>44984</v>
      </c>
      <c r="C1907" s="128">
        <v>59288.35</v>
      </c>
    </row>
    <row r="1908" spans="2:3" x14ac:dyDescent="0.25">
      <c r="B1908" s="141">
        <v>44985</v>
      </c>
      <c r="C1908" s="128">
        <v>58962.12</v>
      </c>
    </row>
    <row r="1909" spans="2:3" x14ac:dyDescent="0.25">
      <c r="B1909" s="141">
        <v>44986</v>
      </c>
      <c r="C1909" s="128">
        <v>59411.08</v>
      </c>
    </row>
    <row r="1910" spans="2:3" x14ac:dyDescent="0.25">
      <c r="B1910" s="141">
        <v>44987</v>
      </c>
      <c r="C1910" s="128">
        <v>58909.35</v>
      </c>
    </row>
    <row r="1911" spans="2:3" x14ac:dyDescent="0.25">
      <c r="B1911" s="141">
        <v>44988</v>
      </c>
      <c r="C1911" s="128">
        <v>59808.97</v>
      </c>
    </row>
    <row r="1912" spans="2:3" x14ac:dyDescent="0.25">
      <c r="B1912" s="141">
        <v>44991</v>
      </c>
      <c r="C1912" s="128">
        <v>60224.46</v>
      </c>
    </row>
    <row r="1913" spans="2:3" x14ac:dyDescent="0.25">
      <c r="B1913" s="141">
        <v>44993</v>
      </c>
      <c r="C1913" s="128">
        <v>60348.09</v>
      </c>
    </row>
    <row r="1914" spans="2:3" x14ac:dyDescent="0.25">
      <c r="B1914" s="141">
        <v>44994</v>
      </c>
      <c r="C1914" s="128">
        <v>59806.28</v>
      </c>
    </row>
    <row r="1915" spans="2:3" x14ac:dyDescent="0.25">
      <c r="B1915" s="141">
        <v>44995</v>
      </c>
      <c r="C1915" s="128">
        <v>59135.13</v>
      </c>
    </row>
    <row r="1916" spans="2:3" x14ac:dyDescent="0.25">
      <c r="B1916" s="141">
        <v>44998</v>
      </c>
      <c r="C1916" s="128">
        <v>58237.85</v>
      </c>
    </row>
    <row r="1917" spans="2:3" x14ac:dyDescent="0.25">
      <c r="B1917" s="141">
        <v>44999</v>
      </c>
      <c r="C1917" s="128">
        <v>57900.19</v>
      </c>
    </row>
    <row r="1918" spans="2:3" x14ac:dyDescent="0.25">
      <c r="B1918" s="141">
        <v>45000</v>
      </c>
      <c r="C1918" s="128">
        <v>57555.9</v>
      </c>
    </row>
    <row r="1919" spans="2:3" x14ac:dyDescent="0.25">
      <c r="B1919" s="141">
        <v>45001</v>
      </c>
      <c r="C1919" s="128">
        <v>57634.84</v>
      </c>
    </row>
    <row r="1920" spans="2:3" x14ac:dyDescent="0.25">
      <c r="B1920" s="141">
        <v>45002</v>
      </c>
      <c r="C1920" s="128">
        <v>57989.9</v>
      </c>
    </row>
    <row r="1921" spans="2:3" x14ac:dyDescent="0.25">
      <c r="B1921" s="141">
        <v>45005</v>
      </c>
      <c r="C1921" s="128">
        <v>57628.95</v>
      </c>
    </row>
    <row r="1922" spans="2:3" x14ac:dyDescent="0.25">
      <c r="B1922" s="141">
        <v>45006</v>
      </c>
      <c r="C1922" s="128">
        <v>58074.68</v>
      </c>
    </row>
    <row r="1923" spans="2:3" x14ac:dyDescent="0.25">
      <c r="B1923" s="141">
        <v>45007</v>
      </c>
      <c r="C1923" s="128">
        <v>58214.59</v>
      </c>
    </row>
    <row r="1924" spans="2:3" x14ac:dyDescent="0.25">
      <c r="B1924" s="141">
        <v>45008</v>
      </c>
      <c r="C1924" s="128">
        <v>57925.279999999999</v>
      </c>
    </row>
    <row r="1925" spans="2:3" x14ac:dyDescent="0.25">
      <c r="B1925" s="141">
        <v>45009</v>
      </c>
      <c r="C1925" s="128">
        <v>57527.1</v>
      </c>
    </row>
    <row r="1926" spans="2:3" x14ac:dyDescent="0.25">
      <c r="B1926" s="141">
        <v>45012</v>
      </c>
      <c r="C1926" s="128">
        <v>57653.86</v>
      </c>
    </row>
    <row r="1927" spans="2:3" x14ac:dyDescent="0.25">
      <c r="B1927" s="141">
        <v>45013</v>
      </c>
      <c r="C1927" s="128">
        <v>57613.72</v>
      </c>
    </row>
    <row r="1928" spans="2:3" x14ac:dyDescent="0.25">
      <c r="B1928" s="141">
        <v>45014</v>
      </c>
      <c r="C1928" s="128">
        <v>57960.09</v>
      </c>
    </row>
    <row r="1929" spans="2:3" x14ac:dyDescent="0.25">
      <c r="B1929" s="141">
        <v>45016</v>
      </c>
      <c r="C1929" s="128">
        <v>58991.519999999997</v>
      </c>
    </row>
    <row r="1930" spans="2:3" x14ac:dyDescent="0.25">
      <c r="B1930" s="141">
        <v>45019</v>
      </c>
      <c r="C1930" s="128">
        <v>59106.44</v>
      </c>
    </row>
    <row r="1931" spans="2:3" x14ac:dyDescent="0.25">
      <c r="B1931" s="141">
        <v>45021</v>
      </c>
      <c r="C1931" s="128">
        <v>59689.31</v>
      </c>
    </row>
    <row r="1932" spans="2:3" x14ac:dyDescent="0.25">
      <c r="B1932" s="141">
        <v>45022</v>
      </c>
      <c r="C1932" s="128">
        <v>59832.97</v>
      </c>
    </row>
    <row r="1933" spans="2:3" x14ac:dyDescent="0.25">
      <c r="B1933" s="141">
        <v>45026</v>
      </c>
      <c r="C1933" s="128">
        <v>59846.51</v>
      </c>
    </row>
    <row r="1934" spans="2:3" x14ac:dyDescent="0.25">
      <c r="B1934" s="141">
        <v>45027</v>
      </c>
      <c r="C1934" s="128">
        <v>60157.72</v>
      </c>
    </row>
    <row r="1935" spans="2:3" x14ac:dyDescent="0.25">
      <c r="B1935" s="141">
        <v>45028</v>
      </c>
      <c r="C1935" s="128">
        <v>60392.77</v>
      </c>
    </row>
    <row r="1936" spans="2:3" x14ac:dyDescent="0.25">
      <c r="B1936" s="141">
        <v>45029</v>
      </c>
      <c r="C1936" s="128">
        <v>60431</v>
      </c>
    </row>
    <row r="1937" spans="2:3" x14ac:dyDescent="0.25">
      <c r="B1937" s="141">
        <v>45033</v>
      </c>
      <c r="C1937" s="128">
        <v>59910.75</v>
      </c>
    </row>
    <row r="1938" spans="2:3" x14ac:dyDescent="0.25">
      <c r="B1938" s="141">
        <v>45034</v>
      </c>
      <c r="C1938" s="128">
        <v>59727.01</v>
      </c>
    </row>
    <row r="1939" spans="2:3" x14ac:dyDescent="0.25">
      <c r="B1939" s="141">
        <v>45035</v>
      </c>
      <c r="C1939" s="128">
        <v>59567.8</v>
      </c>
    </row>
    <row r="1940" spans="2:3" x14ac:dyDescent="0.25">
      <c r="B1940" s="141">
        <v>45036</v>
      </c>
      <c r="C1940" s="128">
        <v>59632.35</v>
      </c>
    </row>
    <row r="1941" spans="2:3" x14ac:dyDescent="0.25">
      <c r="B1941" s="141">
        <v>45037</v>
      </c>
      <c r="C1941" s="128">
        <v>59655.06</v>
      </c>
    </row>
    <row r="1942" spans="2:3" x14ac:dyDescent="0.25">
      <c r="B1942" s="141">
        <v>45040</v>
      </c>
      <c r="C1942" s="128">
        <v>60056.1</v>
      </c>
    </row>
    <row r="1943" spans="2:3" x14ac:dyDescent="0.25">
      <c r="B1943" s="141">
        <v>45041</v>
      </c>
      <c r="C1943" s="128">
        <v>60130.71</v>
      </c>
    </row>
    <row r="1944" spans="2:3" x14ac:dyDescent="0.25">
      <c r="B1944" s="141">
        <v>45042</v>
      </c>
      <c r="C1944" s="128">
        <v>60300.58</v>
      </c>
    </row>
    <row r="1945" spans="2:3" x14ac:dyDescent="0.25">
      <c r="B1945" s="141">
        <v>45043</v>
      </c>
      <c r="C1945" s="128">
        <v>60649.38</v>
      </c>
    </row>
    <row r="1946" spans="2:3" x14ac:dyDescent="0.25">
      <c r="B1946" s="141">
        <v>45044</v>
      </c>
      <c r="C1946" s="128">
        <v>61112.44</v>
      </c>
    </row>
    <row r="1947" spans="2:3" x14ac:dyDescent="0.25">
      <c r="B1947" s="141">
        <v>45048</v>
      </c>
      <c r="C1947" s="128">
        <v>61354.71</v>
      </c>
    </row>
    <row r="1948" spans="2:3" x14ac:dyDescent="0.25">
      <c r="B1948" s="141">
        <v>45049</v>
      </c>
      <c r="C1948" s="128">
        <v>61193.3</v>
      </c>
    </row>
    <row r="1949" spans="2:3" x14ac:dyDescent="0.25">
      <c r="B1949" s="141">
        <v>45050</v>
      </c>
      <c r="C1949" s="128">
        <v>61749.25</v>
      </c>
    </row>
    <row r="1950" spans="2:3" x14ac:dyDescent="0.25">
      <c r="B1950" s="141">
        <v>45051</v>
      </c>
      <c r="C1950" s="128">
        <v>61054.29</v>
      </c>
    </row>
    <row r="1951" spans="2:3" x14ac:dyDescent="0.25">
      <c r="B1951" s="141">
        <v>45054</v>
      </c>
      <c r="C1951" s="128">
        <v>61764.25</v>
      </c>
    </row>
    <row r="1952" spans="2:3" x14ac:dyDescent="0.25">
      <c r="B1952" s="141">
        <v>45055</v>
      </c>
      <c r="C1952" s="128">
        <v>61761.33</v>
      </c>
    </row>
    <row r="1953" spans="2:3" x14ac:dyDescent="0.25">
      <c r="B1953" s="141">
        <v>45056</v>
      </c>
      <c r="C1953" s="128">
        <v>61940.2</v>
      </c>
    </row>
    <row r="1954" spans="2:3" x14ac:dyDescent="0.25">
      <c r="B1954" s="141">
        <v>45057</v>
      </c>
      <c r="C1954" s="128">
        <v>61904.52</v>
      </c>
    </row>
    <row r="1955" spans="2:3" x14ac:dyDescent="0.25">
      <c r="B1955" s="141">
        <v>45058</v>
      </c>
      <c r="C1955" s="128">
        <v>62027.9</v>
      </c>
    </row>
    <row r="1956" spans="2:3" x14ac:dyDescent="0.25">
      <c r="B1956" s="141">
        <v>45061</v>
      </c>
      <c r="C1956" s="128">
        <v>62345.71</v>
      </c>
    </row>
    <row r="1957" spans="2:3" x14ac:dyDescent="0.25">
      <c r="B1957" s="141">
        <v>45062</v>
      </c>
      <c r="C1957" s="128">
        <v>61932.47</v>
      </c>
    </row>
    <row r="1958" spans="2:3" x14ac:dyDescent="0.25">
      <c r="B1958" s="141">
        <v>45063</v>
      </c>
      <c r="C1958" s="128">
        <v>61560.639999999999</v>
      </c>
    </row>
    <row r="1959" spans="2:3" x14ac:dyDescent="0.25">
      <c r="B1959" s="141">
        <v>45064</v>
      </c>
      <c r="C1959" s="128">
        <v>61431.74</v>
      </c>
    </row>
    <row r="1960" spans="2:3" x14ac:dyDescent="0.25">
      <c r="B1960" s="141">
        <v>45065</v>
      </c>
      <c r="C1960" s="128">
        <v>61729.68</v>
      </c>
    </row>
    <row r="1961" spans="2:3" x14ac:dyDescent="0.25">
      <c r="B1961" s="141">
        <v>45068</v>
      </c>
      <c r="C1961" s="128">
        <v>61963.68</v>
      </c>
    </row>
    <row r="1962" spans="2:3" x14ac:dyDescent="0.25">
      <c r="B1962" s="141">
        <v>45069</v>
      </c>
      <c r="C1962" s="128">
        <v>61981.79</v>
      </c>
    </row>
    <row r="1963" spans="2:3" x14ac:dyDescent="0.25">
      <c r="B1963" s="141">
        <v>45070</v>
      </c>
      <c r="C1963" s="128">
        <v>61773.78</v>
      </c>
    </row>
    <row r="1964" spans="2:3" x14ac:dyDescent="0.25">
      <c r="B1964" s="141">
        <v>45071</v>
      </c>
      <c r="C1964" s="128">
        <v>61872.62</v>
      </c>
    </row>
    <row r="1965" spans="2:3" x14ac:dyDescent="0.25">
      <c r="B1965" s="141">
        <v>45072</v>
      </c>
      <c r="C1965" s="128">
        <v>62501.69</v>
      </c>
    </row>
    <row r="1966" spans="2:3" x14ac:dyDescent="0.25">
      <c r="B1966" s="141">
        <v>45075</v>
      </c>
      <c r="C1966" s="128">
        <v>62846.38</v>
      </c>
    </row>
    <row r="1967" spans="2:3" x14ac:dyDescent="0.25">
      <c r="B1967" s="141">
        <v>45076</v>
      </c>
      <c r="C1967" s="128">
        <v>62969.13</v>
      </c>
    </row>
    <row r="1968" spans="2:3" x14ac:dyDescent="0.25">
      <c r="B1968" s="141">
        <v>45077</v>
      </c>
      <c r="C1968" s="128">
        <v>62622.239999999998</v>
      </c>
    </row>
    <row r="1969" spans="2:3" x14ac:dyDescent="0.25">
      <c r="B1969" s="141">
        <v>45078</v>
      </c>
      <c r="C1969" s="128">
        <v>62428.54</v>
      </c>
    </row>
    <row r="1970" spans="2:3" x14ac:dyDescent="0.25">
      <c r="B1970" s="141">
        <v>45079</v>
      </c>
      <c r="C1970" s="128">
        <v>62547.11</v>
      </c>
    </row>
    <row r="1971" spans="2:3" x14ac:dyDescent="0.25">
      <c r="B1971" s="141">
        <v>45082</v>
      </c>
      <c r="C1971" s="128">
        <v>62787.47</v>
      </c>
    </row>
    <row r="1972" spans="2:3" x14ac:dyDescent="0.25">
      <c r="B1972" s="141">
        <v>45083</v>
      </c>
      <c r="C1972" s="128">
        <v>62792.88</v>
      </c>
    </row>
    <row r="1973" spans="2:3" x14ac:dyDescent="0.25">
      <c r="B1973" s="141">
        <v>45084</v>
      </c>
      <c r="C1973" s="128">
        <v>63142.96</v>
      </c>
    </row>
    <row r="1974" spans="2:3" x14ac:dyDescent="0.25">
      <c r="B1974" s="141">
        <v>45085</v>
      </c>
      <c r="C1974" s="128">
        <v>62848.639999999999</v>
      </c>
    </row>
    <row r="1975" spans="2:3" x14ac:dyDescent="0.25">
      <c r="B1975" s="141">
        <v>45086</v>
      </c>
      <c r="C1975" s="128">
        <v>62625.63</v>
      </c>
    </row>
    <row r="1976" spans="2:3" x14ac:dyDescent="0.25">
      <c r="B1976" s="141">
        <v>45089</v>
      </c>
      <c r="C1976" s="128">
        <v>62724.71</v>
      </c>
    </row>
    <row r="1977" spans="2:3" x14ac:dyDescent="0.25">
      <c r="B1977" s="141">
        <v>45090</v>
      </c>
      <c r="C1977" s="128">
        <v>63143.16</v>
      </c>
    </row>
    <row r="1978" spans="2:3" x14ac:dyDescent="0.25">
      <c r="B1978" s="141">
        <v>45091</v>
      </c>
      <c r="C1978" s="128">
        <v>63228.51</v>
      </c>
    </row>
    <row r="1979" spans="2:3" x14ac:dyDescent="0.25">
      <c r="B1979" s="141">
        <v>45092</v>
      </c>
      <c r="C1979" s="128">
        <v>62917.63</v>
      </c>
    </row>
    <row r="1980" spans="2:3" x14ac:dyDescent="0.25">
      <c r="B1980" s="141">
        <v>45093</v>
      </c>
      <c r="C1980" s="128">
        <v>63384.58</v>
      </c>
    </row>
    <row r="1981" spans="2:3" x14ac:dyDescent="0.25">
      <c r="B1981" s="141">
        <v>45096</v>
      </c>
      <c r="C1981" s="128">
        <v>63168.3</v>
      </c>
    </row>
    <row r="1982" spans="2:3" x14ac:dyDescent="0.25">
      <c r="B1982" s="141">
        <v>45097</v>
      </c>
      <c r="C1982" s="128">
        <v>63327.7</v>
      </c>
    </row>
    <row r="1983" spans="2:3" x14ac:dyDescent="0.25">
      <c r="B1983" s="141">
        <v>45098</v>
      </c>
      <c r="C1983" s="128">
        <v>63523.15</v>
      </c>
    </row>
    <row r="1984" spans="2:3" x14ac:dyDescent="0.25">
      <c r="B1984" s="141">
        <v>45099</v>
      </c>
      <c r="C1984" s="128">
        <v>63238.89</v>
      </c>
    </row>
    <row r="1985" spans="2:3" x14ac:dyDescent="0.25">
      <c r="B1985" s="141">
        <v>45100</v>
      </c>
      <c r="C1985" s="128">
        <v>62979.37</v>
      </c>
    </row>
    <row r="1986" spans="2:3" x14ac:dyDescent="0.25">
      <c r="B1986" s="141">
        <v>45103</v>
      </c>
      <c r="C1986" s="128">
        <v>62970</v>
      </c>
    </row>
    <row r="1987" spans="2:3" x14ac:dyDescent="0.25">
      <c r="B1987" s="141">
        <v>45104</v>
      </c>
      <c r="C1987" s="128">
        <v>63416.03</v>
      </c>
    </row>
    <row r="1988" spans="2:3" x14ac:dyDescent="0.25">
      <c r="B1988" s="141">
        <v>45105</v>
      </c>
      <c r="C1988" s="128">
        <v>63915.42</v>
      </c>
    </row>
    <row r="1989" spans="2:3" x14ac:dyDescent="0.25">
      <c r="B1989" s="141">
        <v>45107</v>
      </c>
      <c r="C1989" s="128">
        <v>64718.559999999998</v>
      </c>
    </row>
    <row r="1990" spans="2:3" x14ac:dyDescent="0.25">
      <c r="B1990" s="141">
        <v>45110</v>
      </c>
      <c r="C1990" s="128">
        <v>65205.05</v>
      </c>
    </row>
    <row r="1991" spans="2:3" x14ac:dyDescent="0.25">
      <c r="B1991" s="141">
        <v>45111</v>
      </c>
      <c r="C1991" s="128">
        <v>65479.05</v>
      </c>
    </row>
    <row r="1992" spans="2:3" x14ac:dyDescent="0.25">
      <c r="B1992" s="141">
        <v>45112</v>
      </c>
      <c r="C1992" s="128">
        <v>65446.04</v>
      </c>
    </row>
    <row r="1993" spans="2:3" x14ac:dyDescent="0.25">
      <c r="B1993" s="141">
        <v>45113</v>
      </c>
      <c r="C1993" s="128">
        <v>65785.64</v>
      </c>
    </row>
    <row r="1994" spans="2:3" x14ac:dyDescent="0.25">
      <c r="B1994" s="141">
        <v>45114</v>
      </c>
      <c r="C1994" s="128">
        <v>65280.45</v>
      </c>
    </row>
    <row r="1995" spans="2:3" x14ac:dyDescent="0.25">
      <c r="B1995" s="141">
        <v>45117</v>
      </c>
      <c r="C1995" s="128">
        <v>65344.17</v>
      </c>
    </row>
    <row r="1996" spans="2:3" x14ac:dyDescent="0.25">
      <c r="B1996" s="141">
        <v>45118</v>
      </c>
      <c r="C1996" s="128">
        <v>65617.84</v>
      </c>
    </row>
    <row r="1997" spans="2:3" x14ac:dyDescent="0.25">
      <c r="B1997" s="141">
        <v>45119</v>
      </c>
      <c r="C1997" s="128">
        <v>65393.9</v>
      </c>
    </row>
    <row r="1998" spans="2:3" x14ac:dyDescent="0.25">
      <c r="B1998" s="141">
        <v>45120</v>
      </c>
      <c r="C1998" s="128">
        <v>65558.89</v>
      </c>
    </row>
    <row r="1999" spans="2:3" x14ac:dyDescent="0.25">
      <c r="B1999" s="141">
        <v>45121</v>
      </c>
      <c r="C1999" s="128">
        <v>66060.899999999994</v>
      </c>
    </row>
    <row r="2000" spans="2:3" x14ac:dyDescent="0.25">
      <c r="B2000" s="141">
        <v>45124</v>
      </c>
      <c r="C2000" s="128">
        <v>66589.929999999993</v>
      </c>
    </row>
    <row r="2001" spans="2:3" x14ac:dyDescent="0.25">
      <c r="B2001" s="141">
        <v>45125</v>
      </c>
      <c r="C2001" s="128">
        <v>66795.14</v>
      </c>
    </row>
    <row r="2002" spans="2:3" x14ac:dyDescent="0.25">
      <c r="B2002" s="141">
        <v>45126</v>
      </c>
      <c r="C2002" s="128">
        <v>67097.440000000002</v>
      </c>
    </row>
    <row r="2003" spans="2:3" x14ac:dyDescent="0.25">
      <c r="B2003" s="141">
        <v>45127</v>
      </c>
      <c r="C2003" s="128">
        <v>67571.899999999994</v>
      </c>
    </row>
    <row r="2004" spans="2:3" x14ac:dyDescent="0.25">
      <c r="B2004" s="141">
        <v>45128</v>
      </c>
      <c r="C2004" s="128">
        <v>66684.259999999995</v>
      </c>
    </row>
    <row r="2005" spans="2:3" x14ac:dyDescent="0.25">
      <c r="B2005" s="141">
        <v>45131</v>
      </c>
      <c r="C2005" s="128">
        <v>66384.78</v>
      </c>
    </row>
    <row r="2006" spans="2:3" x14ac:dyDescent="0.25">
      <c r="B2006" s="141">
        <v>45132</v>
      </c>
      <c r="C2006" s="128">
        <v>66355.710000000006</v>
      </c>
    </row>
    <row r="2007" spans="2:3" x14ac:dyDescent="0.25">
      <c r="B2007" s="141">
        <v>45133</v>
      </c>
      <c r="C2007" s="128">
        <v>66707.199999999997</v>
      </c>
    </row>
    <row r="2008" spans="2:3" x14ac:dyDescent="0.25">
      <c r="B2008" s="141">
        <v>45134</v>
      </c>
      <c r="C2008" s="128">
        <v>66266.820000000007</v>
      </c>
    </row>
    <row r="2009" spans="2:3" x14ac:dyDescent="0.25">
      <c r="B2009" s="141">
        <v>45135</v>
      </c>
      <c r="C2009" s="128">
        <v>66160.2</v>
      </c>
    </row>
    <row r="2010" spans="2:3" x14ac:dyDescent="0.25">
      <c r="B2010" s="141">
        <v>45138</v>
      </c>
      <c r="C2010" s="128">
        <v>66527.67</v>
      </c>
    </row>
    <row r="2011" spans="2:3" x14ac:dyDescent="0.25">
      <c r="B2011" s="141">
        <v>45139</v>
      </c>
      <c r="C2011" s="128">
        <v>66459.31</v>
      </c>
    </row>
    <row r="2012" spans="2:3" x14ac:dyDescent="0.25">
      <c r="B2012" s="141">
        <v>45140</v>
      </c>
      <c r="C2012" s="128">
        <v>65782.78</v>
      </c>
    </row>
    <row r="2013" spans="2:3" x14ac:dyDescent="0.25">
      <c r="B2013" s="141">
        <v>45141</v>
      </c>
      <c r="C2013" s="128">
        <v>65240.68</v>
      </c>
    </row>
    <row r="2014" spans="2:3" x14ac:dyDescent="0.25">
      <c r="B2014" s="141">
        <v>45142</v>
      </c>
      <c r="C2014" s="128">
        <v>65721.25</v>
      </c>
    </row>
    <row r="2015" spans="2:3" x14ac:dyDescent="0.25">
      <c r="B2015" s="141">
        <v>45145</v>
      </c>
      <c r="C2015" s="128">
        <v>65953.48</v>
      </c>
    </row>
    <row r="2016" spans="2:3" x14ac:dyDescent="0.25">
      <c r="B2016" s="141">
        <v>45146</v>
      </c>
      <c r="C2016" s="128">
        <v>65846.5</v>
      </c>
    </row>
    <row r="2017" spans="2:3" x14ac:dyDescent="0.25">
      <c r="B2017" s="141">
        <v>45147</v>
      </c>
      <c r="C2017" s="128">
        <v>65995.81</v>
      </c>
    </row>
    <row r="2018" spans="2:3" x14ac:dyDescent="0.25">
      <c r="B2018" s="141">
        <v>45148</v>
      </c>
      <c r="C2018" s="128">
        <v>65688.179999999993</v>
      </c>
    </row>
    <row r="2019" spans="2:3" x14ac:dyDescent="0.25">
      <c r="B2019" s="141">
        <v>45149</v>
      </c>
      <c r="C2019" s="128">
        <v>65322.65</v>
      </c>
    </row>
    <row r="2020" spans="2:3" x14ac:dyDescent="0.25">
      <c r="B2020" s="141">
        <v>45152</v>
      </c>
      <c r="C2020" s="128">
        <v>65401.919999999998</v>
      </c>
    </row>
    <row r="2021" spans="2:3" x14ac:dyDescent="0.25">
      <c r="B2021" s="141">
        <v>45154</v>
      </c>
      <c r="C2021" s="128">
        <v>65539.42</v>
      </c>
    </row>
    <row r="2022" spans="2:3" x14ac:dyDescent="0.25">
      <c r="B2022" s="141">
        <v>45155</v>
      </c>
      <c r="C2022" s="128">
        <v>65151.02</v>
      </c>
    </row>
    <row r="2023" spans="2:3" x14ac:dyDescent="0.25">
      <c r="B2023" s="141">
        <v>45156</v>
      </c>
      <c r="C2023" s="128">
        <v>64948.66</v>
      </c>
    </row>
    <row r="2024" spans="2:3" x14ac:dyDescent="0.25">
      <c r="B2024" s="141">
        <v>45159</v>
      </c>
      <c r="C2024" s="128">
        <v>65216.09</v>
      </c>
    </row>
    <row r="2025" spans="2:3" x14ac:dyDescent="0.25">
      <c r="B2025" s="141">
        <v>45160</v>
      </c>
      <c r="C2025" s="128">
        <v>65220.03</v>
      </c>
    </row>
    <row r="2026" spans="2:3" x14ac:dyDescent="0.25">
      <c r="B2026" s="141">
        <v>45161</v>
      </c>
      <c r="C2026" s="128">
        <v>65433.3</v>
      </c>
    </row>
    <row r="2027" spans="2:3" x14ac:dyDescent="0.25">
      <c r="B2027" s="141">
        <v>45162</v>
      </c>
      <c r="C2027" s="128">
        <v>65252.34</v>
      </c>
    </row>
    <row r="2028" spans="2:3" x14ac:dyDescent="0.25">
      <c r="B2028" s="141">
        <v>45163</v>
      </c>
      <c r="C2028" s="128">
        <v>64886.51</v>
      </c>
    </row>
    <row r="2029" spans="2:3" x14ac:dyDescent="0.25">
      <c r="B2029" s="141">
        <v>45166</v>
      </c>
      <c r="C2029" s="128">
        <v>64996.6</v>
      </c>
    </row>
    <row r="2030" spans="2:3" x14ac:dyDescent="0.25">
      <c r="B2030" s="141">
        <v>45167</v>
      </c>
      <c r="C2030" s="128">
        <v>65075.82</v>
      </c>
    </row>
    <row r="2031" spans="2:3" x14ac:dyDescent="0.25">
      <c r="B2031" s="141">
        <v>45168</v>
      </c>
      <c r="C2031" s="128">
        <v>65087.25</v>
      </c>
    </row>
    <row r="2032" spans="2:3" x14ac:dyDescent="0.25">
      <c r="B2032" s="141">
        <v>45169</v>
      </c>
      <c r="C2032" s="128">
        <v>64831.41</v>
      </c>
    </row>
    <row r="2033" spans="2:3" x14ac:dyDescent="0.25">
      <c r="B2033" s="141">
        <v>45170</v>
      </c>
      <c r="C2033" s="128">
        <v>65387.16</v>
      </c>
    </row>
    <row r="2034" spans="2:3" x14ac:dyDescent="0.25">
      <c r="B2034" s="141">
        <v>45173</v>
      </c>
      <c r="C2034" s="128">
        <v>65628.14</v>
      </c>
    </row>
    <row r="2035" spans="2:3" x14ac:dyDescent="0.25">
      <c r="B2035" s="141">
        <v>45174</v>
      </c>
      <c r="C2035" s="128">
        <v>65780.259999999995</v>
      </c>
    </row>
    <row r="2036" spans="2:3" x14ac:dyDescent="0.25">
      <c r="B2036" s="141">
        <v>45175</v>
      </c>
      <c r="C2036" s="128">
        <v>65880.52</v>
      </c>
    </row>
    <row r="2037" spans="2:3" x14ac:dyDescent="0.25">
      <c r="B2037" s="141">
        <v>45176</v>
      </c>
      <c r="C2037" s="128">
        <v>66265.56</v>
      </c>
    </row>
    <row r="2038" spans="2:3" x14ac:dyDescent="0.25">
      <c r="B2038" s="141">
        <v>45177</v>
      </c>
      <c r="C2038" s="128">
        <v>66598.91</v>
      </c>
    </row>
    <row r="2039" spans="2:3" x14ac:dyDescent="0.25">
      <c r="B2039" s="141">
        <v>45180</v>
      </c>
      <c r="C2039" s="128">
        <v>67127.08</v>
      </c>
    </row>
    <row r="2040" spans="2:3" x14ac:dyDescent="0.25">
      <c r="B2040" s="141">
        <v>45181</v>
      </c>
      <c r="C2040" s="128">
        <v>67221.13</v>
      </c>
    </row>
    <row r="2041" spans="2:3" x14ac:dyDescent="0.25">
      <c r="B2041" s="141">
        <v>45182</v>
      </c>
      <c r="C2041" s="128">
        <v>67466.990000000005</v>
      </c>
    </row>
    <row r="2042" spans="2:3" x14ac:dyDescent="0.25">
      <c r="B2042" s="141">
        <v>45183</v>
      </c>
      <c r="C2042" s="128">
        <v>67519</v>
      </c>
    </row>
    <row r="2043" spans="2:3" x14ac:dyDescent="0.25">
      <c r="B2043" s="141">
        <v>45184</v>
      </c>
      <c r="C2043" s="128">
        <v>67838.63</v>
      </c>
    </row>
    <row r="2044" spans="2:3" x14ac:dyDescent="0.25">
      <c r="B2044" s="141">
        <v>45187</v>
      </c>
      <c r="C2044" s="128">
        <v>67596.84</v>
      </c>
    </row>
    <row r="2045" spans="2:3" x14ac:dyDescent="0.25">
      <c r="B2045" s="141">
        <v>45189</v>
      </c>
      <c r="C2045" s="128">
        <v>66800.84</v>
      </c>
    </row>
    <row r="2046" spans="2:3" x14ac:dyDescent="0.25">
      <c r="B2046" s="141">
        <v>45190</v>
      </c>
      <c r="C2046" s="128">
        <v>66230.240000000005</v>
      </c>
    </row>
    <row r="2047" spans="2:3" x14ac:dyDescent="0.25">
      <c r="B2047" s="141">
        <v>45191</v>
      </c>
      <c r="C2047" s="128">
        <v>66009.149999999994</v>
      </c>
    </row>
    <row r="2048" spans="2:3" x14ac:dyDescent="0.25">
      <c r="B2048" s="141">
        <v>45194</v>
      </c>
      <c r="C2048" s="128">
        <v>66023.69</v>
      </c>
    </row>
    <row r="2049" spans="2:3" x14ac:dyDescent="0.25">
      <c r="B2049" s="141">
        <v>45195</v>
      </c>
      <c r="C2049" s="128">
        <v>65945.47</v>
      </c>
    </row>
    <row r="2050" spans="2:3" x14ac:dyDescent="0.25">
      <c r="B2050" s="141">
        <v>45196</v>
      </c>
      <c r="C2050" s="128">
        <v>66118.69</v>
      </c>
    </row>
    <row r="2051" spans="2:3" x14ac:dyDescent="0.25">
      <c r="B2051" s="141">
        <v>45197</v>
      </c>
      <c r="C2051" s="128">
        <v>65508.32</v>
      </c>
    </row>
    <row r="2052" spans="2:3" x14ac:dyDescent="0.25">
      <c r="B2052" s="141">
        <v>45198</v>
      </c>
      <c r="C2052" s="128">
        <v>65828.41</v>
      </c>
    </row>
    <row r="2053" spans="2:3" x14ac:dyDescent="0.25">
      <c r="B2053" s="141">
        <v>45202</v>
      </c>
      <c r="C2053" s="128">
        <v>65512.1</v>
      </c>
    </row>
    <row r="2054" spans="2:3" x14ac:dyDescent="0.25">
      <c r="B2054" s="141">
        <v>45203</v>
      </c>
      <c r="C2054" s="128">
        <v>65226.04</v>
      </c>
    </row>
    <row r="2055" spans="2:3" x14ac:dyDescent="0.25">
      <c r="B2055" s="141">
        <v>45204</v>
      </c>
      <c r="C2055" s="128">
        <v>65631.570000000007</v>
      </c>
    </row>
    <row r="2056" spans="2:3" x14ac:dyDescent="0.25">
      <c r="B2056" s="141">
        <v>45205</v>
      </c>
      <c r="C2056" s="128">
        <v>65995.63</v>
      </c>
    </row>
    <row r="2057" spans="2:3" x14ac:dyDescent="0.25">
      <c r="B2057" s="141">
        <v>45208</v>
      </c>
      <c r="C2057" s="128">
        <v>65512.39</v>
      </c>
    </row>
    <row r="2058" spans="2:3" x14ac:dyDescent="0.25">
      <c r="B2058" s="141">
        <v>45209</v>
      </c>
      <c r="C2058" s="128">
        <v>66079.360000000001</v>
      </c>
    </row>
    <row r="2059" spans="2:3" x14ac:dyDescent="0.25">
      <c r="B2059" s="141">
        <v>45210</v>
      </c>
      <c r="C2059" s="128">
        <v>66473.05</v>
      </c>
    </row>
    <row r="2060" spans="2:3" x14ac:dyDescent="0.25">
      <c r="B2060" s="141">
        <v>45211</v>
      </c>
      <c r="C2060" s="128">
        <v>66408.39</v>
      </c>
    </row>
    <row r="2061" spans="2:3" x14ac:dyDescent="0.25">
      <c r="B2061" s="141">
        <v>45212</v>
      </c>
      <c r="C2061" s="128">
        <v>66282.740000000005</v>
      </c>
    </row>
    <row r="2062" spans="2:3" x14ac:dyDescent="0.25">
      <c r="B2062" s="141">
        <v>45215</v>
      </c>
      <c r="C2062" s="128">
        <v>66166.929999999993</v>
      </c>
    </row>
    <row r="2063" spans="2:3" x14ac:dyDescent="0.25">
      <c r="B2063" s="141">
        <v>45216</v>
      </c>
      <c r="C2063" s="128">
        <v>66428.09</v>
      </c>
    </row>
    <row r="2064" spans="2:3" x14ac:dyDescent="0.25">
      <c r="B2064" s="141">
        <v>45217</v>
      </c>
      <c r="C2064" s="128">
        <v>65877.02</v>
      </c>
    </row>
    <row r="2065" spans="2:3" x14ac:dyDescent="0.25">
      <c r="B2065" s="141">
        <v>45218</v>
      </c>
      <c r="C2065" s="128">
        <v>65629.240000000005</v>
      </c>
    </row>
    <row r="2066" spans="2:3" x14ac:dyDescent="0.25">
      <c r="B2066" s="141">
        <v>45219</v>
      </c>
      <c r="C2066" s="128">
        <v>65397.62</v>
      </c>
    </row>
    <row r="2067" spans="2:3" x14ac:dyDescent="0.25">
      <c r="B2067" s="141">
        <v>45222</v>
      </c>
      <c r="C2067" s="128">
        <v>64571.88</v>
      </c>
    </row>
    <row r="2068" spans="2:3" x14ac:dyDescent="0.25">
      <c r="B2068" s="141">
        <v>45224</v>
      </c>
      <c r="C2068" s="128">
        <v>64049.06</v>
      </c>
    </row>
    <row r="2069" spans="2:3" x14ac:dyDescent="0.25">
      <c r="B2069" s="141">
        <v>45225</v>
      </c>
      <c r="C2069" s="128">
        <v>63148.15</v>
      </c>
    </row>
    <row r="2070" spans="2:3" x14ac:dyDescent="0.25">
      <c r="B2070" s="141">
        <v>45226</v>
      </c>
      <c r="C2070" s="128">
        <v>63782.8</v>
      </c>
    </row>
    <row r="2071" spans="2:3" x14ac:dyDescent="0.25">
      <c r="B2071" s="141">
        <v>45229</v>
      </c>
      <c r="C2071" s="128">
        <v>64112.65</v>
      </c>
    </row>
    <row r="2072" spans="2:3" x14ac:dyDescent="0.25">
      <c r="B2072" s="141">
        <v>45230</v>
      </c>
      <c r="C2072" s="128">
        <v>63874.93</v>
      </c>
    </row>
    <row r="2073" spans="2:3" x14ac:dyDescent="0.25">
      <c r="B2073" s="141">
        <v>45231</v>
      </c>
      <c r="C2073" s="128">
        <v>63591.33</v>
      </c>
    </row>
    <row r="2074" spans="2:3" x14ac:dyDescent="0.25">
      <c r="B2074" s="141">
        <v>45232</v>
      </c>
      <c r="C2074" s="128">
        <v>64080.9</v>
      </c>
    </row>
    <row r="2075" spans="2:3" x14ac:dyDescent="0.25">
      <c r="B2075" s="141">
        <v>45233</v>
      </c>
      <c r="C2075" s="128">
        <v>64363.78</v>
      </c>
    </row>
    <row r="2076" spans="2:3" x14ac:dyDescent="0.25">
      <c r="B2076" s="141">
        <v>45236</v>
      </c>
      <c r="C2076" s="128">
        <v>64958.69</v>
      </c>
    </row>
    <row r="2077" spans="2:3" x14ac:dyDescent="0.25">
      <c r="B2077" s="141">
        <v>45237</v>
      </c>
      <c r="C2077" s="128">
        <v>64942.400000000001</v>
      </c>
    </row>
    <row r="2078" spans="2:3" x14ac:dyDescent="0.25">
      <c r="B2078" s="141">
        <v>45238</v>
      </c>
      <c r="C2078" s="128">
        <v>64975.61</v>
      </c>
    </row>
    <row r="2079" spans="2:3" x14ac:dyDescent="0.25">
      <c r="B2079" s="141">
        <v>45239</v>
      </c>
      <c r="C2079" s="128">
        <v>64832.2</v>
      </c>
    </row>
    <row r="2080" spans="2:3" x14ac:dyDescent="0.25">
      <c r="B2080" s="141">
        <v>45240</v>
      </c>
      <c r="C2080" s="128">
        <v>64904.68</v>
      </c>
    </row>
    <row r="2081" spans="2:3" x14ac:dyDescent="0.25">
      <c r="B2081" s="141">
        <v>45242</v>
      </c>
      <c r="C2081" s="128">
        <v>65259.45</v>
      </c>
    </row>
    <row r="2082" spans="2:3" x14ac:dyDescent="0.25">
      <c r="B2082" s="141">
        <v>45243</v>
      </c>
      <c r="C2082" s="128">
        <v>64933.87</v>
      </c>
    </row>
    <row r="2083" spans="2:3" x14ac:dyDescent="0.25">
      <c r="B2083" s="141">
        <v>45245</v>
      </c>
      <c r="C2083" s="128">
        <v>65675.929999999993</v>
      </c>
    </row>
    <row r="2084" spans="2:3" x14ac:dyDescent="0.25">
      <c r="B2084" s="141">
        <v>45246</v>
      </c>
      <c r="C2084" s="128">
        <v>65982.48</v>
      </c>
    </row>
    <row r="2085" spans="2:3" x14ac:dyDescent="0.25">
      <c r="B2085" s="141">
        <v>45247</v>
      </c>
      <c r="C2085" s="128">
        <v>65794.73</v>
      </c>
    </row>
    <row r="2086" spans="2:3" x14ac:dyDescent="0.25">
      <c r="B2086" s="141">
        <v>45250</v>
      </c>
      <c r="C2086" s="128">
        <v>65655.149999999994</v>
      </c>
    </row>
    <row r="2087" spans="2:3" x14ac:dyDescent="0.25">
      <c r="B2087" s="141">
        <v>45251</v>
      </c>
      <c r="C2087" s="128">
        <v>65930.77</v>
      </c>
    </row>
    <row r="2088" spans="2:3" x14ac:dyDescent="0.25">
      <c r="B2088" s="141">
        <v>45252</v>
      </c>
      <c r="C2088" s="128">
        <v>66023.240000000005</v>
      </c>
    </row>
    <row r="2089" spans="2:3" x14ac:dyDescent="0.25">
      <c r="B2089" s="141">
        <v>45253</v>
      </c>
      <c r="C2089" s="128">
        <v>66017.81</v>
      </c>
    </row>
    <row r="2090" spans="2:3" x14ac:dyDescent="0.25">
      <c r="B2090" s="141">
        <v>45254</v>
      </c>
      <c r="C2090" s="128">
        <v>65970.039999999994</v>
      </c>
    </row>
    <row r="2091" spans="2:3" x14ac:dyDescent="0.25">
      <c r="B2091" s="141">
        <v>45258</v>
      </c>
      <c r="C2091" s="128">
        <v>66174.2</v>
      </c>
    </row>
    <row r="2092" spans="2:3" x14ac:dyDescent="0.25">
      <c r="B2092" s="141">
        <v>45259</v>
      </c>
      <c r="C2092" s="128">
        <v>66901.91</v>
      </c>
    </row>
    <row r="2093" spans="2:3" x14ac:dyDescent="0.25">
      <c r="B2093" s="141">
        <v>45260</v>
      </c>
      <c r="C2093" s="128">
        <v>66988.44</v>
      </c>
    </row>
    <row r="2094" spans="2:3" x14ac:dyDescent="0.25">
      <c r="B2094" s="141">
        <v>45261</v>
      </c>
      <c r="C2094" s="128">
        <v>67481.19</v>
      </c>
    </row>
    <row r="2095" spans="2:3" x14ac:dyDescent="0.25">
      <c r="B2095" s="141">
        <v>45264</v>
      </c>
      <c r="C2095" s="128">
        <v>68865.119999999995</v>
      </c>
    </row>
    <row r="2096" spans="2:3" x14ac:dyDescent="0.25">
      <c r="B2096" s="141">
        <v>45265</v>
      </c>
      <c r="C2096" s="128">
        <v>69296.14</v>
      </c>
    </row>
    <row r="2097" spans="2:3" x14ac:dyDescent="0.25">
      <c r="B2097" s="141">
        <v>45266</v>
      </c>
      <c r="C2097" s="128">
        <v>69653.73</v>
      </c>
    </row>
    <row r="2098" spans="2:3" x14ac:dyDescent="0.25">
      <c r="B2098" s="141">
        <v>45267</v>
      </c>
      <c r="C2098" s="128">
        <v>69521.69</v>
      </c>
    </row>
    <row r="2099" spans="2:3" x14ac:dyDescent="0.25">
      <c r="B2099" s="141">
        <v>45268</v>
      </c>
      <c r="C2099" s="128">
        <v>69825.600000000006</v>
      </c>
    </row>
    <row r="2100" spans="2:3" x14ac:dyDescent="0.25">
      <c r="B2100" s="141">
        <v>45271</v>
      </c>
      <c r="C2100" s="128">
        <v>69928.53</v>
      </c>
    </row>
    <row r="2101" spans="2:3" x14ac:dyDescent="0.25">
      <c r="B2101" s="141">
        <v>45272</v>
      </c>
      <c r="C2101" s="128">
        <v>69551.03</v>
      </c>
    </row>
    <row r="2102" spans="2:3" x14ac:dyDescent="0.25">
      <c r="B2102" s="141">
        <v>45273</v>
      </c>
      <c r="C2102" s="128">
        <v>69584.600000000006</v>
      </c>
    </row>
    <row r="2103" spans="2:3" x14ac:dyDescent="0.25">
      <c r="B2103" s="141">
        <v>45274</v>
      </c>
      <c r="C2103" s="128">
        <v>70514.2</v>
      </c>
    </row>
    <row r="2104" spans="2:3" x14ac:dyDescent="0.25">
      <c r="B2104" s="141">
        <v>45275</v>
      </c>
      <c r="C2104" s="128">
        <v>71483.75</v>
      </c>
    </row>
    <row r="2105" spans="2:3" x14ac:dyDescent="0.25">
      <c r="B2105" s="141">
        <v>45278</v>
      </c>
      <c r="C2105" s="128">
        <v>71315.09</v>
      </c>
    </row>
    <row r="2106" spans="2:3" x14ac:dyDescent="0.25">
      <c r="B2106" s="141">
        <v>45279</v>
      </c>
      <c r="C2106" s="128">
        <v>71437.19</v>
      </c>
    </row>
    <row r="2107" spans="2:3" x14ac:dyDescent="0.25">
      <c r="B2107" s="141">
        <v>45280</v>
      </c>
      <c r="C2107" s="128">
        <v>70506.31</v>
      </c>
    </row>
    <row r="2108" spans="2:3" x14ac:dyDescent="0.25">
      <c r="B2108" s="141">
        <v>45281</v>
      </c>
      <c r="C2108" s="128">
        <v>70865.100000000006</v>
      </c>
    </row>
    <row r="2109" spans="2:3" x14ac:dyDescent="0.25">
      <c r="B2109" s="141">
        <v>45282</v>
      </c>
      <c r="C2109" s="128">
        <v>71106.960000000006</v>
      </c>
    </row>
    <row r="2110" spans="2:3" x14ac:dyDescent="0.25">
      <c r="B2110" s="141">
        <v>45286</v>
      </c>
      <c r="C2110" s="128">
        <v>71336.800000000003</v>
      </c>
    </row>
    <row r="2111" spans="2:3" x14ac:dyDescent="0.25">
      <c r="B2111" s="141">
        <v>45287</v>
      </c>
      <c r="C2111" s="128">
        <v>72038.429999999993</v>
      </c>
    </row>
    <row r="2112" spans="2:3" x14ac:dyDescent="0.25">
      <c r="B2112" s="141">
        <v>45288</v>
      </c>
      <c r="C2112" s="128">
        <v>72410.38</v>
      </c>
    </row>
    <row r="2113" spans="2:3" x14ac:dyDescent="0.25">
      <c r="B2113" s="141">
        <v>45289</v>
      </c>
      <c r="C2113" s="128">
        <v>72240.259999999995</v>
      </c>
    </row>
    <row r="2114" spans="2:3" x14ac:dyDescent="0.25">
      <c r="B2114" s="141">
        <v>45292</v>
      </c>
      <c r="C2114" s="128">
        <v>72271.94</v>
      </c>
    </row>
    <row r="2115" spans="2:3" x14ac:dyDescent="0.25">
      <c r="B2115" s="141">
        <v>45293</v>
      </c>
      <c r="C2115" s="128">
        <v>71892.479999999996</v>
      </c>
    </row>
    <row r="2116" spans="2:3" x14ac:dyDescent="0.25">
      <c r="B2116" s="141">
        <v>45294</v>
      </c>
      <c r="C2116" s="128">
        <v>71356.600000000006</v>
      </c>
    </row>
    <row r="2117" spans="2:3" x14ac:dyDescent="0.25">
      <c r="B2117" s="141">
        <v>45295</v>
      </c>
      <c r="C2117" s="128">
        <v>71847.570000000007</v>
      </c>
    </row>
    <row r="2118" spans="2:3" x14ac:dyDescent="0.25">
      <c r="B2118" s="141">
        <v>45296</v>
      </c>
      <c r="C2118" s="128">
        <v>72026.149999999994</v>
      </c>
    </row>
    <row r="2119" spans="2:3" x14ac:dyDescent="0.25">
      <c r="B2119" s="141">
        <v>45299</v>
      </c>
      <c r="C2119" s="128">
        <v>71355.22</v>
      </c>
    </row>
    <row r="2120" spans="2:3" x14ac:dyDescent="0.25">
      <c r="B2120" s="141">
        <v>45300</v>
      </c>
      <c r="C2120" s="128">
        <v>71386.210000000006</v>
      </c>
    </row>
    <row r="2121" spans="2:3" x14ac:dyDescent="0.25">
      <c r="B2121" s="141">
        <v>45301</v>
      </c>
      <c r="C2121" s="128">
        <v>71657.710000000006</v>
      </c>
    </row>
    <row r="2122" spans="2:3" x14ac:dyDescent="0.25">
      <c r="B2122" s="141">
        <v>45302</v>
      </c>
      <c r="C2122" s="128">
        <v>71721.179999999993</v>
      </c>
    </row>
    <row r="2123" spans="2:3" x14ac:dyDescent="0.25">
      <c r="B2123" s="141">
        <v>45303</v>
      </c>
      <c r="C2123" s="128">
        <v>72568.45</v>
      </c>
    </row>
    <row r="2124" spans="2:3" x14ac:dyDescent="0.25">
      <c r="B2124" s="141">
        <v>45306</v>
      </c>
      <c r="C2124" s="128">
        <v>73327.94</v>
      </c>
    </row>
    <row r="2125" spans="2:3" x14ac:dyDescent="0.25">
      <c r="B2125" s="141">
        <v>45307</v>
      </c>
      <c r="C2125" s="128">
        <v>73128.77</v>
      </c>
    </row>
    <row r="2126" spans="2:3" x14ac:dyDescent="0.25">
      <c r="B2126" s="141">
        <v>45308</v>
      </c>
      <c r="C2126" s="128">
        <v>71500.759999999995</v>
      </c>
    </row>
    <row r="2127" spans="2:3" x14ac:dyDescent="0.25">
      <c r="B2127" s="141">
        <v>45309</v>
      </c>
      <c r="C2127" s="128">
        <v>71186.86</v>
      </c>
    </row>
    <row r="2128" spans="2:3" x14ac:dyDescent="0.25">
      <c r="B2128" s="141">
        <v>45310</v>
      </c>
      <c r="C2128" s="128">
        <v>71683.23</v>
      </c>
    </row>
    <row r="2129" spans="2:3" x14ac:dyDescent="0.25">
      <c r="B2129" s="141">
        <v>45311</v>
      </c>
      <c r="C2129" s="128">
        <v>71423.649999999994</v>
      </c>
    </row>
    <row r="2130" spans="2:3" x14ac:dyDescent="0.25">
      <c r="B2130" s="141">
        <v>45314</v>
      </c>
      <c r="C2130" s="128">
        <v>70370.55</v>
      </c>
    </row>
    <row r="2131" spans="2:3" x14ac:dyDescent="0.25">
      <c r="B2131" s="141">
        <v>45315</v>
      </c>
      <c r="C2131" s="128">
        <v>71060.31</v>
      </c>
    </row>
    <row r="2132" spans="2:3" x14ac:dyDescent="0.25">
      <c r="B2132" s="141">
        <v>45316</v>
      </c>
      <c r="C2132" s="128">
        <v>70700.67</v>
      </c>
    </row>
    <row r="2133" spans="2:3" x14ac:dyDescent="0.25">
      <c r="B2133" s="141">
        <v>45320</v>
      </c>
      <c r="C2133" s="128">
        <v>71941.570000000007</v>
      </c>
    </row>
    <row r="2134" spans="2:3" x14ac:dyDescent="0.25">
      <c r="B2134" s="141">
        <v>45321</v>
      </c>
      <c r="C2134" s="128">
        <v>71139.899999999994</v>
      </c>
    </row>
    <row r="2135" spans="2:3" x14ac:dyDescent="0.25">
      <c r="B2135" s="141">
        <v>45322</v>
      </c>
      <c r="C2135" s="128">
        <v>71752.11</v>
      </c>
    </row>
    <row r="2136" spans="2:3" x14ac:dyDescent="0.25">
      <c r="B2136" s="141">
        <v>45323</v>
      </c>
      <c r="C2136" s="128">
        <v>71645.3</v>
      </c>
    </row>
    <row r="2137" spans="2:3" x14ac:dyDescent="0.25">
      <c r="B2137" s="141">
        <v>45324</v>
      </c>
      <c r="C2137" s="128">
        <v>72085.63</v>
      </c>
    </row>
    <row r="2138" spans="2:3" x14ac:dyDescent="0.25">
      <c r="B2138" s="141">
        <v>45327</v>
      </c>
      <c r="C2138" s="128">
        <v>71731.42</v>
      </c>
    </row>
    <row r="2139" spans="2:3" x14ac:dyDescent="0.25">
      <c r="B2139" s="141">
        <v>45328</v>
      </c>
      <c r="C2139" s="128">
        <v>72186.09</v>
      </c>
    </row>
    <row r="2140" spans="2:3" x14ac:dyDescent="0.25">
      <c r="B2140" s="141">
        <v>45329</v>
      </c>
      <c r="C2140" s="128">
        <v>72152</v>
      </c>
    </row>
    <row r="2141" spans="2:3" x14ac:dyDescent="0.25">
      <c r="B2141" s="141">
        <v>45330</v>
      </c>
      <c r="C2141" s="128">
        <v>71428.429999999993</v>
      </c>
    </row>
    <row r="2142" spans="2:3" x14ac:dyDescent="0.25">
      <c r="B2142" s="141">
        <v>45331</v>
      </c>
      <c r="C2142" s="128">
        <v>71595.490000000005</v>
      </c>
    </row>
    <row r="2143" spans="2:3" x14ac:dyDescent="0.25">
      <c r="B2143" s="141">
        <v>45334</v>
      </c>
      <c r="C2143" s="128">
        <v>71072.490000000005</v>
      </c>
    </row>
    <row r="2144" spans="2:3" x14ac:dyDescent="0.25">
      <c r="B2144" s="141">
        <v>45335</v>
      </c>
      <c r="C2144" s="128">
        <v>71555.19</v>
      </c>
    </row>
    <row r="2145" spans="2:3" x14ac:dyDescent="0.25">
      <c r="B2145" s="141">
        <v>45336</v>
      </c>
      <c r="C2145" s="128">
        <v>71822.83</v>
      </c>
    </row>
    <row r="2146" spans="2:3" x14ac:dyDescent="0.25">
      <c r="B2146" s="141">
        <v>45337</v>
      </c>
      <c r="C2146" s="128">
        <v>72050.38</v>
      </c>
    </row>
    <row r="2147" spans="2:3" x14ac:dyDescent="0.25">
      <c r="B2147" s="141">
        <v>45338</v>
      </c>
      <c r="C2147" s="128">
        <v>72426.64</v>
      </c>
    </row>
    <row r="2148" spans="2:3" x14ac:dyDescent="0.25">
      <c r="B2148" s="141">
        <v>45341</v>
      </c>
      <c r="C2148" s="128">
        <v>72708.160000000003</v>
      </c>
    </row>
    <row r="2149" spans="2:3" x14ac:dyDescent="0.25">
      <c r="B2149" s="141">
        <v>45342</v>
      </c>
      <c r="C2149" s="128">
        <v>73057.399999999994</v>
      </c>
    </row>
    <row r="2150" spans="2:3" x14ac:dyDescent="0.25">
      <c r="B2150" s="141">
        <v>45343</v>
      </c>
      <c r="C2150" s="128">
        <v>72623.09</v>
      </c>
    </row>
    <row r="2151" spans="2:3" x14ac:dyDescent="0.25">
      <c r="B2151" s="141">
        <v>45344</v>
      </c>
      <c r="C2151" s="128">
        <v>73158.240000000005</v>
      </c>
    </row>
    <row r="2152" spans="2:3" x14ac:dyDescent="0.25">
      <c r="B2152" s="141">
        <v>45345</v>
      </c>
      <c r="C2152" s="128">
        <v>73142.8</v>
      </c>
    </row>
    <row r="2153" spans="2:3" x14ac:dyDescent="0.25">
      <c r="B2153" s="141">
        <v>45348</v>
      </c>
      <c r="C2153" s="128">
        <v>72790.13</v>
      </c>
    </row>
    <row r="2154" spans="2:3" x14ac:dyDescent="0.25">
      <c r="B2154" s="141">
        <v>45349</v>
      </c>
      <c r="C2154" s="128">
        <v>73095.22</v>
      </c>
    </row>
    <row r="2155" spans="2:3" x14ac:dyDescent="0.25">
      <c r="B2155" s="141">
        <v>45350</v>
      </c>
      <c r="C2155" s="128">
        <v>72304.88</v>
      </c>
    </row>
    <row r="2156" spans="2:3" x14ac:dyDescent="0.25">
      <c r="B2156" s="141">
        <v>45351</v>
      </c>
      <c r="C2156" s="128">
        <v>72500.3</v>
      </c>
    </row>
    <row r="2157" spans="2:3" x14ac:dyDescent="0.25">
      <c r="B2157" s="141">
        <v>45352</v>
      </c>
      <c r="C2157" s="128">
        <v>73745.350000000006</v>
      </c>
    </row>
    <row r="2158" spans="2:3" x14ac:dyDescent="0.25">
      <c r="B2158" s="141">
        <v>45353</v>
      </c>
      <c r="C2158" s="128">
        <v>73806.149999999994</v>
      </c>
    </row>
    <row r="2159" spans="2:3" x14ac:dyDescent="0.25">
      <c r="B2159" s="141">
        <v>45355</v>
      </c>
      <c r="C2159" s="128">
        <v>73872.289999999994</v>
      </c>
    </row>
    <row r="2160" spans="2:3" x14ac:dyDescent="0.25">
      <c r="B2160" s="141">
        <v>45356</v>
      </c>
      <c r="C2160" s="128">
        <v>73677.13</v>
      </c>
    </row>
    <row r="2161" spans="2:3" x14ac:dyDescent="0.25">
      <c r="B2161" s="141">
        <v>45357</v>
      </c>
      <c r="C2161" s="128">
        <v>74085.990000000005</v>
      </c>
    </row>
    <row r="2162" spans="2:3" x14ac:dyDescent="0.25">
      <c r="B2162" s="141">
        <v>45358</v>
      </c>
      <c r="C2162" s="128">
        <v>74119.39</v>
      </c>
    </row>
    <row r="2163" spans="2:3" x14ac:dyDescent="0.25">
      <c r="B2163" s="141">
        <v>45362</v>
      </c>
      <c r="C2163" s="128">
        <v>73502.64</v>
      </c>
    </row>
    <row r="2164" spans="2:3" x14ac:dyDescent="0.25">
      <c r="B2164" s="141">
        <v>45363</v>
      </c>
      <c r="C2164" s="128">
        <v>73667.960000000006</v>
      </c>
    </row>
    <row r="2165" spans="2:3" x14ac:dyDescent="0.25">
      <c r="B2165" s="141">
        <v>45364</v>
      </c>
      <c r="C2165" s="128">
        <v>72761.89</v>
      </c>
    </row>
    <row r="2166" spans="2:3" x14ac:dyDescent="0.25">
      <c r="B2166" s="141">
        <v>45365</v>
      </c>
      <c r="C2166" s="128">
        <v>73097.279999999999</v>
      </c>
    </row>
    <row r="2167" spans="2:3" x14ac:dyDescent="0.25">
      <c r="B2167" s="141">
        <v>45366</v>
      </c>
      <c r="C2167" s="128">
        <v>72643.429999999993</v>
      </c>
    </row>
    <row r="2168" spans="2:3" x14ac:dyDescent="0.25">
      <c r="B2168" s="141">
        <v>45369</v>
      </c>
      <c r="C2168" s="128">
        <v>72748.42</v>
      </c>
    </row>
    <row r="2169" spans="2:3" x14ac:dyDescent="0.25">
      <c r="B2169" s="141">
        <v>45370</v>
      </c>
      <c r="C2169" s="128">
        <v>72012.05</v>
      </c>
    </row>
    <row r="2170" spans="2:3" x14ac:dyDescent="0.25">
      <c r="B2170" s="141">
        <v>45371</v>
      </c>
      <c r="C2170" s="128">
        <v>72101.69</v>
      </c>
    </row>
    <row r="2171" spans="2:3" x14ac:dyDescent="0.25">
      <c r="B2171" s="141">
        <v>45372</v>
      </c>
      <c r="C2171" s="128">
        <v>72641.19</v>
      </c>
    </row>
    <row r="2172" spans="2:3" x14ac:dyDescent="0.25">
      <c r="B2172" s="141">
        <v>45373</v>
      </c>
      <c r="C2172" s="128">
        <v>72831.94</v>
      </c>
    </row>
    <row r="2173" spans="2:3" x14ac:dyDescent="0.25">
      <c r="B2173" s="141">
        <v>45377</v>
      </c>
      <c r="C2173" s="128">
        <v>72470.3</v>
      </c>
    </row>
    <row r="2174" spans="2:3" x14ac:dyDescent="0.25">
      <c r="B2174" s="141">
        <v>45378</v>
      </c>
      <c r="C2174" s="128">
        <v>72996.31</v>
      </c>
    </row>
    <row r="2175" spans="2:3" x14ac:dyDescent="0.25">
      <c r="B2175" s="141">
        <v>45379</v>
      </c>
      <c r="C2175" s="128">
        <v>73651.350000000006</v>
      </c>
    </row>
    <row r="2176" spans="2:3" x14ac:dyDescent="0.25">
      <c r="B2176" s="141">
        <v>45383</v>
      </c>
      <c r="C2176" s="128">
        <v>74014.55</v>
      </c>
    </row>
    <row r="2177" spans="2:3" x14ac:dyDescent="0.25">
      <c r="B2177" s="141">
        <v>45384</v>
      </c>
      <c r="C2177" s="128">
        <v>73903.91</v>
      </c>
    </row>
    <row r="2178" spans="2:3" x14ac:dyDescent="0.25">
      <c r="B2178" s="141">
        <v>45385</v>
      </c>
      <c r="C2178" s="128">
        <v>73876.820000000007</v>
      </c>
    </row>
    <row r="2179" spans="2:3" x14ac:dyDescent="0.25">
      <c r="B2179" s="141">
        <v>45386</v>
      </c>
      <c r="C2179" s="128">
        <v>74227.63</v>
      </c>
    </row>
    <row r="2180" spans="2:3" x14ac:dyDescent="0.25">
      <c r="B2180" s="141">
        <v>45387</v>
      </c>
      <c r="C2180" s="128">
        <v>74248.22</v>
      </c>
    </row>
    <row r="2181" spans="2:3" x14ac:dyDescent="0.25">
      <c r="B2181" s="141">
        <v>45390</v>
      </c>
      <c r="C2181" s="128">
        <v>74742.5</v>
      </c>
    </row>
    <row r="2182" spans="2:3" x14ac:dyDescent="0.25">
      <c r="B2182" s="141">
        <v>45391</v>
      </c>
      <c r="C2182" s="128">
        <v>74683.7</v>
      </c>
    </row>
    <row r="2183" spans="2:3" x14ac:dyDescent="0.25">
      <c r="B2183" s="141">
        <v>45392</v>
      </c>
      <c r="C2183" s="128">
        <v>75038.149999999994</v>
      </c>
    </row>
    <row r="2184" spans="2:3" x14ac:dyDescent="0.25">
      <c r="B2184" s="141">
        <v>45394</v>
      </c>
      <c r="C2184" s="128">
        <v>74244.899999999994</v>
      </c>
    </row>
    <row r="2185" spans="2:3" x14ac:dyDescent="0.25">
      <c r="B2185" s="141">
        <v>45397</v>
      </c>
      <c r="C2185" s="128">
        <v>73399.78</v>
      </c>
    </row>
    <row r="2186" spans="2:3" x14ac:dyDescent="0.25">
      <c r="B2186" s="141">
        <v>45398</v>
      </c>
      <c r="C2186" s="128">
        <v>72943.679999999993</v>
      </c>
    </row>
    <row r="2187" spans="2:3" x14ac:dyDescent="0.25">
      <c r="B2187" s="141">
        <v>45400</v>
      </c>
      <c r="C2187" s="128">
        <v>72488.990000000005</v>
      </c>
    </row>
    <row r="2188" spans="2:3" x14ac:dyDescent="0.25">
      <c r="B2188" s="141">
        <v>45401</v>
      </c>
      <c r="C2188" s="128">
        <v>73088.33</v>
      </c>
    </row>
    <row r="2189" spans="2:3" x14ac:dyDescent="0.25">
      <c r="B2189" s="141">
        <v>45404</v>
      </c>
      <c r="C2189" s="128">
        <v>73648.62</v>
      </c>
    </row>
    <row r="2190" spans="2:3" x14ac:dyDescent="0.25">
      <c r="B2190" s="141">
        <v>45405</v>
      </c>
      <c r="C2190" s="128">
        <v>73738.45</v>
      </c>
    </row>
    <row r="2191" spans="2:3" x14ac:dyDescent="0.25">
      <c r="B2191" s="141">
        <v>45406</v>
      </c>
      <c r="C2191" s="128">
        <v>73852.94</v>
      </c>
    </row>
    <row r="2192" spans="2:3" x14ac:dyDescent="0.25">
      <c r="B2192" s="141">
        <v>45407</v>
      </c>
      <c r="C2192" s="128">
        <v>74339.44</v>
      </c>
    </row>
    <row r="2193" spans="2:3" x14ac:dyDescent="0.25">
      <c r="B2193" s="141">
        <v>45408</v>
      </c>
      <c r="C2193" s="128">
        <v>73730.16</v>
      </c>
    </row>
    <row r="2194" spans="2:3" x14ac:dyDescent="0.25">
      <c r="B2194" s="141">
        <v>45411</v>
      </c>
      <c r="C2194" s="128">
        <v>74671.28</v>
      </c>
    </row>
    <row r="2195" spans="2:3" x14ac:dyDescent="0.25">
      <c r="B2195" s="141">
        <v>45412</v>
      </c>
      <c r="C2195" s="128">
        <v>74482.78</v>
      </c>
    </row>
    <row r="2196" spans="2:3" x14ac:dyDescent="0.25">
      <c r="B2196" s="141">
        <v>45414</v>
      </c>
      <c r="C2196" s="128">
        <v>74611.11</v>
      </c>
    </row>
    <row r="2197" spans="2:3" x14ac:dyDescent="0.25">
      <c r="B2197" s="141">
        <v>45415</v>
      </c>
      <c r="C2197" s="128">
        <v>73878.149999999994</v>
      </c>
    </row>
    <row r="2198" spans="2:3" x14ac:dyDescent="0.25">
      <c r="B2198" s="141">
        <v>45418</v>
      </c>
      <c r="C2198" s="128">
        <v>73895.539999999994</v>
      </c>
    </row>
    <row r="2199" spans="2:3" x14ac:dyDescent="0.25">
      <c r="B2199" s="141">
        <v>45419</v>
      </c>
      <c r="C2199" s="128">
        <v>73511.850000000006</v>
      </c>
    </row>
    <row r="2200" spans="2:3" x14ac:dyDescent="0.25">
      <c r="B2200" s="141">
        <v>45420</v>
      </c>
      <c r="C2200" s="128">
        <v>73466.39</v>
      </c>
    </row>
    <row r="2201" spans="2:3" x14ac:dyDescent="0.25">
      <c r="B2201" s="141">
        <v>45421</v>
      </c>
      <c r="C2201" s="128">
        <v>72404.17</v>
      </c>
    </row>
    <row r="2202" spans="2:3" x14ac:dyDescent="0.25">
      <c r="B2202" s="141">
        <v>45422</v>
      </c>
      <c r="C2202" s="128">
        <v>72664.47</v>
      </c>
    </row>
    <row r="2203" spans="2:3" x14ac:dyDescent="0.25">
      <c r="B2203" s="141">
        <v>45425</v>
      </c>
      <c r="C2203" s="128">
        <v>72776.13</v>
      </c>
    </row>
    <row r="2204" spans="2:3" x14ac:dyDescent="0.25">
      <c r="B2204" s="141">
        <v>45426</v>
      </c>
      <c r="C2204" s="128">
        <v>73104.61</v>
      </c>
    </row>
    <row r="2205" spans="2:3" x14ac:dyDescent="0.25">
      <c r="B2205" s="141">
        <v>45427</v>
      </c>
      <c r="C2205" s="128">
        <v>72987.03</v>
      </c>
    </row>
    <row r="2206" spans="2:3" x14ac:dyDescent="0.25">
      <c r="B2206" s="141">
        <v>45428</v>
      </c>
      <c r="C2206" s="128">
        <v>73663.72</v>
      </c>
    </row>
    <row r="2207" spans="2:3" x14ac:dyDescent="0.25">
      <c r="B2207" s="141">
        <v>45429</v>
      </c>
      <c r="C2207" s="128">
        <v>73917.03</v>
      </c>
    </row>
    <row r="2208" spans="2:3" x14ac:dyDescent="0.25">
      <c r="B2208" s="141">
        <v>45430</v>
      </c>
      <c r="C2208" s="128">
        <v>74005.94</v>
      </c>
    </row>
    <row r="2209" spans="2:3" x14ac:dyDescent="0.25">
      <c r="B2209" s="141">
        <v>45433</v>
      </c>
      <c r="C2209" s="128">
        <v>73953.31</v>
      </c>
    </row>
    <row r="2210" spans="2:3" x14ac:dyDescent="0.25">
      <c r="B2210" s="141">
        <v>45434</v>
      </c>
      <c r="C2210" s="128">
        <v>74221.06</v>
      </c>
    </row>
    <row r="2211" spans="2:3" x14ac:dyDescent="0.25">
      <c r="B2211" s="141">
        <v>45435</v>
      </c>
      <c r="C2211" s="128">
        <v>75418.039999999994</v>
      </c>
    </row>
    <row r="2212" spans="2:3" x14ac:dyDescent="0.25">
      <c r="B2212" s="141">
        <v>45436</v>
      </c>
      <c r="C2212" s="128">
        <v>75410.39</v>
      </c>
    </row>
    <row r="2213" spans="2:3" x14ac:dyDescent="0.25">
      <c r="B2213" s="141">
        <v>45439</v>
      </c>
      <c r="C2213" s="128">
        <v>75390.5</v>
      </c>
    </row>
    <row r="2214" spans="2:3" x14ac:dyDescent="0.25">
      <c r="B2214" s="141">
        <v>45440</v>
      </c>
      <c r="C2214" s="128">
        <v>75170.45</v>
      </c>
    </row>
    <row r="2215" spans="2:3" x14ac:dyDescent="0.25">
      <c r="B2215" s="141">
        <v>45441</v>
      </c>
      <c r="C2215" s="128">
        <v>74502.899999999994</v>
      </c>
    </row>
    <row r="2216" spans="2:3" x14ac:dyDescent="0.25">
      <c r="B2216" s="141">
        <v>45442</v>
      </c>
      <c r="C2216" s="128">
        <v>73885.600000000006</v>
      </c>
    </row>
    <row r="2217" spans="2:3" x14ac:dyDescent="0.25">
      <c r="B2217" s="141">
        <v>45443</v>
      </c>
      <c r="C2217" s="128">
        <v>73961.31</v>
      </c>
    </row>
    <row r="2218" spans="2:3" x14ac:dyDescent="0.25">
      <c r="B2218" s="141">
        <v>45446</v>
      </c>
      <c r="C2218" s="128">
        <v>76468.78</v>
      </c>
    </row>
    <row r="2219" spans="2:3" x14ac:dyDescent="0.25">
      <c r="B2219" s="141">
        <v>45447</v>
      </c>
      <c r="C2219" s="128">
        <v>72079.05</v>
      </c>
    </row>
    <row r="2220" spans="2:3" x14ac:dyDescent="0.25">
      <c r="B2220" s="141">
        <v>45448</v>
      </c>
      <c r="C2220" s="128">
        <v>74382.240000000005</v>
      </c>
    </row>
    <row r="2221" spans="2:3" x14ac:dyDescent="0.25">
      <c r="B2221" s="141">
        <v>45449</v>
      </c>
      <c r="C2221" s="128">
        <v>75074.509999999995</v>
      </c>
    </row>
    <row r="2222" spans="2:3" x14ac:dyDescent="0.25">
      <c r="B2222" s="141">
        <v>45450</v>
      </c>
      <c r="C2222" s="128">
        <v>76693.36</v>
      </c>
    </row>
    <row r="2223" spans="2:3" x14ac:dyDescent="0.25">
      <c r="B2223" s="141">
        <v>45453</v>
      </c>
      <c r="C2223" s="128">
        <v>76490.080000000002</v>
      </c>
    </row>
    <row r="2224" spans="2:3" x14ac:dyDescent="0.25">
      <c r="B2224" s="141">
        <v>45454</v>
      </c>
      <c r="C2224" s="128">
        <v>76456.59</v>
      </c>
    </row>
    <row r="2225" spans="2:3" x14ac:dyDescent="0.25">
      <c r="B2225" s="141">
        <v>45455</v>
      </c>
      <c r="C2225" s="128">
        <v>76606.570000000007</v>
      </c>
    </row>
    <row r="2226" spans="2:3" x14ac:dyDescent="0.25">
      <c r="B2226" s="141">
        <v>45456</v>
      </c>
      <c r="C2226" s="128">
        <v>76810.899999999994</v>
      </c>
    </row>
    <row r="2227" spans="2:3" x14ac:dyDescent="0.25">
      <c r="B2227" s="141">
        <v>45457</v>
      </c>
      <c r="C2227" s="128">
        <v>76992.77</v>
      </c>
    </row>
    <row r="2228" spans="2:3" x14ac:dyDescent="0.25">
      <c r="B2228" s="141">
        <v>45461</v>
      </c>
      <c r="C2228" s="128">
        <v>77301.14</v>
      </c>
    </row>
    <row r="2229" spans="2:3" x14ac:dyDescent="0.25">
      <c r="B2229" s="141">
        <v>45462</v>
      </c>
      <c r="C2229" s="128">
        <v>77337.59</v>
      </c>
    </row>
    <row r="2230" spans="2:3" x14ac:dyDescent="0.25">
      <c r="B2230" s="141">
        <v>45463</v>
      </c>
      <c r="C2230" s="128">
        <v>77478.929999999993</v>
      </c>
    </row>
    <row r="2231" spans="2:3" x14ac:dyDescent="0.25">
      <c r="B2231" s="141">
        <v>45464</v>
      </c>
      <c r="C2231" s="128">
        <v>77209.899999999994</v>
      </c>
    </row>
    <row r="2232" spans="2:3" x14ac:dyDescent="0.25">
      <c r="B2232" s="141">
        <v>45467</v>
      </c>
      <c r="C2232" s="128">
        <v>77341.08</v>
      </c>
    </row>
    <row r="2233" spans="2:3" x14ac:dyDescent="0.25">
      <c r="B2233" s="141">
        <v>45468</v>
      </c>
      <c r="C2233" s="128">
        <v>78053.52</v>
      </c>
    </row>
    <row r="2234" spans="2:3" x14ac:dyDescent="0.25">
      <c r="B2234" s="141">
        <v>45469</v>
      </c>
      <c r="C2234" s="128">
        <v>78674.25</v>
      </c>
    </row>
    <row r="2235" spans="2:3" x14ac:dyDescent="0.25">
      <c r="B2235" s="141">
        <v>45470</v>
      </c>
      <c r="C2235" s="128">
        <v>79243.179999999993</v>
      </c>
    </row>
    <row r="2236" spans="2:3" x14ac:dyDescent="0.25">
      <c r="B2236" s="141">
        <v>45471</v>
      </c>
      <c r="C2236" s="128">
        <v>79032.73</v>
      </c>
    </row>
    <row r="2237" spans="2:3" x14ac:dyDescent="0.25">
      <c r="B2237" s="141">
        <v>45474</v>
      </c>
      <c r="C2237" s="128">
        <v>79476.19</v>
      </c>
    </row>
    <row r="2238" spans="2:3" x14ac:dyDescent="0.25">
      <c r="B2238" s="141">
        <v>45475</v>
      </c>
      <c r="C2238" s="128">
        <v>79441.45</v>
      </c>
    </row>
    <row r="2239" spans="2:3" x14ac:dyDescent="0.25">
      <c r="B2239" s="141">
        <v>45476</v>
      </c>
      <c r="C2239" s="128">
        <v>79986.8</v>
      </c>
    </row>
    <row r="2240" spans="2:3" x14ac:dyDescent="0.25">
      <c r="B2240" s="141">
        <v>45477</v>
      </c>
      <c r="C2240" s="128">
        <v>80049.67</v>
      </c>
    </row>
    <row r="2241" spans="2:3" x14ac:dyDescent="0.25">
      <c r="B2241" s="141">
        <v>45478</v>
      </c>
      <c r="C2241" s="128">
        <v>79996.600000000006</v>
      </c>
    </row>
    <row r="2242" spans="2:3" x14ac:dyDescent="0.25">
      <c r="B2242" s="141">
        <v>45481</v>
      </c>
      <c r="C2242" s="128">
        <v>79960.38</v>
      </c>
    </row>
    <row r="2243" spans="2:3" x14ac:dyDescent="0.25">
      <c r="B2243" s="141">
        <v>45482</v>
      </c>
      <c r="C2243" s="128">
        <v>80351.64</v>
      </c>
    </row>
    <row r="2244" spans="2:3" x14ac:dyDescent="0.25">
      <c r="B2244" s="141">
        <v>45483</v>
      </c>
      <c r="C2244" s="128">
        <v>79924.77</v>
      </c>
    </row>
    <row r="2245" spans="2:3" x14ac:dyDescent="0.25">
      <c r="B2245" s="141">
        <v>45484</v>
      </c>
      <c r="C2245" s="128">
        <v>79897.34</v>
      </c>
    </row>
    <row r="2246" spans="2:3" x14ac:dyDescent="0.25">
      <c r="B2246" s="141">
        <v>45485</v>
      </c>
      <c r="C2246" s="128">
        <v>80519.34</v>
      </c>
    </row>
    <row r="2247" spans="2:3" x14ac:dyDescent="0.25">
      <c r="B2247" s="141">
        <v>45488</v>
      </c>
      <c r="C2247" s="128">
        <v>80664.86</v>
      </c>
    </row>
    <row r="2248" spans="2:3" x14ac:dyDescent="0.25">
      <c r="B2248" s="141">
        <v>45489</v>
      </c>
      <c r="C2248" s="128">
        <v>80716.55</v>
      </c>
    </row>
    <row r="2249" spans="2:3" x14ac:dyDescent="0.25">
      <c r="B2249" s="141">
        <v>45491</v>
      </c>
      <c r="C2249" s="128">
        <v>81343.460000000006</v>
      </c>
    </row>
    <row r="2250" spans="2:3" x14ac:dyDescent="0.25">
      <c r="B2250" s="141">
        <v>45492</v>
      </c>
      <c r="C2250" s="128">
        <v>80604.649999999994</v>
      </c>
    </row>
    <row r="2251" spans="2:3" x14ac:dyDescent="0.25">
      <c r="B2251" s="141">
        <v>45495</v>
      </c>
      <c r="C2251" s="128">
        <v>80502.080000000002</v>
      </c>
    </row>
    <row r="2252" spans="2:3" x14ac:dyDescent="0.25">
      <c r="B2252" s="141">
        <v>45496</v>
      </c>
      <c r="C2252" s="128">
        <v>80429.039999999994</v>
      </c>
    </row>
    <row r="2253" spans="2:3" x14ac:dyDescent="0.25">
      <c r="B2253" s="141">
        <v>45497</v>
      </c>
      <c r="C2253" s="128">
        <v>80148.88</v>
      </c>
    </row>
    <row r="2254" spans="2:3" x14ac:dyDescent="0.25">
      <c r="B2254" s="141">
        <v>45498</v>
      </c>
      <c r="C2254" s="128">
        <v>80039.8</v>
      </c>
    </row>
    <row r="2255" spans="2:3" x14ac:dyDescent="0.25">
      <c r="B2255" s="141">
        <v>45499</v>
      </c>
      <c r="C2255" s="128">
        <v>81332.72</v>
      </c>
    </row>
    <row r="2256" spans="2:3" x14ac:dyDescent="0.25">
      <c r="B2256" s="141">
        <v>45502</v>
      </c>
      <c r="C2256" s="128">
        <v>81355.839999999997</v>
      </c>
    </row>
    <row r="2257" spans="2:3" x14ac:dyDescent="0.25">
      <c r="B2257" s="141">
        <v>45503</v>
      </c>
      <c r="C2257" s="128">
        <v>81455.399999999994</v>
      </c>
    </row>
    <row r="2258" spans="2:3" x14ac:dyDescent="0.25">
      <c r="B2258" s="141">
        <v>45504</v>
      </c>
      <c r="C2258" s="128">
        <v>81741.34</v>
      </c>
    </row>
    <row r="2259" spans="2:3" x14ac:dyDescent="0.25">
      <c r="B2259" s="141">
        <v>45505</v>
      </c>
      <c r="C2259" s="128">
        <v>81867.55</v>
      </c>
    </row>
    <row r="2260" spans="2:3" x14ac:dyDescent="0.25">
      <c r="B2260" s="141">
        <v>45506</v>
      </c>
      <c r="C2260" s="128">
        <v>80981.95</v>
      </c>
    </row>
    <row r="2261" spans="2:3" x14ac:dyDescent="0.25">
      <c r="B2261" s="141">
        <v>45509</v>
      </c>
      <c r="C2261" s="128">
        <v>78759.399999999994</v>
      </c>
    </row>
    <row r="2262" spans="2:3" x14ac:dyDescent="0.25">
      <c r="B2262" s="141">
        <v>45510</v>
      </c>
      <c r="C2262" s="128">
        <v>78593.070000000007</v>
      </c>
    </row>
    <row r="2263" spans="2:3" x14ac:dyDescent="0.25">
      <c r="B2263" s="141">
        <v>45511</v>
      </c>
      <c r="C2263" s="128">
        <v>79468.009999999995</v>
      </c>
    </row>
    <row r="2264" spans="2:3" x14ac:dyDescent="0.25">
      <c r="B2264" s="141">
        <v>45512</v>
      </c>
      <c r="C2264" s="128">
        <v>78886.22</v>
      </c>
    </row>
    <row r="2265" spans="2:3" x14ac:dyDescent="0.25">
      <c r="B2265" s="141">
        <v>45513</v>
      </c>
      <c r="C2265" s="128">
        <v>79705.91</v>
      </c>
    </row>
    <row r="2266" spans="2:3" x14ac:dyDescent="0.25">
      <c r="B2266" s="141">
        <v>45516</v>
      </c>
      <c r="C2266" s="128">
        <v>79648.92</v>
      </c>
    </row>
    <row r="2267" spans="2:3" x14ac:dyDescent="0.25">
      <c r="B2267" s="141">
        <v>45517</v>
      </c>
      <c r="C2267" s="128">
        <v>78956.03</v>
      </c>
    </row>
    <row r="2268" spans="2:3" x14ac:dyDescent="0.25">
      <c r="B2268" s="141">
        <v>45518</v>
      </c>
      <c r="C2268" s="128">
        <v>79105.88</v>
      </c>
    </row>
    <row r="2269" spans="2:3" x14ac:dyDescent="0.25">
      <c r="B2269" s="141">
        <v>45520</v>
      </c>
      <c r="C2269" s="128">
        <v>80436.84</v>
      </c>
    </row>
    <row r="2270" spans="2:3" x14ac:dyDescent="0.25">
      <c r="B2270" s="141">
        <v>45523</v>
      </c>
      <c r="C2270" s="128">
        <v>80424.679999999993</v>
      </c>
    </row>
    <row r="2271" spans="2:3" x14ac:dyDescent="0.25">
      <c r="B2271" s="141">
        <v>45524</v>
      </c>
      <c r="C2271" s="128">
        <v>80802.86</v>
      </c>
    </row>
    <row r="2272" spans="2:3" x14ac:dyDescent="0.25">
      <c r="B2272" s="141">
        <v>45525</v>
      </c>
      <c r="C2272" s="128">
        <v>80905.3</v>
      </c>
    </row>
    <row r="2273" spans="2:3" x14ac:dyDescent="0.25">
      <c r="B2273" s="141">
        <v>45526</v>
      </c>
      <c r="C2273" s="128">
        <v>81053.19</v>
      </c>
    </row>
    <row r="2274" spans="2:3" x14ac:dyDescent="0.25">
      <c r="B2274" s="141">
        <v>45527</v>
      </c>
      <c r="C2274" s="128">
        <v>81086.210000000006</v>
      </c>
    </row>
    <row r="2275" spans="2:3" x14ac:dyDescent="0.25">
      <c r="B2275" s="141">
        <v>45530</v>
      </c>
      <c r="C2275" s="128">
        <v>81698.11</v>
      </c>
    </row>
    <row r="2276" spans="2:3" x14ac:dyDescent="0.25">
      <c r="B2276" s="141">
        <v>45531</v>
      </c>
      <c r="C2276" s="128">
        <v>81711.759999999995</v>
      </c>
    </row>
    <row r="2277" spans="2:3" x14ac:dyDescent="0.25">
      <c r="B2277" s="141">
        <v>45532</v>
      </c>
      <c r="C2277" s="128">
        <v>81785.56</v>
      </c>
    </row>
    <row r="2278" spans="2:3" x14ac:dyDescent="0.25">
      <c r="B2278" s="141">
        <v>45533</v>
      </c>
      <c r="C2278" s="128">
        <v>82134.61</v>
      </c>
    </row>
    <row r="2279" spans="2:3" x14ac:dyDescent="0.25">
      <c r="B2279" s="141">
        <v>45534</v>
      </c>
      <c r="C2279" s="128">
        <v>82365.77</v>
      </c>
    </row>
    <row r="2280" spans="2:3" x14ac:dyDescent="0.25">
      <c r="B2280" s="141">
        <v>45537</v>
      </c>
      <c r="C2280" s="128">
        <v>82559.839999999997</v>
      </c>
    </row>
    <row r="2281" spans="2:3" x14ac:dyDescent="0.25">
      <c r="B2281" s="141">
        <v>45538</v>
      </c>
      <c r="C2281" s="128">
        <v>82555.44</v>
      </c>
    </row>
    <row r="2282" spans="2:3" x14ac:dyDescent="0.25">
      <c r="B2282" s="141">
        <v>45539</v>
      </c>
      <c r="C2282" s="128">
        <v>82352.639999999999</v>
      </c>
    </row>
    <row r="2283" spans="2:3" x14ac:dyDescent="0.25">
      <c r="B2283" s="141">
        <v>45540</v>
      </c>
      <c r="C2283" s="128">
        <v>82201.16</v>
      </c>
    </row>
    <row r="2284" spans="2:3" x14ac:dyDescent="0.25">
      <c r="B2284" s="141">
        <v>45541</v>
      </c>
      <c r="C2284" s="128">
        <v>81183.929999999993</v>
      </c>
    </row>
    <row r="2285" spans="2:3" x14ac:dyDescent="0.25">
      <c r="B2285" s="141">
        <v>45544</v>
      </c>
      <c r="C2285" s="128">
        <v>81559.539999999994</v>
      </c>
    </row>
    <row r="2286" spans="2:3" x14ac:dyDescent="0.25">
      <c r="B2286" s="141">
        <v>45545</v>
      </c>
      <c r="C2286" s="128">
        <v>81921.289999999994</v>
      </c>
    </row>
    <row r="2287" spans="2:3" x14ac:dyDescent="0.25">
      <c r="B2287" s="141">
        <v>45546</v>
      </c>
      <c r="C2287" s="128">
        <v>81523.16</v>
      </c>
    </row>
    <row r="2288" spans="2:3" x14ac:dyDescent="0.25">
      <c r="B2288" s="141">
        <v>45547</v>
      </c>
      <c r="C2288" s="128">
        <v>82962.710000000006</v>
      </c>
    </row>
    <row r="2289" spans="2:3" x14ac:dyDescent="0.25">
      <c r="B2289" s="141">
        <v>45548</v>
      </c>
      <c r="C2289" s="128">
        <v>82890.94</v>
      </c>
    </row>
    <row r="2290" spans="2:3" x14ac:dyDescent="0.25">
      <c r="B2290" s="141">
        <v>45551</v>
      </c>
      <c r="C2290" s="128">
        <v>82988.78</v>
      </c>
    </row>
    <row r="2291" spans="2:3" x14ac:dyDescent="0.25">
      <c r="B2291" s="141">
        <v>45552</v>
      </c>
      <c r="C2291" s="128">
        <v>83079.66</v>
      </c>
    </row>
    <row r="2292" spans="2:3" x14ac:dyDescent="0.25">
      <c r="B2292" s="141">
        <v>45553</v>
      </c>
      <c r="C2292" s="128">
        <v>82948.23</v>
      </c>
    </row>
    <row r="2293" spans="2:3" x14ac:dyDescent="0.25">
      <c r="B2293" s="141">
        <v>45554</v>
      </c>
      <c r="C2293" s="128">
        <v>83184.800000000003</v>
      </c>
    </row>
    <row r="2294" spans="2:3" x14ac:dyDescent="0.25">
      <c r="B2294" s="141">
        <v>45555</v>
      </c>
      <c r="C2294" s="128">
        <v>84544.31</v>
      </c>
    </row>
    <row r="2295" spans="2:3" x14ac:dyDescent="0.25">
      <c r="B2295" s="141">
        <v>45558</v>
      </c>
      <c r="C2295" s="128">
        <v>84928.61</v>
      </c>
    </row>
    <row r="2296" spans="2:3" x14ac:dyDescent="0.25">
      <c r="B2296" s="141">
        <v>45559</v>
      </c>
      <c r="C2296" s="128">
        <v>84914.04</v>
      </c>
    </row>
    <row r="2297" spans="2:3" x14ac:dyDescent="0.25">
      <c r="B2297" s="141">
        <v>45560</v>
      </c>
      <c r="C2297" s="128">
        <v>85169.87</v>
      </c>
    </row>
    <row r="2298" spans="2:3" x14ac:dyDescent="0.25">
      <c r="B2298" s="141">
        <v>45561</v>
      </c>
      <c r="C2298" s="128">
        <v>85836.12</v>
      </c>
    </row>
    <row r="2299" spans="2:3" x14ac:dyDescent="0.25">
      <c r="B2299" s="141">
        <v>45562</v>
      </c>
      <c r="C2299" s="128">
        <v>85571.85</v>
      </c>
    </row>
    <row r="2300" spans="2:3" x14ac:dyDescent="0.25">
      <c r="B2300" s="141">
        <v>45565</v>
      </c>
      <c r="C2300" s="128">
        <v>84299.78</v>
      </c>
    </row>
    <row r="2301" spans="2:3" x14ac:dyDescent="0.25">
      <c r="B2301" s="141">
        <v>45566</v>
      </c>
      <c r="C2301" s="128">
        <v>84266.29</v>
      </c>
    </row>
    <row r="2302" spans="2:3" x14ac:dyDescent="0.25">
      <c r="B2302" s="141">
        <v>45568</v>
      </c>
      <c r="C2302" s="128">
        <v>82497.100000000006</v>
      </c>
    </row>
    <row r="2303" spans="2:3" x14ac:dyDescent="0.25">
      <c r="B2303" s="141">
        <v>45569</v>
      </c>
      <c r="C2303" s="128">
        <v>81688.45</v>
      </c>
    </row>
    <row r="2304" spans="2:3" x14ac:dyDescent="0.25">
      <c r="B2304" s="141">
        <v>45572</v>
      </c>
      <c r="C2304" s="128">
        <v>81050</v>
      </c>
    </row>
    <row r="2305" spans="2:3" x14ac:dyDescent="0.25">
      <c r="B2305" s="141">
        <v>45573</v>
      </c>
      <c r="C2305" s="128">
        <v>81634.81</v>
      </c>
    </row>
    <row r="2306" spans="2:3" x14ac:dyDescent="0.25">
      <c r="B2306" s="141">
        <v>45574</v>
      </c>
      <c r="C2306" s="128">
        <v>81467.100000000006</v>
      </c>
    </row>
    <row r="2307" spans="2:3" x14ac:dyDescent="0.25">
      <c r="B2307" s="141">
        <v>45575</v>
      </c>
      <c r="C2307" s="128">
        <v>81611.41</v>
      </c>
    </row>
    <row r="2308" spans="2:3" x14ac:dyDescent="0.25">
      <c r="B2308" s="141">
        <v>45576</v>
      </c>
      <c r="C2308" s="128">
        <v>81381.36</v>
      </c>
    </row>
    <row r="2309" spans="2:3" x14ac:dyDescent="0.25">
      <c r="B2309" s="141">
        <v>45579</v>
      </c>
      <c r="C2309" s="128">
        <v>81973.05</v>
      </c>
    </row>
    <row r="2310" spans="2:3" x14ac:dyDescent="0.25">
      <c r="B2310" s="141">
        <v>45580</v>
      </c>
      <c r="C2310" s="128">
        <v>81820.12</v>
      </c>
    </row>
    <row r="2311" spans="2:3" x14ac:dyDescent="0.25">
      <c r="B2311" s="141">
        <v>45581</v>
      </c>
      <c r="C2311" s="128">
        <v>81501.36</v>
      </c>
    </row>
    <row r="2312" spans="2:3" x14ac:dyDescent="0.25">
      <c r="B2312" s="141">
        <v>45582</v>
      </c>
      <c r="C2312" s="128">
        <v>81006.61</v>
      </c>
    </row>
    <row r="2313" spans="2:3" x14ac:dyDescent="0.25">
      <c r="B2313" s="141">
        <v>45583</v>
      </c>
      <c r="C2313" s="128">
        <v>81224.75</v>
      </c>
    </row>
    <row r="2314" spans="2:3" x14ac:dyDescent="0.25">
      <c r="B2314" s="141">
        <v>45586</v>
      </c>
      <c r="C2314" s="128">
        <v>81151.27</v>
      </c>
    </row>
    <row r="2315" spans="2:3" x14ac:dyDescent="0.25">
      <c r="B2315" s="141">
        <v>45587</v>
      </c>
      <c r="C2315" s="128">
        <v>80220.72</v>
      </c>
    </row>
    <row r="2316" spans="2:3" x14ac:dyDescent="0.25">
      <c r="B2316" s="141">
        <v>45588</v>
      </c>
      <c r="C2316" s="128">
        <v>80081.98</v>
      </c>
    </row>
    <row r="2317" spans="2:3" x14ac:dyDescent="0.25">
      <c r="B2317" s="141">
        <v>45589</v>
      </c>
      <c r="C2317" s="128">
        <v>80065.16</v>
      </c>
    </row>
    <row r="2318" spans="2:3" x14ac:dyDescent="0.25">
      <c r="B2318" s="141">
        <v>45590</v>
      </c>
      <c r="C2318" s="128">
        <v>79402.289999999994</v>
      </c>
    </row>
    <row r="2319" spans="2:3" x14ac:dyDescent="0.25">
      <c r="B2319" s="141">
        <v>45593</v>
      </c>
      <c r="C2319" s="128">
        <v>80005.039999999994</v>
      </c>
    </row>
    <row r="2320" spans="2:3" x14ac:dyDescent="0.25">
      <c r="B2320" s="141">
        <v>45594</v>
      </c>
      <c r="C2320" s="128">
        <v>80369.03</v>
      </c>
    </row>
    <row r="2321" spans="2:3" x14ac:dyDescent="0.25">
      <c r="B2321" s="141">
        <v>45595</v>
      </c>
      <c r="C2321" s="128">
        <v>79942.179999999993</v>
      </c>
    </row>
    <row r="2322" spans="2:3" x14ac:dyDescent="0.25">
      <c r="B2322" s="141">
        <v>45596</v>
      </c>
      <c r="C2322" s="128">
        <v>79389.06</v>
      </c>
    </row>
    <row r="2323" spans="2:3" x14ac:dyDescent="0.25">
      <c r="B2323" s="141">
        <v>45597</v>
      </c>
      <c r="C2323" s="128">
        <v>79724.12</v>
      </c>
    </row>
    <row r="2324" spans="2:3" x14ac:dyDescent="0.25">
      <c r="B2324" s="141">
        <v>45600</v>
      </c>
      <c r="C2324" s="128">
        <v>78782.240000000005</v>
      </c>
    </row>
    <row r="2325" spans="2:3" x14ac:dyDescent="0.25">
      <c r="B2325" s="141">
        <v>45601</v>
      </c>
      <c r="C2325" s="128">
        <v>79476.63</v>
      </c>
    </row>
    <row r="2326" spans="2:3" x14ac:dyDescent="0.25">
      <c r="B2326" s="141">
        <v>45602</v>
      </c>
      <c r="C2326" s="128">
        <v>80378.13</v>
      </c>
    </row>
    <row r="2327" spans="2:3" x14ac:dyDescent="0.25">
      <c r="B2327" s="141">
        <v>45603</v>
      </c>
      <c r="C2327" s="128">
        <v>79541.789999999994</v>
      </c>
    </row>
    <row r="2328" spans="2:3" x14ac:dyDescent="0.25">
      <c r="B2328" s="141">
        <v>45604</v>
      </c>
      <c r="C2328" s="128">
        <v>79486.320000000007</v>
      </c>
    </row>
    <row r="2329" spans="2:3" x14ac:dyDescent="0.25">
      <c r="B2329" s="141">
        <v>45607</v>
      </c>
      <c r="C2329" s="128">
        <v>79496.149999999994</v>
      </c>
    </row>
    <row r="2330" spans="2:3" x14ac:dyDescent="0.25">
      <c r="B2330" s="141">
        <v>45608</v>
      </c>
      <c r="C2330" s="128">
        <v>78675.179999999993</v>
      </c>
    </row>
    <row r="2331" spans="2:3" x14ac:dyDescent="0.25">
      <c r="B2331" s="141">
        <v>45609</v>
      </c>
      <c r="C2331" s="128">
        <v>77690.95</v>
      </c>
    </row>
    <row r="2332" spans="2:3" x14ac:dyDescent="0.25">
      <c r="B2332" s="141">
        <v>45610</v>
      </c>
      <c r="C2332" s="128">
        <v>77580.31</v>
      </c>
    </row>
    <row r="2333" spans="2:3" x14ac:dyDescent="0.25">
      <c r="B2333" s="141">
        <v>45614</v>
      </c>
      <c r="C2333" s="128">
        <v>77339.009999999995</v>
      </c>
    </row>
    <row r="2334" spans="2:3" x14ac:dyDescent="0.25">
      <c r="B2334" s="141">
        <v>45615</v>
      </c>
      <c r="C2334" s="128">
        <v>77578.38</v>
      </c>
    </row>
    <row r="2335" spans="2:3" x14ac:dyDescent="0.25">
      <c r="B2335" s="141">
        <v>45617</v>
      </c>
      <c r="C2335" s="128">
        <v>77155.789999999994</v>
      </c>
    </row>
    <row r="2336" spans="2:3" x14ac:dyDescent="0.25">
      <c r="B2336" s="141">
        <v>45618</v>
      </c>
      <c r="C2336" s="128">
        <v>79117.11</v>
      </c>
    </row>
    <row r="2337" spans="2:3" x14ac:dyDescent="0.25">
      <c r="B2337" s="141">
        <v>45621</v>
      </c>
      <c r="C2337" s="128">
        <v>80109.850000000006</v>
      </c>
    </row>
    <row r="2338" spans="2:3" x14ac:dyDescent="0.25">
      <c r="B2338" s="141">
        <v>45622</v>
      </c>
      <c r="C2338" s="128">
        <v>80004.06</v>
      </c>
    </row>
    <row r="2339" spans="2:3" x14ac:dyDescent="0.25">
      <c r="B2339" s="141">
        <v>45623</v>
      </c>
      <c r="C2339" s="128">
        <v>80234.080000000002</v>
      </c>
    </row>
    <row r="2340" spans="2:3" x14ac:dyDescent="0.25">
      <c r="B2340" s="141">
        <v>45624</v>
      </c>
      <c r="C2340" s="128">
        <v>79043.740000000005</v>
      </c>
    </row>
    <row r="2341" spans="2:3" x14ac:dyDescent="0.25">
      <c r="B2341" s="141">
        <v>45625</v>
      </c>
      <c r="C2341" s="128">
        <v>79802.789999999994</v>
      </c>
    </row>
    <row r="2342" spans="2:3" x14ac:dyDescent="0.25">
      <c r="B2342" s="141">
        <v>45628</v>
      </c>
      <c r="C2342" s="128">
        <v>80248.08</v>
      </c>
    </row>
    <row r="2343" spans="2:3" x14ac:dyDescent="0.25">
      <c r="B2343" s="141">
        <v>45629</v>
      </c>
      <c r="C2343" s="128">
        <v>80845.75</v>
      </c>
    </row>
    <row r="2344" spans="2:3" x14ac:dyDescent="0.25">
      <c r="B2344" s="141">
        <v>45630</v>
      </c>
      <c r="C2344" s="128">
        <v>80956.33</v>
      </c>
    </row>
    <row r="2345" spans="2:3" x14ac:dyDescent="0.25">
      <c r="B2345" s="141">
        <v>45631</v>
      </c>
      <c r="C2345" s="128">
        <v>81765.86</v>
      </c>
    </row>
    <row r="2346" spans="2:3" x14ac:dyDescent="0.25">
      <c r="B2346" s="141">
        <v>45632</v>
      </c>
      <c r="C2346" s="128">
        <v>81709.119999999995</v>
      </c>
    </row>
    <row r="2347" spans="2:3" x14ac:dyDescent="0.25">
      <c r="B2347" s="141">
        <v>45635</v>
      </c>
      <c r="C2347" s="128">
        <v>81508.460000000006</v>
      </c>
    </row>
    <row r="2348" spans="2:3" x14ac:dyDescent="0.25">
      <c r="B2348" s="141">
        <v>45636</v>
      </c>
      <c r="C2348" s="128">
        <v>81510.05</v>
      </c>
    </row>
    <row r="2349" spans="2:3" x14ac:dyDescent="0.25">
      <c r="B2349" s="141">
        <v>45637</v>
      </c>
      <c r="C2349" s="128">
        <v>81526.14</v>
      </c>
    </row>
    <row r="2350" spans="2:3" x14ac:dyDescent="0.25">
      <c r="B2350" s="141">
        <v>45638</v>
      </c>
      <c r="C2350" s="128">
        <v>81289.960000000006</v>
      </c>
    </row>
    <row r="2351" spans="2:3" x14ac:dyDescent="0.25">
      <c r="B2351" s="141">
        <v>45639</v>
      </c>
      <c r="C2351" s="128">
        <v>82133.119999999995</v>
      </c>
    </row>
    <row r="2352" spans="2:3" x14ac:dyDescent="0.25">
      <c r="B2352" s="141">
        <v>45642</v>
      </c>
      <c r="C2352" s="128">
        <v>81748.570000000007</v>
      </c>
    </row>
    <row r="2353" spans="2:3" x14ac:dyDescent="0.25">
      <c r="B2353" s="141">
        <v>45643</v>
      </c>
      <c r="C2353" s="128">
        <v>80684.45</v>
      </c>
    </row>
    <row r="2354" spans="2:3" x14ac:dyDescent="0.25">
      <c r="B2354" s="141">
        <v>45644</v>
      </c>
      <c r="C2354" s="128">
        <v>80182.2</v>
      </c>
    </row>
    <row r="2355" spans="2:3" x14ac:dyDescent="0.25">
      <c r="B2355" s="141">
        <v>45645</v>
      </c>
      <c r="C2355" s="128">
        <v>79218.05</v>
      </c>
    </row>
    <row r="2356" spans="2:3" x14ac:dyDescent="0.25">
      <c r="B2356" s="141">
        <v>45646</v>
      </c>
      <c r="C2356" s="128">
        <v>78041.59</v>
      </c>
    </row>
    <row r="2357" spans="2:3" x14ac:dyDescent="0.25">
      <c r="B2357" s="141">
        <v>45649</v>
      </c>
      <c r="C2357" s="128">
        <v>78540.17</v>
      </c>
    </row>
    <row r="2358" spans="2:3" x14ac:dyDescent="0.25">
      <c r="B2358" s="141">
        <v>45650</v>
      </c>
      <c r="C2358" s="128">
        <v>78472.87</v>
      </c>
    </row>
    <row r="2359" spans="2:3" x14ac:dyDescent="0.25">
      <c r="B2359" s="141">
        <v>45652</v>
      </c>
      <c r="C2359" s="128">
        <v>78472.479999999996</v>
      </c>
    </row>
    <row r="2360" spans="2:3" x14ac:dyDescent="0.25">
      <c r="B2360" s="141">
        <v>45653</v>
      </c>
      <c r="C2360" s="128">
        <v>78699.070000000007</v>
      </c>
    </row>
    <row r="2361" spans="2:3" x14ac:dyDescent="0.25">
      <c r="B2361" s="141">
        <v>45656</v>
      </c>
      <c r="C2361" s="128">
        <v>78248.13</v>
      </c>
    </row>
    <row r="2362" spans="2:3" x14ac:dyDescent="0.25">
      <c r="B2362" s="141">
        <v>45657</v>
      </c>
      <c r="C2362" s="128">
        <v>78139.009999999995</v>
      </c>
    </row>
    <row r="2363" spans="2:3" x14ac:dyDescent="0.25">
      <c r="B2363" s="141">
        <v>45658</v>
      </c>
      <c r="C2363" s="128">
        <v>78507.41</v>
      </c>
    </row>
    <row r="2364" spans="2:3" x14ac:dyDescent="0.25">
      <c r="B2364" s="141">
        <v>45659</v>
      </c>
      <c r="C2364" s="128">
        <v>79943.710000000006</v>
      </c>
    </row>
    <row r="2365" spans="2:3" x14ac:dyDescent="0.25">
      <c r="B2365" s="141">
        <v>45660</v>
      </c>
      <c r="C2365" s="128">
        <v>79223.11</v>
      </c>
    </row>
    <row r="2366" spans="2:3" x14ac:dyDescent="0.25">
      <c r="B2366" s="141">
        <v>45663</v>
      </c>
      <c r="C2366" s="128">
        <v>77964.990000000005</v>
      </c>
    </row>
    <row r="2367" spans="2:3" x14ac:dyDescent="0.25">
      <c r="B2367" s="141">
        <v>45664</v>
      </c>
      <c r="C2367" s="128">
        <v>78199.11</v>
      </c>
    </row>
    <row r="2368" spans="2:3" x14ac:dyDescent="0.25">
      <c r="B2368" s="141">
        <v>45665</v>
      </c>
      <c r="C2368" s="128">
        <v>78148.490000000005</v>
      </c>
    </row>
    <row r="2369" spans="2:3" x14ac:dyDescent="0.25">
      <c r="B2369" s="141">
        <v>45666</v>
      </c>
      <c r="C2369" s="128">
        <v>77620.210000000006</v>
      </c>
    </row>
    <row r="2370" spans="2:3" x14ac:dyDescent="0.25">
      <c r="B2370" s="141">
        <v>45667</v>
      </c>
      <c r="C2370" s="128">
        <v>77378.91</v>
      </c>
    </row>
    <row r="2371" spans="2:3" x14ac:dyDescent="0.25">
      <c r="B2371" s="141">
        <v>45670</v>
      </c>
      <c r="C2371" s="128">
        <v>76330.009999999995</v>
      </c>
    </row>
    <row r="2372" spans="2:3" x14ac:dyDescent="0.25">
      <c r="B2372" s="141">
        <v>45671</v>
      </c>
      <c r="C2372" s="128">
        <v>76499.63</v>
      </c>
    </row>
    <row r="2373" spans="2:3" x14ac:dyDescent="0.25">
      <c r="B2373" s="141">
        <v>45672</v>
      </c>
      <c r="C2373" s="128">
        <v>76724.08</v>
      </c>
    </row>
    <row r="2374" spans="2:3" x14ac:dyDescent="0.25">
      <c r="B2374" s="141">
        <v>45673</v>
      </c>
      <c r="C2374" s="128">
        <v>77042.820000000007</v>
      </c>
    </row>
    <row r="2375" spans="2:3" x14ac:dyDescent="0.25">
      <c r="B2375" s="141">
        <v>45674</v>
      </c>
      <c r="C2375" s="128">
        <v>76619.33</v>
      </c>
    </row>
    <row r="2376" spans="2:3" x14ac:dyDescent="0.25">
      <c r="B2376" s="141">
        <v>45677</v>
      </c>
      <c r="C2376" s="128">
        <v>77073.440000000002</v>
      </c>
    </row>
    <row r="2377" spans="2:3" x14ac:dyDescent="0.25">
      <c r="B2377" s="141">
        <v>45678</v>
      </c>
      <c r="C2377" s="128">
        <v>75838.36</v>
      </c>
    </row>
    <row r="2378" spans="2:3" x14ac:dyDescent="0.25">
      <c r="B2378" s="141">
        <v>45679</v>
      </c>
      <c r="C2378" s="128">
        <v>76404.990000000005</v>
      </c>
    </row>
    <row r="2379" spans="2:3" x14ac:dyDescent="0.25">
      <c r="B2379" s="141">
        <v>45680</v>
      </c>
      <c r="C2379" s="128">
        <v>76520.38</v>
      </c>
    </row>
    <row r="2380" spans="2:3" x14ac:dyDescent="0.25">
      <c r="B2380" s="141">
        <v>45681</v>
      </c>
      <c r="C2380" s="128">
        <v>76190.460000000006</v>
      </c>
    </row>
    <row r="2381" spans="2:3" x14ac:dyDescent="0.25">
      <c r="B2381" s="141">
        <v>45684</v>
      </c>
      <c r="C2381" s="128">
        <v>75366.17</v>
      </c>
    </row>
    <row r="2382" spans="2:3" x14ac:dyDescent="0.25">
      <c r="B2382" s="141">
        <v>45685</v>
      </c>
      <c r="C2382" s="128">
        <v>75901.41</v>
      </c>
    </row>
    <row r="2383" spans="2:3" x14ac:dyDescent="0.25">
      <c r="B2383" s="141">
        <v>45686</v>
      </c>
      <c r="C2383" s="128">
        <v>76532.960000000006</v>
      </c>
    </row>
    <row r="2384" spans="2:3" x14ac:dyDescent="0.25">
      <c r="B2384" s="141">
        <v>45687</v>
      </c>
      <c r="C2384" s="128">
        <v>76759.81</v>
      </c>
    </row>
    <row r="2385" spans="2:3" x14ac:dyDescent="0.25">
      <c r="B2385" s="141">
        <v>45688</v>
      </c>
      <c r="C2385" s="128">
        <v>77500.570000000007</v>
      </c>
    </row>
    <row r="2386" spans="2:3" x14ac:dyDescent="0.25">
      <c r="B2386" s="141">
        <v>45689</v>
      </c>
      <c r="C2386" s="128">
        <v>77505.960000000006</v>
      </c>
    </row>
    <row r="2387" spans="2:3" x14ac:dyDescent="0.25">
      <c r="B2387" s="141">
        <v>45691</v>
      </c>
      <c r="C2387" s="128">
        <v>77186.740000000005</v>
      </c>
    </row>
    <row r="2388" spans="2:3" x14ac:dyDescent="0.25">
      <c r="B2388" s="141">
        <v>45692</v>
      </c>
      <c r="C2388" s="128">
        <v>78583.81</v>
      </c>
    </row>
    <row r="2389" spans="2:3" x14ac:dyDescent="0.25">
      <c r="B2389" s="141">
        <v>45693</v>
      </c>
      <c r="C2389" s="128">
        <v>78271.28</v>
      </c>
    </row>
    <row r="2390" spans="2:3" x14ac:dyDescent="0.25">
      <c r="B2390" s="141">
        <v>45694</v>
      </c>
      <c r="C2390" s="128">
        <v>78058.16</v>
      </c>
    </row>
    <row r="2391" spans="2:3" x14ac:dyDescent="0.25">
      <c r="B2391" s="141">
        <v>45695</v>
      </c>
      <c r="C2391" s="128">
        <v>77860.19</v>
      </c>
    </row>
    <row r="2392" spans="2:3" x14ac:dyDescent="0.25">
      <c r="B2392" s="141">
        <v>45698</v>
      </c>
      <c r="C2392" s="128">
        <v>77311.8</v>
      </c>
    </row>
    <row r="2393" spans="2:3" x14ac:dyDescent="0.25">
      <c r="B2393" s="141">
        <v>45699</v>
      </c>
      <c r="C2393" s="128">
        <v>76293.600000000006</v>
      </c>
    </row>
    <row r="2394" spans="2:3" x14ac:dyDescent="0.25">
      <c r="B2394" s="141">
        <v>45700</v>
      </c>
      <c r="C2394" s="128">
        <v>76171.08</v>
      </c>
    </row>
    <row r="2395" spans="2:3" x14ac:dyDescent="0.25">
      <c r="B2395" s="141">
        <v>45701</v>
      </c>
      <c r="C2395" s="128">
        <v>76138.97</v>
      </c>
    </row>
    <row r="2396" spans="2:3" x14ac:dyDescent="0.25">
      <c r="B2396" s="141">
        <v>45702</v>
      </c>
      <c r="C2396" s="128">
        <v>75939.210000000006</v>
      </c>
    </row>
    <row r="2397" spans="2:3" x14ac:dyDescent="0.25">
      <c r="B2397" s="141">
        <v>45705</v>
      </c>
      <c r="C2397" s="128">
        <v>75996.86</v>
      </c>
    </row>
    <row r="2398" spans="2:3" x14ac:dyDescent="0.25">
      <c r="B2398" s="141">
        <v>45706</v>
      </c>
      <c r="C2398" s="128">
        <v>75967.39</v>
      </c>
    </row>
    <row r="2399" spans="2:3" x14ac:dyDescent="0.25">
      <c r="B2399" s="141">
        <v>45707</v>
      </c>
      <c r="C2399" s="128">
        <v>75939.179999999993</v>
      </c>
    </row>
    <row r="2400" spans="2:3" x14ac:dyDescent="0.25">
      <c r="B2400" s="141">
        <v>45708</v>
      </c>
      <c r="C2400" s="128">
        <v>75735.960000000006</v>
      </c>
    </row>
    <row r="2401" spans="2:3" x14ac:dyDescent="0.25">
      <c r="B2401" s="141">
        <v>45709</v>
      </c>
      <c r="C2401" s="128">
        <v>75311.06</v>
      </c>
    </row>
    <row r="2402" spans="2:3" x14ac:dyDescent="0.25">
      <c r="B2402" s="141">
        <v>45712</v>
      </c>
      <c r="C2402" s="128">
        <v>74454.41</v>
      </c>
    </row>
    <row r="2403" spans="2:3" x14ac:dyDescent="0.25">
      <c r="B2403" s="141">
        <v>45713</v>
      </c>
      <c r="C2403" s="128">
        <v>74602.12</v>
      </c>
    </row>
    <row r="2404" spans="2:3" x14ac:dyDescent="0.25">
      <c r="B2404" s="141">
        <v>45715</v>
      </c>
      <c r="C2404" s="128">
        <v>74612.429999999993</v>
      </c>
    </row>
    <row r="2405" spans="2:3" x14ac:dyDescent="0.25">
      <c r="B2405" s="141">
        <v>45716</v>
      </c>
      <c r="C2405" s="128">
        <v>73198.100000000006</v>
      </c>
    </row>
    <row r="2406" spans="2:3" x14ac:dyDescent="0.25">
      <c r="B2406" s="141">
        <v>45719</v>
      </c>
      <c r="C2406" s="128">
        <v>73085.94</v>
      </c>
    </row>
    <row r="2407" spans="2:3" x14ac:dyDescent="0.25">
      <c r="B2407" s="141">
        <v>45720</v>
      </c>
      <c r="C2407" s="128">
        <v>72989.929999999993</v>
      </c>
    </row>
    <row r="2408" spans="2:3" x14ac:dyDescent="0.25">
      <c r="B2408" s="141">
        <v>45721</v>
      </c>
      <c r="C2408" s="128">
        <v>73730.23</v>
      </c>
    </row>
    <row r="2409" spans="2:3" x14ac:dyDescent="0.25">
      <c r="B2409" s="141">
        <v>45722</v>
      </c>
      <c r="C2409" s="128">
        <v>74340.09</v>
      </c>
    </row>
    <row r="2410" spans="2:3" x14ac:dyDescent="0.25">
      <c r="B2410" s="141">
        <v>45723</v>
      </c>
      <c r="C2410" s="128">
        <v>74332.58</v>
      </c>
    </row>
    <row r="2411" spans="2:3" x14ac:dyDescent="0.25">
      <c r="B2411" s="141">
        <v>45726</v>
      </c>
      <c r="C2411" s="128">
        <v>74115.17</v>
      </c>
    </row>
    <row r="2412" spans="2:3" x14ac:dyDescent="0.25">
      <c r="B2412" s="141">
        <v>45727</v>
      </c>
      <c r="C2412" s="128">
        <v>74102.320000000007</v>
      </c>
    </row>
    <row r="2413" spans="2:3" x14ac:dyDescent="0.25">
      <c r="B2413" s="141">
        <v>45728</v>
      </c>
      <c r="C2413" s="128">
        <v>74029.759999999995</v>
      </c>
    </row>
    <row r="2414" spans="2:3" x14ac:dyDescent="0.25">
      <c r="B2414" s="141">
        <v>45729</v>
      </c>
      <c r="C2414" s="128">
        <v>73828.91</v>
      </c>
    </row>
    <row r="2415" spans="2:3" x14ac:dyDescent="0.25">
      <c r="B2415" s="141">
        <v>45733</v>
      </c>
      <c r="C2415" s="128">
        <v>74169.95</v>
      </c>
    </row>
    <row r="2416" spans="2:3" x14ac:dyDescent="0.25">
      <c r="B2416" s="141">
        <v>45734</v>
      </c>
      <c r="C2416" s="128">
        <v>75301.259999999995</v>
      </c>
    </row>
    <row r="2417" spans="2:3" x14ac:dyDescent="0.25">
      <c r="B2417" s="141">
        <v>45735</v>
      </c>
      <c r="C2417" s="128">
        <v>75449.05</v>
      </c>
    </row>
    <row r="2418" spans="2:3" x14ac:dyDescent="0.25">
      <c r="B2418" s="141">
        <v>45736</v>
      </c>
      <c r="C2418" s="128">
        <v>76348.06</v>
      </c>
    </row>
    <row r="2419" spans="2:3" x14ac:dyDescent="0.25">
      <c r="B2419" s="141">
        <v>45737</v>
      </c>
      <c r="C2419" s="128">
        <v>76905.509999999995</v>
      </c>
    </row>
    <row r="2420" spans="2:3" x14ac:dyDescent="0.25">
      <c r="B2420" s="141">
        <v>45740</v>
      </c>
      <c r="C2420" s="128">
        <v>77984.38</v>
      </c>
    </row>
    <row r="2421" spans="2:3" x14ac:dyDescent="0.25">
      <c r="B2421" s="141">
        <v>45741</v>
      </c>
      <c r="C2421" s="128">
        <v>78017.19</v>
      </c>
    </row>
    <row r="2422" spans="2:3" x14ac:dyDescent="0.25">
      <c r="B2422" s="141">
        <v>45742</v>
      </c>
      <c r="C2422" s="128">
        <v>77288.5</v>
      </c>
    </row>
    <row r="2423" spans="2:3" x14ac:dyDescent="0.25">
      <c r="B2423" s="141">
        <v>45743</v>
      </c>
      <c r="C2423" s="128">
        <v>77606.429999999993</v>
      </c>
    </row>
    <row r="2424" spans="2:3" x14ac:dyDescent="0.25">
      <c r="B2424" s="141">
        <v>45744</v>
      </c>
      <c r="C2424" s="128">
        <v>77414.92</v>
      </c>
    </row>
    <row r="2425" spans="2:3" x14ac:dyDescent="0.25">
      <c r="B2425" s="141">
        <v>45748</v>
      </c>
      <c r="C2425" s="128">
        <v>76024.509999999995</v>
      </c>
    </row>
    <row r="2426" spans="2:3" x14ac:dyDescent="0.25">
      <c r="B2426" s="141">
        <v>45749</v>
      </c>
      <c r="C2426" s="128">
        <v>76617.440000000002</v>
      </c>
    </row>
    <row r="2427" spans="2:3" x14ac:dyDescent="0.25">
      <c r="B2427" s="141">
        <v>45750</v>
      </c>
      <c r="C2427" s="128">
        <v>76295.360000000001</v>
      </c>
    </row>
    <row r="2428" spans="2:3" x14ac:dyDescent="0.25">
      <c r="B2428" s="141">
        <v>45751</v>
      </c>
      <c r="C2428" s="128">
        <v>75364.69</v>
      </c>
    </row>
    <row r="2429" spans="2:3" x14ac:dyDescent="0.25">
      <c r="B2429" s="141">
        <v>45754</v>
      </c>
      <c r="C2429" s="128">
        <v>73137.899999999994</v>
      </c>
    </row>
    <row r="2430" spans="2:3" x14ac:dyDescent="0.25">
      <c r="B2430" s="141">
        <v>45755</v>
      </c>
      <c r="C2430" s="128">
        <v>74227.08</v>
      </c>
    </row>
    <row r="2431" spans="2:3" x14ac:dyDescent="0.25">
      <c r="B2431" s="141">
        <v>45756</v>
      </c>
      <c r="C2431" s="128">
        <v>73847.149999999994</v>
      </c>
    </row>
    <row r="2432" spans="2:3" x14ac:dyDescent="0.25">
      <c r="B2432" s="141">
        <v>45758</v>
      </c>
      <c r="C2432" s="128">
        <v>75157.259999999995</v>
      </c>
    </row>
    <row r="2433" spans="2:3" x14ac:dyDescent="0.25">
      <c r="B2433" s="141">
        <v>45762</v>
      </c>
      <c r="C2433" s="128">
        <v>76734.89</v>
      </c>
    </row>
    <row r="2434" spans="2:3" x14ac:dyDescent="0.25">
      <c r="B2434" s="141">
        <v>45763</v>
      </c>
      <c r="C2434" s="128">
        <v>77044.289999999994</v>
      </c>
    </row>
    <row r="2435" spans="2:3" x14ac:dyDescent="0.25">
      <c r="B2435" s="141">
        <v>45764</v>
      </c>
      <c r="C2435" s="128">
        <v>78553.2</v>
      </c>
    </row>
    <row r="2436" spans="2:3" x14ac:dyDescent="0.25">
      <c r="B2436" s="141">
        <v>45768</v>
      </c>
      <c r="C2436" s="128">
        <v>79408.5</v>
      </c>
    </row>
    <row r="2437" spans="2:3" x14ac:dyDescent="0.25">
      <c r="B2437" s="141">
        <v>45769</v>
      </c>
      <c r="C2437" s="128">
        <v>79595.59</v>
      </c>
    </row>
    <row r="2438" spans="2:3" x14ac:dyDescent="0.25">
      <c r="B2438" s="141">
        <v>45770</v>
      </c>
      <c r="C2438" s="128">
        <v>80116.490000000005</v>
      </c>
    </row>
    <row r="2439" spans="2:3" x14ac:dyDescent="0.25">
      <c r="B2439" s="141">
        <v>45771</v>
      </c>
      <c r="C2439" s="128">
        <v>79801.429999999993</v>
      </c>
    </row>
    <row r="2440" spans="2:3" x14ac:dyDescent="0.25">
      <c r="B2440" s="141">
        <v>45772</v>
      </c>
      <c r="C2440" s="128">
        <v>79212.53</v>
      </c>
    </row>
    <row r="2441" spans="2:3" x14ac:dyDescent="0.25">
      <c r="B2441" s="141">
        <v>45775</v>
      </c>
      <c r="C2441" s="128">
        <v>80218.37</v>
      </c>
    </row>
    <row r="2442" spans="2:3" x14ac:dyDescent="0.25">
      <c r="B2442" s="141">
        <v>45776</v>
      </c>
      <c r="C2442" s="128">
        <v>80288.38</v>
      </c>
    </row>
    <row r="2443" spans="2:3" x14ac:dyDescent="0.25">
      <c r="B2443" s="141">
        <v>45777</v>
      </c>
      <c r="C2443" s="128">
        <v>80242.240000000005</v>
      </c>
    </row>
    <row r="2444" spans="2:3" x14ac:dyDescent="0.25">
      <c r="B2444" s="141">
        <v>45779</v>
      </c>
      <c r="C2444" s="128">
        <v>80501.990000000005</v>
      </c>
    </row>
    <row r="2445" spans="2:3" x14ac:dyDescent="0.25">
      <c r="B2445" s="141">
        <v>45782</v>
      </c>
      <c r="C2445" s="128">
        <v>80796.84</v>
      </c>
    </row>
    <row r="2446" spans="2:3" x14ac:dyDescent="0.25">
      <c r="B2446" s="141">
        <v>45783</v>
      </c>
      <c r="C2446" s="128">
        <v>80641.070000000007</v>
      </c>
    </row>
    <row r="2447" spans="2:3" x14ac:dyDescent="0.25">
      <c r="B2447" s="141">
        <v>45784</v>
      </c>
      <c r="C2447" s="128">
        <v>80746.78</v>
      </c>
    </row>
    <row r="2448" spans="2:3" x14ac:dyDescent="0.25">
      <c r="B2448" s="141">
        <v>45785</v>
      </c>
      <c r="C2448" s="128">
        <v>80334.81</v>
      </c>
    </row>
    <row r="2449" spans="2:3" x14ac:dyDescent="0.25">
      <c r="B2449" s="141">
        <v>45786</v>
      </c>
      <c r="C2449" s="128">
        <v>79454.47</v>
      </c>
    </row>
    <row r="2450" spans="2:3" x14ac:dyDescent="0.25">
      <c r="B2450" s="141">
        <v>45789</v>
      </c>
      <c r="C2450" s="128">
        <v>82429.899999999994</v>
      </c>
    </row>
    <row r="2451" spans="2:3" x14ac:dyDescent="0.25">
      <c r="B2451" s="141">
        <v>45790</v>
      </c>
      <c r="C2451" s="128">
        <v>81148.22</v>
      </c>
    </row>
    <row r="2452" spans="2:3" x14ac:dyDescent="0.25">
      <c r="B2452" s="141">
        <v>45791</v>
      </c>
      <c r="C2452" s="128">
        <v>81330.559999999998</v>
      </c>
    </row>
    <row r="2453" spans="2:3" x14ac:dyDescent="0.25">
      <c r="B2453" s="141">
        <v>45792</v>
      </c>
      <c r="C2453" s="128">
        <v>82530.740000000005</v>
      </c>
    </row>
    <row r="2454" spans="2:3" x14ac:dyDescent="0.25">
      <c r="B2454" s="141">
        <v>45793</v>
      </c>
      <c r="C2454" s="128">
        <v>82330.59</v>
      </c>
    </row>
    <row r="2455" spans="2:3" x14ac:dyDescent="0.25">
      <c r="B2455" s="141">
        <v>45796</v>
      </c>
      <c r="C2455" s="128">
        <v>82059.42</v>
      </c>
    </row>
    <row r="2456" spans="2:3" x14ac:dyDescent="0.25">
      <c r="B2456" s="141">
        <v>45797</v>
      </c>
      <c r="C2456" s="128">
        <v>81186.44</v>
      </c>
    </row>
    <row r="2457" spans="2:3" x14ac:dyDescent="0.25">
      <c r="B2457" s="141">
        <v>45798</v>
      </c>
      <c r="C2457" s="128">
        <v>81596.63</v>
      </c>
    </row>
    <row r="2458" spans="2:3" x14ac:dyDescent="0.25">
      <c r="B2458" s="141">
        <v>45799</v>
      </c>
      <c r="C2458" s="128">
        <v>80951.990000000005</v>
      </c>
    </row>
    <row r="2459" spans="2:3" x14ac:dyDescent="0.25">
      <c r="B2459" s="141">
        <v>45800</v>
      </c>
      <c r="C2459" s="128">
        <v>81721.08</v>
      </c>
    </row>
    <row r="2460" spans="2:3" x14ac:dyDescent="0.25">
      <c r="B2460" s="141">
        <v>45803</v>
      </c>
      <c r="C2460" s="128">
        <v>82176.45</v>
      </c>
    </row>
    <row r="2461" spans="2:3" x14ac:dyDescent="0.25">
      <c r="B2461" s="141">
        <v>45804</v>
      </c>
      <c r="C2461" s="128">
        <v>81551.63</v>
      </c>
    </row>
    <row r="2462" spans="2:3" x14ac:dyDescent="0.25">
      <c r="B2462" s="141">
        <v>45805</v>
      </c>
      <c r="C2462" s="128">
        <v>81312.320000000007</v>
      </c>
    </row>
    <row r="2463" spans="2:3" x14ac:dyDescent="0.25">
      <c r="B2463" s="141">
        <v>45806</v>
      </c>
      <c r="C2463" s="128">
        <v>81633.02</v>
      </c>
    </row>
    <row r="2464" spans="2:3" x14ac:dyDescent="0.25">
      <c r="B2464" s="141">
        <v>45807</v>
      </c>
      <c r="C2464" s="128">
        <v>81451.009999999995</v>
      </c>
    </row>
    <row r="2465" spans="2:3" x14ac:dyDescent="0.25">
      <c r="B2465" s="141">
        <v>45810</v>
      </c>
      <c r="C2465" s="128">
        <v>81373.75</v>
      </c>
    </row>
    <row r="2466" spans="2:3" x14ac:dyDescent="0.25">
      <c r="B2466" s="141">
        <v>45811</v>
      </c>
      <c r="C2466" s="128">
        <v>80737.509999999995</v>
      </c>
    </row>
    <row r="2467" spans="2:3" x14ac:dyDescent="0.25">
      <c r="B2467" s="141">
        <v>45812</v>
      </c>
      <c r="C2467" s="128">
        <v>80998.25</v>
      </c>
    </row>
    <row r="2468" spans="2:3" x14ac:dyDescent="0.25">
      <c r="B2468" s="141">
        <v>45813</v>
      </c>
      <c r="C2468" s="128">
        <v>81442.039999999994</v>
      </c>
    </row>
    <row r="2469" spans="2:3" x14ac:dyDescent="0.25">
      <c r="B2469" s="141">
        <v>45814</v>
      </c>
      <c r="C2469" s="128">
        <v>82188.990000000005</v>
      </c>
    </row>
    <row r="2470" spans="2:3" x14ac:dyDescent="0.25">
      <c r="B2470" s="141">
        <v>45817</v>
      </c>
      <c r="C2470" s="128">
        <v>82445.210000000006</v>
      </c>
    </row>
    <row r="2471" spans="2:3" x14ac:dyDescent="0.25">
      <c r="B2471" s="141">
        <v>45818</v>
      </c>
      <c r="C2471" s="128">
        <v>82391.72</v>
      </c>
    </row>
    <row r="2472" spans="2:3" x14ac:dyDescent="0.25">
      <c r="B2472" s="141">
        <v>45819</v>
      </c>
      <c r="C2472" s="128">
        <v>82515.14</v>
      </c>
    </row>
    <row r="2473" spans="2:3" x14ac:dyDescent="0.25">
      <c r="B2473" s="141">
        <v>45820</v>
      </c>
      <c r="C2473" s="128">
        <v>81691.98</v>
      </c>
    </row>
    <row r="2474" spans="2:3" x14ac:dyDescent="0.25">
      <c r="B2474" s="141">
        <v>45821</v>
      </c>
      <c r="C2474" s="128">
        <v>81118.600000000006</v>
      </c>
    </row>
    <row r="2475" spans="2:3" x14ac:dyDescent="0.25">
      <c r="B2475" s="141">
        <v>45824</v>
      </c>
      <c r="C2475" s="128">
        <v>81796.149999999994</v>
      </c>
    </row>
    <row r="2476" spans="2:3" x14ac:dyDescent="0.25">
      <c r="B2476" s="141">
        <v>45825</v>
      </c>
      <c r="C2476" s="128">
        <v>81583.3</v>
      </c>
    </row>
    <row r="2477" spans="2:3" x14ac:dyDescent="0.25">
      <c r="B2477" s="141">
        <v>45826</v>
      </c>
      <c r="C2477" s="128">
        <v>81444.66</v>
      </c>
    </row>
    <row r="2478" spans="2:3" x14ac:dyDescent="0.25">
      <c r="B2478" s="141">
        <v>45827</v>
      </c>
      <c r="C2478" s="128">
        <v>81361.87</v>
      </c>
    </row>
    <row r="2479" spans="2:3" x14ac:dyDescent="0.25">
      <c r="B2479" s="141">
        <v>45828</v>
      </c>
      <c r="C2479" s="128">
        <v>82408.17</v>
      </c>
    </row>
    <row r="2480" spans="2:3" x14ac:dyDescent="0.25">
      <c r="B2480" s="141">
        <v>45831</v>
      </c>
      <c r="C2480" s="128">
        <v>81896.789999999994</v>
      </c>
    </row>
    <row r="2481" spans="2:10" x14ac:dyDescent="0.25">
      <c r="B2481" s="141">
        <v>45832</v>
      </c>
      <c r="C2481" s="128">
        <v>82055.11</v>
      </c>
    </row>
    <row r="2482" spans="2:10" x14ac:dyDescent="0.25">
      <c r="B2482" s="141">
        <v>45833</v>
      </c>
      <c r="C2482" s="128">
        <v>82755.509999999995</v>
      </c>
    </row>
    <row r="2483" spans="2:10" x14ac:dyDescent="0.25">
      <c r="B2483" s="141">
        <v>45834</v>
      </c>
      <c r="C2483" s="128">
        <v>83755.87</v>
      </c>
    </row>
    <row r="2484" spans="2:10" x14ac:dyDescent="0.25">
      <c r="B2484" s="141">
        <v>45835</v>
      </c>
      <c r="C2484" s="128">
        <v>84058.9</v>
      </c>
    </row>
    <row r="2485" spans="2:10" x14ac:dyDescent="0.25">
      <c r="B2485" s="141">
        <v>45838</v>
      </c>
      <c r="C2485" s="128">
        <v>83606.460000000006</v>
      </c>
    </row>
    <row r="2486" spans="2:10" x14ac:dyDescent="0.25">
      <c r="B2486" s="141">
        <v>45839</v>
      </c>
      <c r="C2486" s="128">
        <v>83697.289999999994</v>
      </c>
    </row>
    <row r="2488" spans="2:10" x14ac:dyDescent="0.25">
      <c r="B2488" s="56"/>
      <c r="C2488" s="56"/>
      <c r="D2488" s="56"/>
      <c r="E2488" s="56"/>
      <c r="F2488" s="56"/>
      <c r="G2488" s="56"/>
      <c r="H2488" s="56"/>
      <c r="I2488" s="56"/>
      <c r="J2488" s="5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129"/>
  <sheetViews>
    <sheetView showGridLines="0" tabSelected="1" workbookViewId="0">
      <selection activeCell="M4" sqref="M4"/>
    </sheetView>
  </sheetViews>
  <sheetFormatPr defaultRowHeight="15" x14ac:dyDescent="0.25"/>
  <cols>
    <col min="1" max="1" width="2.28515625" customWidth="1"/>
    <col min="3" max="3" width="15.85546875" customWidth="1"/>
    <col min="4" max="4" width="11" customWidth="1"/>
    <col min="5" max="5" width="14.28515625" customWidth="1"/>
    <col min="6" max="6" width="11.28515625" customWidth="1"/>
    <col min="10" max="10" width="20.42578125" bestFit="1" customWidth="1"/>
    <col min="17" max="17" width="12.5703125" bestFit="1" customWidth="1"/>
  </cols>
  <sheetData>
    <row r="6" spans="2:17" ht="5.25" customHeight="1" x14ac:dyDescent="0.25"/>
    <row r="7" spans="2:17" hidden="1" x14ac:dyDescent="0.25"/>
    <row r="8" spans="2:17" ht="32.25" customHeight="1" thickBot="1" x14ac:dyDescent="0.3">
      <c r="B8" s="122" t="s">
        <v>252</v>
      </c>
      <c r="C8" s="123" t="s">
        <v>257</v>
      </c>
      <c r="D8" s="123" t="s">
        <v>259</v>
      </c>
      <c r="E8" s="123" t="s">
        <v>258</v>
      </c>
      <c r="F8" s="123" t="s">
        <v>259</v>
      </c>
    </row>
    <row r="9" spans="2:17" x14ac:dyDescent="0.25">
      <c r="B9" s="124">
        <v>42186</v>
      </c>
      <c r="C9" s="125">
        <v>28114.560000000001</v>
      </c>
      <c r="D9" s="126"/>
      <c r="E9" s="125">
        <v>1225.75</v>
      </c>
      <c r="F9" s="126"/>
      <c r="I9" s="130" t="s">
        <v>260</v>
      </c>
      <c r="J9" s="131">
        <f>SLOPE(F10:F129,D10:D129)</f>
        <v>1.1688310451418908</v>
      </c>
    </row>
    <row r="10" spans="2:17" x14ac:dyDescent="0.25">
      <c r="B10" s="127">
        <v>42217</v>
      </c>
      <c r="C10" s="128">
        <v>26283.09</v>
      </c>
      <c r="D10" s="129">
        <f>C10/C9-1</f>
        <v>-6.5143114457419937E-2</v>
      </c>
      <c r="E10" s="128">
        <v>1240.05</v>
      </c>
      <c r="F10" s="129">
        <f>E10/E9-1</f>
        <v>1.1666326738731359E-2</v>
      </c>
      <c r="I10" s="130" t="s">
        <v>261</v>
      </c>
      <c r="J10" s="131">
        <f>_xlfn.COVARIANCE.S(F10:F129,D10:D129)/_xlfn.VAR.S(D10:D129)</f>
        <v>1.1688310451418908</v>
      </c>
    </row>
    <row r="11" spans="2:17" x14ac:dyDescent="0.25">
      <c r="B11" s="127">
        <v>42248</v>
      </c>
      <c r="C11" s="128">
        <v>26154.83</v>
      </c>
      <c r="D11" s="129">
        <f>C11/C10-1</f>
        <v>-4.8799437204680718E-3</v>
      </c>
      <c r="E11" s="128">
        <v>1309.0999999999999</v>
      </c>
      <c r="F11" s="129">
        <f t="shared" ref="F11:F74" si="0">E11/E10-1</f>
        <v>5.5683238579089522E-2</v>
      </c>
      <c r="I11" s="130" t="s">
        <v>262</v>
      </c>
      <c r="J11" s="131">
        <f>J30</f>
        <v>1.168831045141892</v>
      </c>
    </row>
    <row r="12" spans="2:17" ht="15.75" thickBot="1" x14ac:dyDescent="0.3">
      <c r="B12" s="127">
        <v>42278</v>
      </c>
      <c r="C12" s="128">
        <v>26656.83</v>
      </c>
      <c r="D12" s="129">
        <f t="shared" ref="D12:D75" si="1">C12/C11-1</f>
        <v>1.9193395636675881E-2</v>
      </c>
      <c r="E12" s="128">
        <v>1390.1</v>
      </c>
      <c r="F12" s="129">
        <f t="shared" si="0"/>
        <v>6.1874570315483934E-2</v>
      </c>
    </row>
    <row r="13" spans="2:17" x14ac:dyDescent="0.25">
      <c r="B13" s="127">
        <v>42309</v>
      </c>
      <c r="C13" s="128">
        <v>26145.67</v>
      </c>
      <c r="D13" s="129">
        <f t="shared" si="1"/>
        <v>-1.9175573389634271E-2</v>
      </c>
      <c r="E13" s="128">
        <v>1600.65</v>
      </c>
      <c r="F13" s="129">
        <f t="shared" si="0"/>
        <v>0.15146392345874404</v>
      </c>
      <c r="I13" s="57" t="s">
        <v>263</v>
      </c>
      <c r="J13" s="58"/>
      <c r="K13" s="58"/>
      <c r="L13" s="58"/>
      <c r="M13" s="58"/>
      <c r="N13" s="58"/>
      <c r="O13" s="58"/>
      <c r="P13" s="58"/>
      <c r="Q13" s="59"/>
    </row>
    <row r="14" spans="2:17" ht="15.75" thickBot="1" x14ac:dyDescent="0.3">
      <c r="B14" s="127">
        <v>42339</v>
      </c>
      <c r="C14" s="128">
        <v>26117.54</v>
      </c>
      <c r="D14" s="129">
        <f t="shared" si="1"/>
        <v>-1.0758951673449646E-3</v>
      </c>
      <c r="E14" s="128">
        <v>1747.1</v>
      </c>
      <c r="F14" s="129">
        <f t="shared" si="0"/>
        <v>9.1494080529784583E-2</v>
      </c>
      <c r="I14" s="60"/>
      <c r="J14" s="13"/>
      <c r="K14" s="13"/>
      <c r="L14" s="13"/>
      <c r="M14" s="13"/>
      <c r="N14" s="13"/>
      <c r="O14" s="13"/>
      <c r="P14" s="13"/>
      <c r="Q14" s="61"/>
    </row>
    <row r="15" spans="2:17" x14ac:dyDescent="0.25">
      <c r="B15" s="127">
        <v>42370</v>
      </c>
      <c r="C15" s="128">
        <v>24870.69</v>
      </c>
      <c r="D15" s="129">
        <f t="shared" si="1"/>
        <v>-4.7739947943029937E-2</v>
      </c>
      <c r="E15" s="128">
        <v>1555.8</v>
      </c>
      <c r="F15" s="129">
        <f t="shared" si="0"/>
        <v>-0.1094957357907389</v>
      </c>
      <c r="I15" s="62" t="s">
        <v>264</v>
      </c>
      <c r="J15" s="55"/>
      <c r="K15" s="13"/>
      <c r="L15" s="13"/>
      <c r="M15" s="13"/>
      <c r="N15" s="13"/>
      <c r="O15" s="13"/>
      <c r="P15" s="13"/>
      <c r="Q15" s="61"/>
    </row>
    <row r="16" spans="2:17" x14ac:dyDescent="0.25">
      <c r="B16" s="127">
        <v>42401</v>
      </c>
      <c r="C16" s="128">
        <v>23002</v>
      </c>
      <c r="D16" s="129">
        <f t="shared" si="1"/>
        <v>-7.5136234660156176E-2</v>
      </c>
      <c r="E16" s="128">
        <v>1417.05</v>
      </c>
      <c r="F16" s="129">
        <f t="shared" si="0"/>
        <v>-8.9182414192055526E-2</v>
      </c>
      <c r="I16" s="63" t="s">
        <v>265</v>
      </c>
      <c r="J16" s="52">
        <v>0.40028961993528583</v>
      </c>
      <c r="K16" s="13"/>
      <c r="L16" s="13"/>
      <c r="M16" s="13"/>
      <c r="N16" s="13"/>
      <c r="O16" s="13"/>
      <c r="P16" s="13"/>
      <c r="Q16" s="61"/>
    </row>
    <row r="17" spans="2:17" x14ac:dyDescent="0.25">
      <c r="B17" s="127">
        <v>42430</v>
      </c>
      <c r="C17" s="128">
        <v>25341.86</v>
      </c>
      <c r="D17" s="129">
        <f t="shared" si="1"/>
        <v>0.1017241978958352</v>
      </c>
      <c r="E17" s="128">
        <v>1586.05</v>
      </c>
      <c r="F17" s="129">
        <f t="shared" si="0"/>
        <v>0.11926184679439689</v>
      </c>
      <c r="I17" s="63" t="s">
        <v>266</v>
      </c>
      <c r="J17" s="52">
        <v>0.16023177982793557</v>
      </c>
      <c r="K17" s="13"/>
      <c r="L17" s="13"/>
      <c r="M17" s="13"/>
      <c r="N17" s="13"/>
      <c r="O17" s="13"/>
      <c r="P17" s="13"/>
      <c r="Q17" s="61"/>
    </row>
    <row r="18" spans="2:17" x14ac:dyDescent="0.25">
      <c r="B18" s="127">
        <v>42461</v>
      </c>
      <c r="C18" s="128">
        <v>25606.62</v>
      </c>
      <c r="D18" s="129">
        <f t="shared" si="1"/>
        <v>1.0447536210838493E-2</v>
      </c>
      <c r="E18" s="128">
        <v>1691.85</v>
      </c>
      <c r="F18" s="129">
        <f t="shared" si="0"/>
        <v>6.6706598152643348E-2</v>
      </c>
      <c r="I18" s="63" t="s">
        <v>267</v>
      </c>
      <c r="J18" s="52">
        <v>0.15311509999596892</v>
      </c>
      <c r="K18" s="13"/>
      <c r="L18" s="13"/>
      <c r="M18" s="13"/>
      <c r="N18" s="13"/>
      <c r="O18" s="13"/>
      <c r="P18" s="13"/>
      <c r="Q18" s="61"/>
    </row>
    <row r="19" spans="2:17" x14ac:dyDescent="0.25">
      <c r="B19" s="127">
        <v>42491</v>
      </c>
      <c r="C19" s="128">
        <v>26667.96</v>
      </c>
      <c r="D19" s="129">
        <f t="shared" si="1"/>
        <v>4.1447875588422001E-2</v>
      </c>
      <c r="E19" s="128">
        <v>1639.05</v>
      </c>
      <c r="F19" s="129">
        <f t="shared" si="0"/>
        <v>-3.1208440464580156E-2</v>
      </c>
      <c r="I19" s="63" t="s">
        <v>268</v>
      </c>
      <c r="J19" s="52">
        <v>0.1253027443888558</v>
      </c>
      <c r="K19" s="13"/>
      <c r="L19" s="13"/>
      <c r="M19" s="13"/>
      <c r="N19" s="13"/>
      <c r="O19" s="13"/>
      <c r="P19" s="13"/>
      <c r="Q19" s="61"/>
    </row>
    <row r="20" spans="2:17" ht="15.75" thickBot="1" x14ac:dyDescent="0.3">
      <c r="B20" s="127">
        <v>42522</v>
      </c>
      <c r="C20" s="128">
        <v>26999.72</v>
      </c>
      <c r="D20" s="129">
        <f t="shared" si="1"/>
        <v>1.2440396640762907E-2</v>
      </c>
      <c r="E20" s="128">
        <v>1804.25</v>
      </c>
      <c r="F20" s="129">
        <f t="shared" si="0"/>
        <v>0.10079009182148191</v>
      </c>
      <c r="I20" s="64" t="s">
        <v>269</v>
      </c>
      <c r="J20" s="53">
        <v>120</v>
      </c>
      <c r="K20" s="13"/>
      <c r="L20" s="13"/>
      <c r="M20" s="13"/>
      <c r="N20" s="13"/>
      <c r="O20" s="13"/>
      <c r="P20" s="13"/>
      <c r="Q20" s="61"/>
    </row>
    <row r="21" spans="2:17" x14ac:dyDescent="0.25">
      <c r="B21" s="127">
        <v>42552</v>
      </c>
      <c r="C21" s="128">
        <v>28051.86</v>
      </c>
      <c r="D21" s="129">
        <f t="shared" si="1"/>
        <v>3.8968552266468004E-2</v>
      </c>
      <c r="E21" s="128">
        <v>1824.65</v>
      </c>
      <c r="F21" s="129">
        <f t="shared" si="0"/>
        <v>1.1306637106831108E-2</v>
      </c>
      <c r="I21" s="60"/>
      <c r="J21" s="13"/>
      <c r="K21" s="13"/>
      <c r="L21" s="13"/>
      <c r="M21" s="13"/>
      <c r="N21" s="13"/>
      <c r="O21" s="13"/>
      <c r="P21" s="13"/>
      <c r="Q21" s="61"/>
    </row>
    <row r="22" spans="2:17" ht="15.75" thickBot="1" x14ac:dyDescent="0.3">
      <c r="B22" s="127">
        <v>42583</v>
      </c>
      <c r="C22" s="128">
        <v>28452.17</v>
      </c>
      <c r="D22" s="129">
        <f t="shared" si="1"/>
        <v>1.4270354978243693E-2</v>
      </c>
      <c r="E22" s="128">
        <v>2177.25</v>
      </c>
      <c r="F22" s="129">
        <f t="shared" si="0"/>
        <v>0.19324253966514116</v>
      </c>
      <c r="I22" s="60" t="s">
        <v>270</v>
      </c>
      <c r="J22" s="13"/>
      <c r="K22" s="13"/>
      <c r="L22" s="13"/>
      <c r="M22" s="13"/>
      <c r="N22" s="13"/>
      <c r="O22" s="13"/>
      <c r="P22" s="13"/>
      <c r="Q22" s="61"/>
    </row>
    <row r="23" spans="2:17" x14ac:dyDescent="0.25">
      <c r="B23" s="127">
        <v>42614</v>
      </c>
      <c r="C23" s="128">
        <v>27865.96</v>
      </c>
      <c r="D23" s="129">
        <f t="shared" si="1"/>
        <v>-2.0603349410607263E-2</v>
      </c>
      <c r="E23" s="128">
        <v>213.65</v>
      </c>
      <c r="F23" s="129">
        <f t="shared" si="0"/>
        <v>-0.90187162705247448</v>
      </c>
      <c r="I23" s="65"/>
      <c r="J23" s="54" t="s">
        <v>275</v>
      </c>
      <c r="K23" s="54" t="s">
        <v>276</v>
      </c>
      <c r="L23" s="54" t="s">
        <v>277</v>
      </c>
      <c r="M23" s="54" t="s">
        <v>278</v>
      </c>
      <c r="N23" s="54" t="s">
        <v>279</v>
      </c>
      <c r="O23" s="13"/>
      <c r="P23" s="13"/>
      <c r="Q23" s="61"/>
    </row>
    <row r="24" spans="2:17" x14ac:dyDescent="0.25">
      <c r="B24" s="127">
        <v>42644</v>
      </c>
      <c r="C24" s="128">
        <v>27930.21</v>
      </c>
      <c r="D24" s="129">
        <f t="shared" si="1"/>
        <v>2.3056804789787222E-3</v>
      </c>
      <c r="E24" s="128">
        <v>205</v>
      </c>
      <c r="F24" s="129">
        <f t="shared" si="0"/>
        <v>-4.0486777439737942E-2</v>
      </c>
      <c r="I24" s="63" t="s">
        <v>271</v>
      </c>
      <c r="J24" s="52">
        <v>1</v>
      </c>
      <c r="K24" s="52">
        <v>0.35350242292564737</v>
      </c>
      <c r="L24" s="52">
        <v>0.35350242292564737</v>
      </c>
      <c r="M24" s="52">
        <v>22.514962540285669</v>
      </c>
      <c r="N24" s="52">
        <v>5.8998942108916919E-6</v>
      </c>
      <c r="O24" s="13"/>
      <c r="P24" s="13"/>
      <c r="Q24" s="61"/>
    </row>
    <row r="25" spans="2:17" x14ac:dyDescent="0.25">
      <c r="B25" s="127">
        <v>42675</v>
      </c>
      <c r="C25" s="128">
        <v>26652.81</v>
      </c>
      <c r="D25" s="129">
        <f t="shared" si="1"/>
        <v>-4.5735424116037704E-2</v>
      </c>
      <c r="E25" s="128">
        <v>180.1</v>
      </c>
      <c r="F25" s="129">
        <f t="shared" si="0"/>
        <v>-0.12146341463414634</v>
      </c>
      <c r="I25" s="63" t="s">
        <v>272</v>
      </c>
      <c r="J25" s="52">
        <v>118</v>
      </c>
      <c r="K25" s="52">
        <v>1.8526917746627143</v>
      </c>
      <c r="L25" s="52">
        <v>1.5700777751378934E-2</v>
      </c>
      <c r="M25" s="52"/>
      <c r="N25" s="52"/>
      <c r="O25" s="13"/>
      <c r="P25" s="13"/>
      <c r="Q25" s="61"/>
    </row>
    <row r="26" spans="2:17" ht="15.75" thickBot="1" x14ac:dyDescent="0.3">
      <c r="B26" s="127">
        <v>42705</v>
      </c>
      <c r="C26" s="128">
        <v>26626.46</v>
      </c>
      <c r="D26" s="129">
        <f t="shared" si="1"/>
        <v>-9.8863872139565157E-4</v>
      </c>
      <c r="E26" s="128">
        <v>201.05</v>
      </c>
      <c r="F26" s="129">
        <f t="shared" si="0"/>
        <v>0.11632426429761256</v>
      </c>
      <c r="I26" s="64" t="s">
        <v>273</v>
      </c>
      <c r="J26" s="53">
        <v>119</v>
      </c>
      <c r="K26" s="53">
        <v>2.2061941975883617</v>
      </c>
      <c r="L26" s="53"/>
      <c r="M26" s="53"/>
      <c r="N26" s="53"/>
      <c r="O26" s="13"/>
      <c r="P26" s="13"/>
      <c r="Q26" s="61"/>
    </row>
    <row r="27" spans="2:17" ht="15.75" thickBot="1" x14ac:dyDescent="0.3">
      <c r="B27" s="127">
        <v>42736</v>
      </c>
      <c r="C27" s="128">
        <v>27655.96</v>
      </c>
      <c r="D27" s="129">
        <f t="shared" si="1"/>
        <v>3.8664546469939998E-2</v>
      </c>
      <c r="E27" s="128">
        <v>239</v>
      </c>
      <c r="F27" s="129">
        <f t="shared" si="0"/>
        <v>0.18875901517035554</v>
      </c>
      <c r="I27" s="60"/>
      <c r="J27" s="13"/>
      <c r="K27" s="13"/>
      <c r="L27" s="13"/>
      <c r="M27" s="13"/>
      <c r="N27" s="13"/>
      <c r="O27" s="13"/>
      <c r="P27" s="13"/>
      <c r="Q27" s="61"/>
    </row>
    <row r="28" spans="2:17" x14ac:dyDescent="0.25">
      <c r="B28" s="127">
        <v>42767</v>
      </c>
      <c r="C28" s="128">
        <v>28743.32</v>
      </c>
      <c r="D28" s="129">
        <f t="shared" si="1"/>
        <v>3.931738402861451E-2</v>
      </c>
      <c r="E28" s="128">
        <v>244</v>
      </c>
      <c r="F28" s="129">
        <f t="shared" si="0"/>
        <v>2.0920502092050208E-2</v>
      </c>
      <c r="I28" s="65"/>
      <c r="J28" s="54" t="s">
        <v>280</v>
      </c>
      <c r="K28" s="54" t="s">
        <v>268</v>
      </c>
      <c r="L28" s="54" t="s">
        <v>281</v>
      </c>
      <c r="M28" s="54" t="s">
        <v>282</v>
      </c>
      <c r="N28" s="54" t="s">
        <v>283</v>
      </c>
      <c r="O28" s="54" t="s">
        <v>284</v>
      </c>
      <c r="P28" s="54" t="s">
        <v>285</v>
      </c>
      <c r="Q28" s="66" t="s">
        <v>286</v>
      </c>
    </row>
    <row r="29" spans="2:17" x14ac:dyDescent="0.25">
      <c r="B29" s="127">
        <v>42795</v>
      </c>
      <c r="C29" s="128">
        <v>29620.5</v>
      </c>
      <c r="D29" s="129">
        <f t="shared" si="1"/>
        <v>3.0517699416768851E-2</v>
      </c>
      <c r="E29" s="128">
        <v>265.64999999999998</v>
      </c>
      <c r="F29" s="129">
        <f t="shared" si="0"/>
        <v>8.8729508196721207E-2</v>
      </c>
      <c r="I29" s="63" t="s">
        <v>274</v>
      </c>
      <c r="J29" s="52">
        <v>1.8232559130236602E-2</v>
      </c>
      <c r="K29" s="52">
        <v>1.1705446024658022E-2</v>
      </c>
      <c r="L29" s="52">
        <v>1.5576133614924998</v>
      </c>
      <c r="M29" s="52">
        <v>0.12200298319271957</v>
      </c>
      <c r="N29" s="52">
        <v>-4.9474107977563048E-3</v>
      </c>
      <c r="O29" s="52">
        <v>4.1412529058229508E-2</v>
      </c>
      <c r="P29" s="52">
        <v>-4.9474107977563048E-3</v>
      </c>
      <c r="Q29" s="67">
        <v>4.1412529058229508E-2</v>
      </c>
    </row>
    <row r="30" spans="2:17" ht="15.75" thickBot="1" x14ac:dyDescent="0.3">
      <c r="B30" s="127">
        <v>42826</v>
      </c>
      <c r="C30" s="128">
        <v>29918.400000000001</v>
      </c>
      <c r="D30" s="129">
        <f t="shared" si="1"/>
        <v>1.0057223882108834E-2</v>
      </c>
      <c r="E30" s="128">
        <v>251</v>
      </c>
      <c r="F30" s="129">
        <f t="shared" si="0"/>
        <v>-5.5147750799924622E-2</v>
      </c>
      <c r="I30" s="64" t="s">
        <v>287</v>
      </c>
      <c r="J30" s="69">
        <v>1.168831045141892</v>
      </c>
      <c r="K30" s="53">
        <v>0.24632932906063276</v>
      </c>
      <c r="L30" s="53">
        <v>4.7449934183606288</v>
      </c>
      <c r="M30" s="53">
        <v>5.8998942108916343E-6</v>
      </c>
      <c r="N30" s="53">
        <v>0.6810319106210907</v>
      </c>
      <c r="O30" s="53">
        <v>1.6566301796626932</v>
      </c>
      <c r="P30" s="53">
        <v>0.6810319106210907</v>
      </c>
      <c r="Q30" s="68">
        <v>1.6566301796626932</v>
      </c>
    </row>
    <row r="31" spans="2:17" x14ac:dyDescent="0.25">
      <c r="B31" s="127">
        <v>42856</v>
      </c>
      <c r="C31" s="128">
        <v>31145.8</v>
      </c>
      <c r="D31" s="129">
        <f t="shared" si="1"/>
        <v>4.1024921118776314E-2</v>
      </c>
      <c r="E31" s="128">
        <v>244.7</v>
      </c>
      <c r="F31" s="129">
        <f t="shared" si="0"/>
        <v>-2.5099601593625565E-2</v>
      </c>
    </row>
    <row r="32" spans="2:17" x14ac:dyDescent="0.25">
      <c r="B32" s="127">
        <v>42887</v>
      </c>
      <c r="C32" s="128">
        <v>30921.61</v>
      </c>
      <c r="D32" s="129">
        <f t="shared" si="1"/>
        <v>-7.1980812822274309E-3</v>
      </c>
      <c r="E32" s="128">
        <v>236.5</v>
      </c>
      <c r="F32" s="129">
        <f t="shared" si="0"/>
        <v>-3.3510420923579809E-2</v>
      </c>
    </row>
    <row r="33" spans="2:6" x14ac:dyDescent="0.25">
      <c r="B33" s="127">
        <v>42917</v>
      </c>
      <c r="C33" s="128">
        <v>32514.94</v>
      </c>
      <c r="D33" s="129">
        <f t="shared" si="1"/>
        <v>5.1528041392411295E-2</v>
      </c>
      <c r="E33" s="128">
        <v>267.75</v>
      </c>
      <c r="F33" s="129">
        <f t="shared" si="0"/>
        <v>0.13213530655391126</v>
      </c>
    </row>
    <row r="34" spans="2:6" x14ac:dyDescent="0.25">
      <c r="B34" s="127">
        <v>42948</v>
      </c>
      <c r="C34" s="128">
        <v>31730.49</v>
      </c>
      <c r="D34" s="129">
        <f t="shared" si="1"/>
        <v>-2.4125832617252208E-2</v>
      </c>
      <c r="E34" s="128">
        <v>297.8</v>
      </c>
      <c r="F34" s="129">
        <f t="shared" si="0"/>
        <v>0.11223155929038287</v>
      </c>
    </row>
    <row r="35" spans="2:6" x14ac:dyDescent="0.25">
      <c r="B35" s="127">
        <v>42979</v>
      </c>
      <c r="C35" s="128">
        <v>31283.72</v>
      </c>
      <c r="D35" s="129">
        <f t="shared" si="1"/>
        <v>-1.4080148147727956E-2</v>
      </c>
      <c r="E35" s="128">
        <v>295.10000000000002</v>
      </c>
      <c r="F35" s="129">
        <f t="shared" si="0"/>
        <v>-9.0664875755540608E-3</v>
      </c>
    </row>
    <row r="36" spans="2:6" x14ac:dyDescent="0.25">
      <c r="B36" s="127">
        <v>43009</v>
      </c>
      <c r="C36" s="128">
        <v>33213.129999999997</v>
      </c>
      <c r="D36" s="129">
        <f t="shared" si="1"/>
        <v>6.1674570671262696E-2</v>
      </c>
      <c r="E36" s="128">
        <v>296.25</v>
      </c>
      <c r="F36" s="129">
        <f t="shared" si="0"/>
        <v>3.8969840731954974E-3</v>
      </c>
    </row>
    <row r="37" spans="2:6" x14ac:dyDescent="0.25">
      <c r="B37" s="127">
        <v>43040</v>
      </c>
      <c r="C37" s="128">
        <v>33149.35</v>
      </c>
      <c r="D37" s="129">
        <f t="shared" si="1"/>
        <v>-1.9203248835625297E-3</v>
      </c>
      <c r="E37" s="128">
        <v>342.25</v>
      </c>
      <c r="F37" s="129">
        <f t="shared" si="0"/>
        <v>0.15527426160337554</v>
      </c>
    </row>
    <row r="38" spans="2:6" x14ac:dyDescent="0.25">
      <c r="B38" s="127">
        <v>43070</v>
      </c>
      <c r="C38" s="128">
        <v>34056.83</v>
      </c>
      <c r="D38" s="129">
        <f t="shared" si="1"/>
        <v>2.7375499067100906E-2</v>
      </c>
      <c r="E38" s="128">
        <v>336.95</v>
      </c>
      <c r="F38" s="129">
        <f t="shared" si="0"/>
        <v>-1.5485756026296649E-2</v>
      </c>
    </row>
    <row r="39" spans="2:6" x14ac:dyDescent="0.25">
      <c r="B39" s="127">
        <v>43101</v>
      </c>
      <c r="C39" s="128">
        <v>35965.019999999997</v>
      </c>
      <c r="D39" s="129">
        <f t="shared" si="1"/>
        <v>5.6029583493237389E-2</v>
      </c>
      <c r="E39" s="128">
        <v>315.89999999999998</v>
      </c>
      <c r="F39" s="129">
        <f t="shared" si="0"/>
        <v>-6.2472176880842945E-2</v>
      </c>
    </row>
    <row r="40" spans="2:6" x14ac:dyDescent="0.25">
      <c r="B40" s="127">
        <v>43132</v>
      </c>
      <c r="C40" s="128">
        <v>34184.04</v>
      </c>
      <c r="D40" s="129">
        <f t="shared" si="1"/>
        <v>-4.9519783389526673E-2</v>
      </c>
      <c r="E40" s="128">
        <v>315.8</v>
      </c>
      <c r="F40" s="129">
        <f t="shared" si="0"/>
        <v>-3.1655587211132374E-4</v>
      </c>
    </row>
    <row r="41" spans="2:6" x14ac:dyDescent="0.25">
      <c r="B41" s="127">
        <v>43160</v>
      </c>
      <c r="C41" s="128">
        <v>32968.68</v>
      </c>
      <c r="D41" s="129">
        <f t="shared" si="1"/>
        <v>-3.5553433707660065E-2</v>
      </c>
      <c r="E41" s="128">
        <v>346.15</v>
      </c>
      <c r="F41" s="129">
        <f t="shared" si="0"/>
        <v>9.6105129829005653E-2</v>
      </c>
    </row>
    <row r="42" spans="2:6" x14ac:dyDescent="0.25">
      <c r="B42" s="127">
        <v>43191</v>
      </c>
      <c r="C42" s="128">
        <v>35160.36</v>
      </c>
      <c r="D42" s="129">
        <f t="shared" si="1"/>
        <v>6.6477638777166614E-2</v>
      </c>
      <c r="E42" s="128">
        <v>352</v>
      </c>
      <c r="F42" s="129">
        <f t="shared" si="0"/>
        <v>1.690018777986424E-2</v>
      </c>
    </row>
    <row r="43" spans="2:6" x14ac:dyDescent="0.25">
      <c r="B43" s="127">
        <v>43221</v>
      </c>
      <c r="C43" s="128">
        <v>35322.379999999997</v>
      </c>
      <c r="D43" s="129">
        <f t="shared" si="1"/>
        <v>4.6080301794406697E-3</v>
      </c>
      <c r="E43" s="128">
        <v>331</v>
      </c>
      <c r="F43" s="129">
        <f t="shared" si="0"/>
        <v>-5.9659090909090939E-2</v>
      </c>
    </row>
    <row r="44" spans="2:6" x14ac:dyDescent="0.25">
      <c r="B44" s="127">
        <v>43252</v>
      </c>
      <c r="C44" s="128">
        <v>35423.480000000003</v>
      </c>
      <c r="D44" s="129">
        <f t="shared" si="1"/>
        <v>2.8622080392093352E-3</v>
      </c>
      <c r="E44" s="128">
        <v>301.89999999999998</v>
      </c>
      <c r="F44" s="129">
        <f t="shared" si="0"/>
        <v>-8.7915407854984973E-2</v>
      </c>
    </row>
    <row r="45" spans="2:6" x14ac:dyDescent="0.25">
      <c r="B45" s="127">
        <v>43282</v>
      </c>
      <c r="C45" s="128">
        <v>37606.58</v>
      </c>
      <c r="D45" s="129">
        <f t="shared" si="1"/>
        <v>6.1628614692853301E-2</v>
      </c>
      <c r="E45" s="128">
        <v>346.75</v>
      </c>
      <c r="F45" s="129">
        <f t="shared" si="0"/>
        <v>0.1485591255382579</v>
      </c>
    </row>
    <row r="46" spans="2:6" x14ac:dyDescent="0.25">
      <c r="B46" s="127">
        <v>43313</v>
      </c>
      <c r="C46" s="128">
        <v>38645.07</v>
      </c>
      <c r="D46" s="129">
        <f t="shared" si="1"/>
        <v>2.7614582341707106E-2</v>
      </c>
      <c r="E46" s="128">
        <v>369.1</v>
      </c>
      <c r="F46" s="129">
        <f t="shared" si="0"/>
        <v>6.4455659697188139E-2</v>
      </c>
    </row>
    <row r="47" spans="2:6" x14ac:dyDescent="0.25">
      <c r="B47" s="127">
        <v>43344</v>
      </c>
      <c r="C47" s="128">
        <v>36227.14</v>
      </c>
      <c r="D47" s="129">
        <f t="shared" si="1"/>
        <v>-6.2567618586277685E-2</v>
      </c>
      <c r="E47" s="128">
        <v>337.3</v>
      </c>
      <c r="F47" s="129">
        <f t="shared" si="0"/>
        <v>-8.6155513410999807E-2</v>
      </c>
    </row>
    <row r="48" spans="2:6" x14ac:dyDescent="0.25">
      <c r="B48" s="127">
        <v>43374</v>
      </c>
      <c r="C48" s="128">
        <v>34442.050000000003</v>
      </c>
      <c r="D48" s="129">
        <f t="shared" si="1"/>
        <v>-4.9274935863002023E-2</v>
      </c>
      <c r="E48" s="128">
        <v>322.2</v>
      </c>
      <c r="F48" s="129">
        <f t="shared" si="0"/>
        <v>-4.4767269493033002E-2</v>
      </c>
    </row>
    <row r="49" spans="2:6" x14ac:dyDescent="0.25">
      <c r="B49" s="127">
        <v>43405</v>
      </c>
      <c r="C49" s="128">
        <v>36194.300000000003</v>
      </c>
      <c r="D49" s="129">
        <f t="shared" si="1"/>
        <v>5.0875310848221833E-2</v>
      </c>
      <c r="E49" s="128">
        <v>333.35</v>
      </c>
      <c r="F49" s="129">
        <f t="shared" si="0"/>
        <v>3.4605834885164555E-2</v>
      </c>
    </row>
    <row r="50" spans="2:6" x14ac:dyDescent="0.25">
      <c r="B50" s="127">
        <v>43435</v>
      </c>
      <c r="C50" s="128">
        <v>36068.33</v>
      </c>
      <c r="D50" s="129">
        <f t="shared" si="1"/>
        <v>-3.4803822701364728E-3</v>
      </c>
      <c r="E50" s="128">
        <v>361.5</v>
      </c>
      <c r="F50" s="129">
        <f t="shared" si="0"/>
        <v>8.4445777711114278E-2</v>
      </c>
    </row>
    <row r="51" spans="2:6" x14ac:dyDescent="0.25">
      <c r="B51" s="127">
        <v>43466</v>
      </c>
      <c r="C51" s="128">
        <v>36256.69</v>
      </c>
      <c r="D51" s="129">
        <f t="shared" si="1"/>
        <v>5.2223099877370949E-3</v>
      </c>
      <c r="E51" s="128">
        <v>355.55</v>
      </c>
      <c r="F51" s="129">
        <f t="shared" si="0"/>
        <v>-1.6459197786998558E-2</v>
      </c>
    </row>
    <row r="52" spans="2:6" x14ac:dyDescent="0.25">
      <c r="B52" s="127">
        <v>43497</v>
      </c>
      <c r="C52" s="128">
        <v>35867.440000000002</v>
      </c>
      <c r="D52" s="129">
        <f t="shared" si="1"/>
        <v>-1.0735949696455971E-2</v>
      </c>
      <c r="E52" s="128">
        <v>327.25</v>
      </c>
      <c r="F52" s="129">
        <f t="shared" si="0"/>
        <v>-7.9594993671776137E-2</v>
      </c>
    </row>
    <row r="53" spans="2:6" x14ac:dyDescent="0.25">
      <c r="B53" s="127">
        <v>43525</v>
      </c>
      <c r="C53" s="128">
        <v>38672.910000000003</v>
      </c>
      <c r="D53" s="129">
        <f t="shared" si="1"/>
        <v>7.8217737312727076E-2</v>
      </c>
      <c r="E53" s="128">
        <v>359.85</v>
      </c>
      <c r="F53" s="129">
        <f t="shared" si="0"/>
        <v>9.9618029029793886E-2</v>
      </c>
    </row>
    <row r="54" spans="2:6" x14ac:dyDescent="0.25">
      <c r="B54" s="127">
        <v>43556</v>
      </c>
      <c r="C54" s="128">
        <v>39031.550000000003</v>
      </c>
      <c r="D54" s="129">
        <f t="shared" si="1"/>
        <v>9.2736750350568276E-3</v>
      </c>
      <c r="E54" s="128">
        <v>356.65</v>
      </c>
      <c r="F54" s="129">
        <f t="shared" si="0"/>
        <v>-8.8925941364458305E-3</v>
      </c>
    </row>
    <row r="55" spans="2:6" x14ac:dyDescent="0.25">
      <c r="B55" s="127">
        <v>43586</v>
      </c>
      <c r="C55" s="128">
        <v>39714.199999999997</v>
      </c>
      <c r="D55" s="129">
        <f t="shared" si="1"/>
        <v>1.7489697437073293E-2</v>
      </c>
      <c r="E55" s="128">
        <v>391.45</v>
      </c>
      <c r="F55" s="129">
        <f t="shared" si="0"/>
        <v>9.7574653021169189E-2</v>
      </c>
    </row>
    <row r="56" spans="2:6" x14ac:dyDescent="0.25">
      <c r="B56" s="127">
        <v>43617</v>
      </c>
      <c r="C56" s="128">
        <v>39394.639999999999</v>
      </c>
      <c r="D56" s="129">
        <f t="shared" si="1"/>
        <v>-8.0464921866737482E-3</v>
      </c>
      <c r="E56" s="128">
        <v>440.6</v>
      </c>
      <c r="F56" s="129">
        <f t="shared" si="0"/>
        <v>0.12555881977264027</v>
      </c>
    </row>
    <row r="57" spans="2:6" x14ac:dyDescent="0.25">
      <c r="B57" s="127">
        <v>43647</v>
      </c>
      <c r="C57" s="128">
        <v>37481.120000000003</v>
      </c>
      <c r="D57" s="129">
        <f t="shared" si="1"/>
        <v>-4.8573105376771952E-2</v>
      </c>
      <c r="E57" s="128">
        <v>397.3</v>
      </c>
      <c r="F57" s="129">
        <f t="shared" si="0"/>
        <v>-9.8275079437131208E-2</v>
      </c>
    </row>
    <row r="58" spans="2:6" x14ac:dyDescent="0.25">
      <c r="B58" s="127">
        <v>43678</v>
      </c>
      <c r="C58" s="128">
        <v>37332.79</v>
      </c>
      <c r="D58" s="129">
        <f t="shared" si="1"/>
        <v>-3.9574591154160066E-3</v>
      </c>
      <c r="E58" s="128">
        <v>469.75</v>
      </c>
      <c r="F58" s="129">
        <f t="shared" si="0"/>
        <v>0.18235590234080035</v>
      </c>
    </row>
    <row r="59" spans="2:6" x14ac:dyDescent="0.25">
      <c r="B59" s="127">
        <v>43709</v>
      </c>
      <c r="C59" s="128">
        <v>38667.33</v>
      </c>
      <c r="D59" s="129">
        <f t="shared" si="1"/>
        <v>3.5747127391229094E-2</v>
      </c>
      <c r="E59" s="128">
        <v>484.6</v>
      </c>
      <c r="F59" s="129">
        <f t="shared" si="0"/>
        <v>3.1612559872272517E-2</v>
      </c>
    </row>
    <row r="60" spans="2:6" x14ac:dyDescent="0.25">
      <c r="B60" s="127">
        <v>43739</v>
      </c>
      <c r="C60" s="128">
        <v>40129.050000000003</v>
      </c>
      <c r="D60" s="129">
        <f t="shared" si="1"/>
        <v>3.7802454940643715E-2</v>
      </c>
      <c r="E60" s="128">
        <v>541.79999999999995</v>
      </c>
      <c r="F60" s="129">
        <f t="shared" si="0"/>
        <v>0.11803549319025985</v>
      </c>
    </row>
    <row r="61" spans="2:6" x14ac:dyDescent="0.25">
      <c r="B61" s="127">
        <v>43770</v>
      </c>
      <c r="C61" s="128">
        <v>40793.81</v>
      </c>
      <c r="D61" s="129">
        <f t="shared" si="1"/>
        <v>1.6565555376965024E-2</v>
      </c>
      <c r="E61" s="128">
        <v>520.15</v>
      </c>
      <c r="F61" s="129">
        <f t="shared" si="0"/>
        <v>-3.9959394610557308E-2</v>
      </c>
    </row>
    <row r="62" spans="2:6" x14ac:dyDescent="0.25">
      <c r="B62" s="127">
        <v>43800</v>
      </c>
      <c r="C62" s="128">
        <v>41253.74</v>
      </c>
      <c r="D62" s="129">
        <f t="shared" si="1"/>
        <v>1.127450463685542E-2</v>
      </c>
      <c r="E62" s="128">
        <v>527.15</v>
      </c>
      <c r="F62" s="129">
        <f t="shared" si="0"/>
        <v>1.3457656445256205E-2</v>
      </c>
    </row>
    <row r="63" spans="2:6" x14ac:dyDescent="0.25">
      <c r="B63" s="127">
        <v>43831</v>
      </c>
      <c r="C63" s="128">
        <v>40723.49</v>
      </c>
      <c r="D63" s="129">
        <f t="shared" si="1"/>
        <v>-1.285338008141812E-2</v>
      </c>
      <c r="E63" s="128">
        <v>589.75</v>
      </c>
      <c r="F63" s="129">
        <f t="shared" si="0"/>
        <v>0.11875177843118667</v>
      </c>
    </row>
    <row r="64" spans="2:6" x14ac:dyDescent="0.25">
      <c r="B64" s="127">
        <v>43862</v>
      </c>
      <c r="C64" s="128">
        <v>38297.29</v>
      </c>
      <c r="D64" s="129">
        <f t="shared" si="1"/>
        <v>-5.957740851778659E-2</v>
      </c>
      <c r="E64" s="128">
        <v>736.2</v>
      </c>
      <c r="F64" s="129">
        <f t="shared" si="0"/>
        <v>0.24832556167867748</v>
      </c>
    </row>
    <row r="65" spans="2:6" x14ac:dyDescent="0.25">
      <c r="B65" s="127">
        <v>43891</v>
      </c>
      <c r="C65" s="128">
        <v>29468.49</v>
      </c>
      <c r="D65" s="129">
        <f t="shared" si="1"/>
        <v>-0.23053328316442234</v>
      </c>
      <c r="E65" s="128">
        <v>479.2</v>
      </c>
      <c r="F65" s="129">
        <f t="shared" si="0"/>
        <v>-0.34908992121706062</v>
      </c>
    </row>
    <row r="66" spans="2:6" x14ac:dyDescent="0.25">
      <c r="B66" s="127">
        <v>43922</v>
      </c>
      <c r="C66" s="128">
        <v>33717.620000000003</v>
      </c>
      <c r="D66" s="129">
        <f t="shared" si="1"/>
        <v>0.14419232203618182</v>
      </c>
      <c r="E66" s="128">
        <v>505.05</v>
      </c>
      <c r="F66" s="129">
        <f t="shared" si="0"/>
        <v>5.3944073455759689E-2</v>
      </c>
    </row>
    <row r="67" spans="2:6" x14ac:dyDescent="0.25">
      <c r="B67" s="127">
        <v>43952</v>
      </c>
      <c r="C67" s="128">
        <v>32424.1</v>
      </c>
      <c r="D67" s="129">
        <f t="shared" si="1"/>
        <v>-3.8363324576289881E-2</v>
      </c>
      <c r="E67" s="128">
        <v>468.9</v>
      </c>
      <c r="F67" s="129">
        <f t="shared" si="0"/>
        <v>-7.1577071577071605E-2</v>
      </c>
    </row>
    <row r="68" spans="2:6" x14ac:dyDescent="0.25">
      <c r="B68" s="127">
        <v>43983</v>
      </c>
      <c r="C68" s="128">
        <v>34915.800000000003</v>
      </c>
      <c r="D68" s="129">
        <f t="shared" si="1"/>
        <v>7.6847159982852409E-2</v>
      </c>
      <c r="E68" s="128">
        <v>614.9</v>
      </c>
      <c r="F68" s="129">
        <f t="shared" si="0"/>
        <v>0.31136702921731718</v>
      </c>
    </row>
    <row r="69" spans="2:6" x14ac:dyDescent="0.25">
      <c r="B69" s="127">
        <v>44013</v>
      </c>
      <c r="C69" s="128">
        <v>37606.89</v>
      </c>
      <c r="D69" s="129">
        <f t="shared" si="1"/>
        <v>7.7073703022700224E-2</v>
      </c>
      <c r="E69" s="128">
        <v>556.85</v>
      </c>
      <c r="F69" s="129">
        <f t="shared" si="0"/>
        <v>-9.4405594405594373E-2</v>
      </c>
    </row>
    <row r="70" spans="2:6" x14ac:dyDescent="0.25">
      <c r="B70" s="127">
        <v>44044</v>
      </c>
      <c r="C70" s="128">
        <v>38628.29</v>
      </c>
      <c r="D70" s="129">
        <f t="shared" si="1"/>
        <v>2.7159916706752441E-2</v>
      </c>
      <c r="E70" s="128">
        <v>639.1</v>
      </c>
      <c r="F70" s="129">
        <f t="shared" si="0"/>
        <v>0.14770584538026399</v>
      </c>
    </row>
    <row r="71" spans="2:6" x14ac:dyDescent="0.25">
      <c r="B71" s="127">
        <v>44075</v>
      </c>
      <c r="C71" s="128">
        <v>38067.93</v>
      </c>
      <c r="D71" s="129">
        <f t="shared" si="1"/>
        <v>-1.4506466633651183E-2</v>
      </c>
      <c r="E71" s="128">
        <v>671.3</v>
      </c>
      <c r="F71" s="129">
        <f t="shared" si="0"/>
        <v>5.0383351588170866E-2</v>
      </c>
    </row>
    <row r="72" spans="2:6" x14ac:dyDescent="0.25">
      <c r="B72" s="127">
        <v>44105</v>
      </c>
      <c r="C72" s="128">
        <v>39614.07</v>
      </c>
      <c r="D72" s="129">
        <f t="shared" si="1"/>
        <v>4.061528956263194E-2</v>
      </c>
      <c r="E72" s="128">
        <v>659.55</v>
      </c>
      <c r="F72" s="129">
        <f t="shared" si="0"/>
        <v>-1.7503351705645764E-2</v>
      </c>
    </row>
    <row r="73" spans="2:6" x14ac:dyDescent="0.25">
      <c r="B73" s="127">
        <v>44136</v>
      </c>
      <c r="C73" s="128">
        <v>44149.72</v>
      </c>
      <c r="D73" s="129">
        <f t="shared" si="1"/>
        <v>0.11449593540880798</v>
      </c>
      <c r="E73" s="128">
        <v>723.4</v>
      </c>
      <c r="F73" s="129">
        <f t="shared" si="0"/>
        <v>9.6808429990144829E-2</v>
      </c>
    </row>
    <row r="74" spans="2:6" x14ac:dyDescent="0.25">
      <c r="B74" s="127">
        <v>44166</v>
      </c>
      <c r="C74" s="128">
        <v>47751.33</v>
      </c>
      <c r="D74" s="129">
        <f t="shared" si="1"/>
        <v>8.15771878054945E-2</v>
      </c>
      <c r="E74" s="128">
        <v>687.9</v>
      </c>
      <c r="F74" s="129">
        <f t="shared" si="0"/>
        <v>-4.9073818081282861E-2</v>
      </c>
    </row>
    <row r="75" spans="2:6" x14ac:dyDescent="0.25">
      <c r="B75" s="127">
        <v>44197</v>
      </c>
      <c r="C75" s="128">
        <v>46285.77</v>
      </c>
      <c r="D75" s="129">
        <f t="shared" si="1"/>
        <v>-3.0691501158187751E-2</v>
      </c>
      <c r="E75" s="128">
        <v>619.4</v>
      </c>
      <c r="F75" s="129">
        <f t="shared" ref="F75:F129" si="2">E75/E74-1</f>
        <v>-9.9578427096961741E-2</v>
      </c>
    </row>
    <row r="76" spans="2:6" x14ac:dyDescent="0.25">
      <c r="B76" s="127">
        <v>44228</v>
      </c>
      <c r="C76" s="128">
        <v>49099.99</v>
      </c>
      <c r="D76" s="129">
        <f t="shared" ref="D76:D129" si="3">C76/C75-1</f>
        <v>6.0800976196355938E-2</v>
      </c>
      <c r="E76" s="128">
        <v>809.7</v>
      </c>
      <c r="F76" s="129">
        <f t="shared" si="2"/>
        <v>0.30723280594123348</v>
      </c>
    </row>
    <row r="77" spans="2:6" x14ac:dyDescent="0.25">
      <c r="B77" s="127">
        <v>44256</v>
      </c>
      <c r="C77" s="128">
        <v>49509.15</v>
      </c>
      <c r="D77" s="129">
        <f t="shared" si="3"/>
        <v>8.3331992531974208E-3</v>
      </c>
      <c r="E77" s="128">
        <v>751.5</v>
      </c>
      <c r="F77" s="129">
        <f t="shared" si="2"/>
        <v>-7.1878473508707019E-2</v>
      </c>
    </row>
    <row r="78" spans="2:6" x14ac:dyDescent="0.25">
      <c r="B78" s="127">
        <v>44287</v>
      </c>
      <c r="C78" s="128">
        <v>48782.36</v>
      </c>
      <c r="D78" s="129">
        <f t="shared" si="3"/>
        <v>-1.4679912703005393E-2</v>
      </c>
      <c r="E78" s="128">
        <v>777.15</v>
      </c>
      <c r="F78" s="129">
        <f t="shared" si="2"/>
        <v>3.413173652694601E-2</v>
      </c>
    </row>
    <row r="79" spans="2:6" x14ac:dyDescent="0.25">
      <c r="B79" s="127">
        <v>44317</v>
      </c>
      <c r="C79" s="128">
        <v>51937.440000000002</v>
      </c>
      <c r="D79" s="129">
        <f t="shared" si="3"/>
        <v>6.4676657709877183E-2</v>
      </c>
      <c r="E79" s="128">
        <v>852.7</v>
      </c>
      <c r="F79" s="129">
        <f t="shared" si="2"/>
        <v>9.721418001672788E-2</v>
      </c>
    </row>
    <row r="80" spans="2:6" x14ac:dyDescent="0.25">
      <c r="B80" s="127">
        <v>44348</v>
      </c>
      <c r="C80" s="128">
        <v>52482.71</v>
      </c>
      <c r="D80" s="129">
        <f t="shared" si="3"/>
        <v>1.0498592152404784E-2</v>
      </c>
      <c r="E80" s="128">
        <v>851.9</v>
      </c>
      <c r="F80" s="129">
        <f t="shared" si="2"/>
        <v>-9.3819631757952049E-4</v>
      </c>
    </row>
    <row r="81" spans="2:6" x14ac:dyDescent="0.25">
      <c r="B81" s="127">
        <v>44378</v>
      </c>
      <c r="C81" s="128">
        <v>52586.84</v>
      </c>
      <c r="D81" s="129">
        <f t="shared" si="3"/>
        <v>1.9840819957657185E-3</v>
      </c>
      <c r="E81" s="128">
        <v>924.45</v>
      </c>
      <c r="F81" s="129">
        <f t="shared" si="2"/>
        <v>8.5162577767343706E-2</v>
      </c>
    </row>
    <row r="82" spans="2:6" x14ac:dyDescent="0.25">
      <c r="B82" s="127">
        <v>44409</v>
      </c>
      <c r="C82" s="128">
        <v>57552.39</v>
      </c>
      <c r="D82" s="129">
        <f t="shared" si="3"/>
        <v>9.4425715635318763E-2</v>
      </c>
      <c r="E82" s="128">
        <v>1006.9</v>
      </c>
      <c r="F82" s="129">
        <f t="shared" si="2"/>
        <v>8.9188165936502806E-2</v>
      </c>
    </row>
    <row r="83" spans="2:6" x14ac:dyDescent="0.25">
      <c r="B83" s="127">
        <v>44440</v>
      </c>
      <c r="C83" s="128">
        <v>59126.36</v>
      </c>
      <c r="D83" s="129">
        <f t="shared" si="3"/>
        <v>2.7348473277999386E-2</v>
      </c>
      <c r="E83" s="128">
        <v>1024.8499999999999</v>
      </c>
      <c r="F83" s="129">
        <f t="shared" si="2"/>
        <v>1.7826993743172093E-2</v>
      </c>
    </row>
    <row r="84" spans="2:6" x14ac:dyDescent="0.25">
      <c r="B84" s="127">
        <v>44470</v>
      </c>
      <c r="C84" s="128">
        <v>59306.93</v>
      </c>
      <c r="D84" s="129">
        <f t="shared" si="3"/>
        <v>3.0539678072520893E-3</v>
      </c>
      <c r="E84" s="128">
        <v>1002.5</v>
      </c>
      <c r="F84" s="129">
        <f t="shared" si="2"/>
        <v>-2.1808069473581382E-2</v>
      </c>
    </row>
    <row r="85" spans="2:6" x14ac:dyDescent="0.25">
      <c r="B85" s="127">
        <v>44501</v>
      </c>
      <c r="C85" s="128">
        <v>57064.87</v>
      </c>
      <c r="D85" s="129">
        <f t="shared" si="3"/>
        <v>-3.7804351026094252E-2</v>
      </c>
      <c r="E85" s="128">
        <v>1014.45</v>
      </c>
      <c r="F85" s="129">
        <f t="shared" si="2"/>
        <v>1.1920199501247009E-2</v>
      </c>
    </row>
    <row r="86" spans="2:6" x14ac:dyDescent="0.25">
      <c r="B86" s="127">
        <v>44531</v>
      </c>
      <c r="C86" s="128">
        <v>58253.82</v>
      </c>
      <c r="D86" s="129">
        <f t="shared" si="3"/>
        <v>2.0835060169242414E-2</v>
      </c>
      <c r="E86" s="128">
        <v>1064.95</v>
      </c>
      <c r="F86" s="129">
        <f t="shared" si="2"/>
        <v>4.9780669328207461E-2</v>
      </c>
    </row>
    <row r="87" spans="2:6" x14ac:dyDescent="0.25">
      <c r="B87" s="127">
        <v>44562</v>
      </c>
      <c r="C87" s="128">
        <v>58014.17</v>
      </c>
      <c r="D87" s="129">
        <f t="shared" si="3"/>
        <v>-4.113893303477778E-3</v>
      </c>
      <c r="E87" s="128">
        <v>1030.3499999999999</v>
      </c>
      <c r="F87" s="129">
        <f t="shared" si="2"/>
        <v>-3.2489788252969776E-2</v>
      </c>
    </row>
    <row r="88" spans="2:6" x14ac:dyDescent="0.25">
      <c r="B88" s="127">
        <v>44593</v>
      </c>
      <c r="C88" s="128">
        <v>56247.28</v>
      </c>
      <c r="D88" s="129">
        <f t="shared" si="3"/>
        <v>-3.0456179929834404E-2</v>
      </c>
      <c r="E88" s="128">
        <v>1108.1500000000001</v>
      </c>
      <c r="F88" s="129">
        <f t="shared" si="2"/>
        <v>7.5508322414713724E-2</v>
      </c>
    </row>
    <row r="89" spans="2:6" x14ac:dyDescent="0.25">
      <c r="B89" s="127">
        <v>44621</v>
      </c>
      <c r="C89" s="128">
        <v>58568.51</v>
      </c>
      <c r="D89" s="129">
        <f t="shared" si="3"/>
        <v>4.1268306663006626E-2</v>
      </c>
      <c r="E89" s="128">
        <v>1276.4000000000001</v>
      </c>
      <c r="F89" s="129">
        <f t="shared" si="2"/>
        <v>0.15182962595316507</v>
      </c>
    </row>
    <row r="90" spans="2:6" x14ac:dyDescent="0.25">
      <c r="B90" s="127">
        <v>44652</v>
      </c>
      <c r="C90" s="128">
        <v>57060.87</v>
      </c>
      <c r="D90" s="129">
        <f t="shared" si="3"/>
        <v>-2.5741477800954815E-2</v>
      </c>
      <c r="E90" s="128">
        <v>1228.7</v>
      </c>
      <c r="F90" s="129">
        <f t="shared" si="2"/>
        <v>-3.7370730178627465E-2</v>
      </c>
    </row>
    <row r="91" spans="2:6" x14ac:dyDescent="0.25">
      <c r="B91" s="127">
        <v>44682</v>
      </c>
      <c r="C91" s="128">
        <v>55566.41</v>
      </c>
      <c r="D91" s="129">
        <f t="shared" si="3"/>
        <v>-2.6190627657797672E-2</v>
      </c>
      <c r="E91" s="128">
        <v>1123.8499999999999</v>
      </c>
      <c r="F91" s="129">
        <f t="shared" si="2"/>
        <v>-8.5334092943761819E-2</v>
      </c>
    </row>
    <row r="92" spans="2:6" x14ac:dyDescent="0.25">
      <c r="B92" s="127">
        <v>44713</v>
      </c>
      <c r="C92" s="128">
        <v>53018.94</v>
      </c>
      <c r="D92" s="129">
        <f t="shared" si="3"/>
        <v>-4.5845502705681329E-2</v>
      </c>
      <c r="E92" s="128">
        <v>1074.45</v>
      </c>
      <c r="F92" s="129">
        <f t="shared" si="2"/>
        <v>-4.39560439560438E-2</v>
      </c>
    </row>
    <row r="93" spans="2:6" x14ac:dyDescent="0.25">
      <c r="B93" s="127">
        <v>44743</v>
      </c>
      <c r="C93" s="128">
        <v>57570.25</v>
      </c>
      <c r="D93" s="129">
        <f t="shared" si="3"/>
        <v>8.5843096825398479E-2</v>
      </c>
      <c r="E93" s="128">
        <v>1268.4000000000001</v>
      </c>
      <c r="F93" s="129">
        <f t="shared" si="2"/>
        <v>0.18051095909535109</v>
      </c>
    </row>
    <row r="94" spans="2:6" x14ac:dyDescent="0.25">
      <c r="B94" s="127">
        <v>44774</v>
      </c>
      <c r="C94" s="128">
        <v>59537.07</v>
      </c>
      <c r="D94" s="129">
        <f t="shared" si="3"/>
        <v>3.4163825934401926E-2</v>
      </c>
      <c r="E94" s="128">
        <v>1409.7</v>
      </c>
      <c r="F94" s="129">
        <f t="shared" si="2"/>
        <v>0.11140018921475869</v>
      </c>
    </row>
    <row r="95" spans="2:6" x14ac:dyDescent="0.25">
      <c r="B95" s="127">
        <v>44805</v>
      </c>
      <c r="C95" s="128">
        <v>57426.92</v>
      </c>
      <c r="D95" s="129">
        <f t="shared" si="3"/>
        <v>-3.5442624233943731E-2</v>
      </c>
      <c r="E95" s="128">
        <v>1418</v>
      </c>
      <c r="F95" s="129">
        <f t="shared" si="2"/>
        <v>5.88777754132086E-3</v>
      </c>
    </row>
    <row r="96" spans="2:6" x14ac:dyDescent="0.25">
      <c r="B96" s="127">
        <v>44835</v>
      </c>
      <c r="C96" s="128">
        <v>60746.59</v>
      </c>
      <c r="D96" s="129">
        <f t="shared" si="3"/>
        <v>5.7806861311733293E-2</v>
      </c>
      <c r="E96" s="128">
        <v>1529.15</v>
      </c>
      <c r="F96" s="129">
        <f t="shared" si="2"/>
        <v>7.8385049365303328E-2</v>
      </c>
    </row>
    <row r="97" spans="2:6" x14ac:dyDescent="0.25">
      <c r="B97" s="127">
        <v>44866</v>
      </c>
      <c r="C97" s="128">
        <v>63099.65</v>
      </c>
      <c r="D97" s="129">
        <f t="shared" si="3"/>
        <v>3.8735672241026364E-2</v>
      </c>
      <c r="E97" s="128">
        <v>1471.75</v>
      </c>
      <c r="F97" s="129">
        <f t="shared" si="2"/>
        <v>-3.7537193865873286E-2</v>
      </c>
    </row>
    <row r="98" spans="2:6" x14ac:dyDescent="0.25">
      <c r="B98" s="127">
        <v>44896</v>
      </c>
      <c r="C98" s="128">
        <v>60840.74</v>
      </c>
      <c r="D98" s="129">
        <f t="shared" si="3"/>
        <v>-3.5799089218403024E-2</v>
      </c>
      <c r="E98" s="128">
        <v>1350.65</v>
      </c>
      <c r="F98" s="129">
        <f t="shared" si="2"/>
        <v>-8.2282996432818001E-2</v>
      </c>
    </row>
    <row r="99" spans="2:6" x14ac:dyDescent="0.25">
      <c r="B99" s="127">
        <v>44927</v>
      </c>
      <c r="C99" s="128">
        <v>59549.9</v>
      </c>
      <c r="D99" s="129">
        <f t="shared" si="3"/>
        <v>-2.1216704464804281E-2</v>
      </c>
      <c r="E99" s="128">
        <v>1196.8</v>
      </c>
      <c r="F99" s="129">
        <f t="shared" si="2"/>
        <v>-0.11390811831340475</v>
      </c>
    </row>
    <row r="100" spans="2:6" x14ac:dyDescent="0.25">
      <c r="B100" s="127">
        <v>44958</v>
      </c>
      <c r="C100" s="128">
        <v>58962.12</v>
      </c>
      <c r="D100" s="129">
        <f t="shared" si="3"/>
        <v>-9.8703776160833367E-3</v>
      </c>
      <c r="E100" s="128">
        <v>1279.3499999999999</v>
      </c>
      <c r="F100" s="129">
        <f t="shared" si="2"/>
        <v>6.8975601604277959E-2</v>
      </c>
    </row>
    <row r="101" spans="2:6" x14ac:dyDescent="0.25">
      <c r="B101" s="127">
        <v>44986</v>
      </c>
      <c r="C101" s="128">
        <v>58991.519999999997</v>
      </c>
      <c r="D101" s="129">
        <f t="shared" si="3"/>
        <v>4.9862521903887291E-4</v>
      </c>
      <c r="E101" s="128">
        <v>1375.1</v>
      </c>
      <c r="F101" s="129">
        <f t="shared" si="2"/>
        <v>7.4842693555321027E-2</v>
      </c>
    </row>
    <row r="102" spans="2:6" x14ac:dyDescent="0.25">
      <c r="B102" s="127">
        <v>45017</v>
      </c>
      <c r="C102" s="128">
        <v>61112.44</v>
      </c>
      <c r="D102" s="129">
        <f t="shared" si="3"/>
        <v>3.5952964087041739E-2</v>
      </c>
      <c r="E102" s="128">
        <v>1366.85</v>
      </c>
      <c r="F102" s="129">
        <f t="shared" si="2"/>
        <v>-5.9995636680968412E-3</v>
      </c>
    </row>
    <row r="103" spans="2:6" x14ac:dyDescent="0.25">
      <c r="B103" s="127">
        <v>45047</v>
      </c>
      <c r="C103" s="128">
        <v>62622.239999999998</v>
      </c>
      <c r="D103" s="129">
        <f t="shared" si="3"/>
        <v>2.4705280954254061E-2</v>
      </c>
      <c r="E103" s="128">
        <v>1561.2</v>
      </c>
      <c r="F103" s="129">
        <f t="shared" si="2"/>
        <v>0.14218824304056787</v>
      </c>
    </row>
    <row r="104" spans="2:6" x14ac:dyDescent="0.25">
      <c r="B104" s="127">
        <v>45078</v>
      </c>
      <c r="C104" s="128">
        <v>64718.559999999998</v>
      </c>
      <c r="D104" s="129">
        <f t="shared" si="3"/>
        <v>3.3475646990589913E-2</v>
      </c>
      <c r="E104" s="128">
        <v>1763.1</v>
      </c>
      <c r="F104" s="129">
        <f t="shared" si="2"/>
        <v>0.12932359723289766</v>
      </c>
    </row>
    <row r="105" spans="2:6" x14ac:dyDescent="0.25">
      <c r="B105" s="127">
        <v>45108</v>
      </c>
      <c r="C105" s="128">
        <v>66527.67</v>
      </c>
      <c r="D105" s="129">
        <f t="shared" si="3"/>
        <v>2.7953495875062684E-2</v>
      </c>
      <c r="E105" s="128">
        <v>1757.1</v>
      </c>
      <c r="F105" s="129">
        <f t="shared" si="2"/>
        <v>-3.4030968181044674E-3</v>
      </c>
    </row>
    <row r="106" spans="2:6" x14ac:dyDescent="0.25">
      <c r="B106" s="127">
        <v>45139</v>
      </c>
      <c r="C106" s="128">
        <v>64831.41</v>
      </c>
      <c r="D106" s="129">
        <f t="shared" si="3"/>
        <v>-2.5497060095445945E-2</v>
      </c>
      <c r="E106" s="128">
        <v>2049.4499999999998</v>
      </c>
      <c r="F106" s="129">
        <f t="shared" si="2"/>
        <v>0.16638210688065569</v>
      </c>
    </row>
    <row r="107" spans="2:6" x14ac:dyDescent="0.25">
      <c r="B107" s="127">
        <v>45170</v>
      </c>
      <c r="C107" s="128">
        <v>65828.41</v>
      </c>
      <c r="D107" s="129">
        <f t="shared" si="3"/>
        <v>1.5378348242001794E-2</v>
      </c>
      <c r="E107" s="128">
        <v>2078.4</v>
      </c>
      <c r="F107" s="129">
        <f t="shared" si="2"/>
        <v>1.4125741052477547E-2</v>
      </c>
    </row>
    <row r="108" spans="2:6" x14ac:dyDescent="0.25">
      <c r="B108" s="127">
        <v>45200</v>
      </c>
      <c r="C108" s="128">
        <v>63874.93</v>
      </c>
      <c r="D108" s="129">
        <f t="shared" si="3"/>
        <v>-2.9675333188208586E-2</v>
      </c>
      <c r="E108" s="128">
        <v>2158.3000000000002</v>
      </c>
      <c r="F108" s="129">
        <f t="shared" si="2"/>
        <v>3.8443033102386392E-2</v>
      </c>
    </row>
    <row r="109" spans="2:6" x14ac:dyDescent="0.25">
      <c r="B109" s="127">
        <v>45231</v>
      </c>
      <c r="C109" s="128">
        <v>66988.44</v>
      </c>
      <c r="D109" s="129">
        <f t="shared" si="3"/>
        <v>4.8743849895412916E-2</v>
      </c>
      <c r="E109" s="128">
        <v>2784.8</v>
      </c>
      <c r="F109" s="129">
        <f t="shared" si="2"/>
        <v>0.29027475327804297</v>
      </c>
    </row>
    <row r="110" spans="2:6" x14ac:dyDescent="0.25">
      <c r="B110" s="127">
        <v>45261</v>
      </c>
      <c r="C110" s="128">
        <v>72240.259999999995</v>
      </c>
      <c r="D110" s="129">
        <f t="shared" si="3"/>
        <v>7.8398899869887906E-2</v>
      </c>
      <c r="E110" s="128">
        <v>3056.15</v>
      </c>
      <c r="F110" s="129">
        <f t="shared" si="2"/>
        <v>9.7439672507900088E-2</v>
      </c>
    </row>
    <row r="111" spans="2:6" x14ac:dyDescent="0.25">
      <c r="B111" s="127">
        <v>45292</v>
      </c>
      <c r="C111" s="128">
        <v>71752.11</v>
      </c>
      <c r="D111" s="129">
        <f t="shared" si="3"/>
        <v>-6.7573123352545617E-3</v>
      </c>
      <c r="E111" s="128">
        <v>3084.1</v>
      </c>
      <c r="F111" s="129">
        <f t="shared" si="2"/>
        <v>9.1454935130801385E-3</v>
      </c>
    </row>
    <row r="112" spans="2:6" x14ac:dyDescent="0.25">
      <c r="B112" s="127">
        <v>45323</v>
      </c>
      <c r="C112" s="128">
        <v>72500.3</v>
      </c>
      <c r="D112" s="129">
        <f t="shared" si="3"/>
        <v>1.0427428545306983E-2</v>
      </c>
      <c r="E112" s="128">
        <v>3885.65</v>
      </c>
      <c r="F112" s="129">
        <f t="shared" si="2"/>
        <v>0.2598975389903051</v>
      </c>
    </row>
    <row r="113" spans="2:6" x14ac:dyDescent="0.25">
      <c r="B113" s="127">
        <v>45352</v>
      </c>
      <c r="C113" s="128">
        <v>73651.350000000006</v>
      </c>
      <c r="D113" s="129">
        <f t="shared" si="3"/>
        <v>1.5876486028333803E-2</v>
      </c>
      <c r="E113" s="128">
        <v>3948.45</v>
      </c>
      <c r="F113" s="129">
        <f t="shared" si="2"/>
        <v>1.6162032092442713E-2</v>
      </c>
    </row>
    <row r="114" spans="2:6" x14ac:dyDescent="0.25">
      <c r="B114" s="127">
        <v>45383</v>
      </c>
      <c r="C114" s="128">
        <v>74482.78</v>
      </c>
      <c r="D114" s="129">
        <f t="shared" si="3"/>
        <v>1.1288727226316908E-2</v>
      </c>
      <c r="E114" s="128">
        <v>4409.3500000000004</v>
      </c>
      <c r="F114" s="129">
        <f t="shared" si="2"/>
        <v>0.11672934949157288</v>
      </c>
    </row>
    <row r="115" spans="2:6" x14ac:dyDescent="0.25">
      <c r="B115" s="127">
        <v>45413</v>
      </c>
      <c r="C115" s="128">
        <v>73961.31</v>
      </c>
      <c r="D115" s="129">
        <f t="shared" si="3"/>
        <v>-7.0012155829843881E-3</v>
      </c>
      <c r="E115" s="128">
        <v>4551.55</v>
      </c>
      <c r="F115" s="129">
        <f t="shared" si="2"/>
        <v>3.2249651309149918E-2</v>
      </c>
    </row>
    <row r="116" spans="2:6" x14ac:dyDescent="0.25">
      <c r="B116" s="127">
        <v>45444</v>
      </c>
      <c r="C116" s="128">
        <v>79032.73</v>
      </c>
      <c r="D116" s="129">
        <f t="shared" si="3"/>
        <v>6.8568552936663751E-2</v>
      </c>
      <c r="E116" s="128">
        <v>5478.45</v>
      </c>
      <c r="F116" s="129">
        <f t="shared" si="2"/>
        <v>0.20364491217277614</v>
      </c>
    </row>
    <row r="117" spans="2:6" x14ac:dyDescent="0.25">
      <c r="B117" s="127">
        <v>45474</v>
      </c>
      <c r="C117" s="128">
        <v>81741.34</v>
      </c>
      <c r="D117" s="129">
        <f t="shared" si="3"/>
        <v>3.427200351044446E-2</v>
      </c>
      <c r="E117" s="128">
        <v>5835.45</v>
      </c>
      <c r="F117" s="129">
        <f t="shared" si="2"/>
        <v>6.5164416942748327E-2</v>
      </c>
    </row>
    <row r="118" spans="2:6" x14ac:dyDescent="0.25">
      <c r="B118" s="127">
        <v>45505</v>
      </c>
      <c r="C118" s="128">
        <v>82365.77</v>
      </c>
      <c r="D118" s="129">
        <f t="shared" si="3"/>
        <v>7.6390966920778514E-3</v>
      </c>
      <c r="E118" s="128">
        <v>7167.15</v>
      </c>
      <c r="F118" s="129">
        <f t="shared" si="2"/>
        <v>0.2282086214430763</v>
      </c>
    </row>
    <row r="119" spans="2:6" x14ac:dyDescent="0.25">
      <c r="B119" s="127">
        <v>45536</v>
      </c>
      <c r="C119" s="128">
        <v>84299.78</v>
      </c>
      <c r="D119" s="129">
        <f t="shared" si="3"/>
        <v>2.3480749345268004E-2</v>
      </c>
      <c r="E119" s="128">
        <v>7577.15</v>
      </c>
      <c r="F119" s="129">
        <f t="shared" si="2"/>
        <v>5.7205444283990214E-2</v>
      </c>
    </row>
    <row r="120" spans="2:6" x14ac:dyDescent="0.25">
      <c r="B120" s="127">
        <v>45566</v>
      </c>
      <c r="C120" s="128">
        <v>79389.06</v>
      </c>
      <c r="D120" s="129">
        <f t="shared" si="3"/>
        <v>-5.8253058311658723E-2</v>
      </c>
      <c r="E120" s="128">
        <v>7122.5</v>
      </c>
      <c r="F120" s="129">
        <f t="shared" si="2"/>
        <v>-6.000277149059996E-2</v>
      </c>
    </row>
    <row r="121" spans="2:6" x14ac:dyDescent="0.25">
      <c r="B121" s="127">
        <v>45597</v>
      </c>
      <c r="C121" s="128">
        <v>79802.789999999994</v>
      </c>
      <c r="D121" s="129">
        <f t="shared" si="3"/>
        <v>5.2114233371700625E-3</v>
      </c>
      <c r="E121" s="128">
        <v>6794.75</v>
      </c>
      <c r="F121" s="129">
        <f t="shared" si="2"/>
        <v>-4.6016146016146009E-2</v>
      </c>
    </row>
    <row r="122" spans="2:6" x14ac:dyDescent="0.25">
      <c r="B122" s="127">
        <v>45627</v>
      </c>
      <c r="C122" s="128">
        <v>78139.009999999995</v>
      </c>
      <c r="D122" s="129">
        <f t="shared" si="3"/>
        <v>-2.0848644514809611E-2</v>
      </c>
      <c r="E122" s="128">
        <v>7116.15</v>
      </c>
      <c r="F122" s="129">
        <f t="shared" si="2"/>
        <v>4.7301225210640618E-2</v>
      </c>
    </row>
    <row r="123" spans="2:6" x14ac:dyDescent="0.25">
      <c r="B123" s="127">
        <v>45658</v>
      </c>
      <c r="C123" s="128">
        <v>77500.570000000007</v>
      </c>
      <c r="D123" s="129">
        <f t="shared" si="3"/>
        <v>-8.1705667885987321E-3</v>
      </c>
      <c r="E123" s="128">
        <v>5753.8</v>
      </c>
      <c r="F123" s="129">
        <f t="shared" si="2"/>
        <v>-0.19144481215263864</v>
      </c>
    </row>
    <row r="124" spans="2:6" x14ac:dyDescent="0.25">
      <c r="B124" s="127">
        <v>45689</v>
      </c>
      <c r="C124" s="128">
        <v>73198.100000000006</v>
      </c>
      <c r="D124" s="129">
        <f t="shared" si="3"/>
        <v>-5.5515333629159169E-2</v>
      </c>
      <c r="E124" s="128">
        <v>4853.3</v>
      </c>
      <c r="F124" s="129">
        <f t="shared" si="2"/>
        <v>-0.15650526608502202</v>
      </c>
    </row>
    <row r="125" spans="2:6" x14ac:dyDescent="0.25">
      <c r="B125" s="127">
        <v>45717</v>
      </c>
      <c r="C125" s="128">
        <v>77414.92</v>
      </c>
      <c r="D125" s="129">
        <f t="shared" si="3"/>
        <v>5.760832589916931E-2</v>
      </c>
      <c r="E125" s="128">
        <v>5311.05</v>
      </c>
      <c r="F125" s="129">
        <f t="shared" si="2"/>
        <v>9.4317268662559517E-2</v>
      </c>
    </row>
    <row r="126" spans="2:6" x14ac:dyDescent="0.25">
      <c r="B126" s="127">
        <v>45748</v>
      </c>
      <c r="C126" s="128">
        <v>80242.240000000005</v>
      </c>
      <c r="D126" s="129">
        <f t="shared" si="3"/>
        <v>3.652164208139741E-2</v>
      </c>
      <c r="E126" s="128">
        <v>5173.3999999999996</v>
      </c>
      <c r="F126" s="129">
        <f t="shared" si="2"/>
        <v>-2.5917662232515348E-2</v>
      </c>
    </row>
    <row r="127" spans="2:6" x14ac:dyDescent="0.25">
      <c r="B127" s="127">
        <v>45778</v>
      </c>
      <c r="C127" s="128">
        <v>81451.009999999995</v>
      </c>
      <c r="D127" s="129">
        <f t="shared" si="3"/>
        <v>1.5064011174164449E-2</v>
      </c>
      <c r="E127" s="128">
        <v>5641.65</v>
      </c>
      <c r="F127" s="129">
        <f t="shared" si="2"/>
        <v>9.051107588819729E-2</v>
      </c>
    </row>
    <row r="128" spans="2:6" x14ac:dyDescent="0.25">
      <c r="B128" s="127">
        <v>45809</v>
      </c>
      <c r="C128" s="128">
        <v>83606.460000000006</v>
      </c>
      <c r="D128" s="129">
        <f t="shared" si="3"/>
        <v>2.6463146374735125E-2</v>
      </c>
      <c r="E128" s="128">
        <v>6219.15</v>
      </c>
      <c r="F128" s="129">
        <f t="shared" si="2"/>
        <v>0.1023636702028663</v>
      </c>
    </row>
    <row r="129" spans="2:6" x14ac:dyDescent="0.25">
      <c r="B129" s="127">
        <v>45839</v>
      </c>
      <c r="C129" s="128">
        <v>82253.460000000006</v>
      </c>
      <c r="D129" s="129">
        <f t="shared" si="3"/>
        <v>-1.6182960024859305E-2</v>
      </c>
      <c r="E129" s="128">
        <v>5313.9</v>
      </c>
      <c r="F129" s="129">
        <f t="shared" si="2"/>
        <v>-0.14555847664069854</v>
      </c>
    </row>
  </sheetData>
  <conditionalFormatting sqref="D10:D1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{AE7E8A22-F36B-4B41-BD2A-70E73AB1C47C}</x14:id>
        </ext>
      </extLst>
    </cfRule>
  </conditionalFormatting>
  <conditionalFormatting sqref="F10:F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{13E78BB5-4D09-4254-9682-AE01BF4B322E}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7E8A22-F36B-4B41-BD2A-70E73AB1C4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D10:D129</xm:sqref>
        </x14:conditionalFormatting>
        <x14:conditionalFormatting xmlns:xm="http://schemas.microsoft.com/office/excel/2006/main">
          <x14:cfRule type="dataBar" id="{13E78BB5-4D09-4254-9682-AE01BF4B32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F10:F129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38"/>
  <sheetViews>
    <sheetView showGridLines="0" topLeftCell="C4" workbookViewId="0">
      <selection activeCell="I16" sqref="I16"/>
    </sheetView>
  </sheetViews>
  <sheetFormatPr defaultRowHeight="15" x14ac:dyDescent="0.25"/>
  <cols>
    <col min="1" max="1" width="1.85546875" customWidth="1"/>
    <col min="2" max="2" width="32" bestFit="1" customWidth="1"/>
    <col min="3" max="3" width="20.42578125" bestFit="1" customWidth="1"/>
    <col min="4" max="4" width="8.140625" customWidth="1"/>
    <col min="5" max="5" width="23" bestFit="1" customWidth="1"/>
    <col min="6" max="6" width="12.28515625" bestFit="1" customWidth="1"/>
    <col min="7" max="8" width="8.140625" customWidth="1"/>
    <col min="9" max="10" width="10.7109375" bestFit="1" customWidth="1"/>
    <col min="11" max="15" width="11.140625" bestFit="1" customWidth="1"/>
    <col min="16" max="18" width="10.7109375" bestFit="1" customWidth="1"/>
  </cols>
  <sheetData>
    <row r="7" spans="2:18" x14ac:dyDescent="0.25">
      <c r="B7" s="109" t="s">
        <v>0</v>
      </c>
      <c r="C7" s="109"/>
      <c r="D7" s="109">
        <v>2021</v>
      </c>
      <c r="E7" s="109">
        <v>2022</v>
      </c>
      <c r="F7" s="109">
        <v>2023</v>
      </c>
      <c r="G7" s="109">
        <v>2024</v>
      </c>
      <c r="H7" s="109">
        <v>2025</v>
      </c>
      <c r="I7" s="109">
        <v>2026</v>
      </c>
      <c r="J7" s="109">
        <v>2027</v>
      </c>
      <c r="K7" s="109">
        <v>2028</v>
      </c>
      <c r="L7" s="109">
        <v>2029</v>
      </c>
      <c r="M7" s="109">
        <v>2030</v>
      </c>
      <c r="N7" s="109">
        <v>2031</v>
      </c>
      <c r="O7" s="109">
        <v>2032</v>
      </c>
      <c r="P7" s="109">
        <v>2033</v>
      </c>
      <c r="Q7" s="109">
        <v>2034</v>
      </c>
      <c r="R7" s="109">
        <v>2035</v>
      </c>
    </row>
    <row r="8" spans="2:18" x14ac:dyDescent="0.25">
      <c r="B8" s="119" t="s">
        <v>326</v>
      </c>
      <c r="C8" s="109"/>
      <c r="D8" s="110" t="s">
        <v>162</v>
      </c>
      <c r="E8" s="110" t="s">
        <v>162</v>
      </c>
      <c r="F8" s="110" t="s">
        <v>162</v>
      </c>
      <c r="G8" s="110" t="s">
        <v>162</v>
      </c>
      <c r="H8" s="110" t="s">
        <v>162</v>
      </c>
      <c r="I8" s="110" t="s">
        <v>167</v>
      </c>
      <c r="J8" s="110" t="s">
        <v>167</v>
      </c>
      <c r="K8" s="110" t="s">
        <v>167</v>
      </c>
      <c r="L8" s="110" t="s">
        <v>167</v>
      </c>
      <c r="M8" s="110" t="s">
        <v>167</v>
      </c>
      <c r="N8" s="110" t="s">
        <v>167</v>
      </c>
      <c r="O8" s="110" t="s">
        <v>167</v>
      </c>
      <c r="P8" s="110" t="s">
        <v>167</v>
      </c>
      <c r="Q8" s="110" t="s">
        <v>167</v>
      </c>
      <c r="R8" s="110" t="s">
        <v>167</v>
      </c>
    </row>
    <row r="9" spans="2:18" x14ac:dyDescent="0.25">
      <c r="B9" s="111" t="s">
        <v>308</v>
      </c>
      <c r="C9" s="2"/>
      <c r="D9" s="112"/>
      <c r="E9" s="120">
        <f>'income statement'!E18</f>
        <v>263.05000000000035</v>
      </c>
      <c r="F9" s="120">
        <f>'income statement'!F18</f>
        <v>579.96000000000049</v>
      </c>
      <c r="G9" s="120">
        <f>'income statement'!G18</f>
        <v>1251.0199999999982</v>
      </c>
      <c r="H9" s="120">
        <f>'income statement'!H18</f>
        <v>1863.2700000000009</v>
      </c>
      <c r="I9" s="120">
        <f>'income statement'!I18</f>
        <v>3015.2038092685825</v>
      </c>
      <c r="J9" s="120">
        <f>'income statement'!J18</f>
        <v>4860.9978962808827</v>
      </c>
      <c r="K9" s="120">
        <f>'income statement'!K18</f>
        <v>7247.7910606746145</v>
      </c>
      <c r="L9" s="120">
        <f>'income statement'!L18</f>
        <v>10175.484570152927</v>
      </c>
      <c r="M9" s="120">
        <f>'income statement'!M18</f>
        <v>13601.323129720578</v>
      </c>
      <c r="N9" s="120">
        <f>'income statement'!N18</f>
        <v>17445.517327634458</v>
      </c>
      <c r="O9" s="120">
        <f>'income statement'!O18</f>
        <v>21602.216672892937</v>
      </c>
      <c r="P9" s="120">
        <f>'income statement'!P18</f>
        <v>25952.668681295021</v>
      </c>
      <c r="Q9" s="120">
        <f>'income statement'!Q18</f>
        <v>30377.575642458542</v>
      </c>
      <c r="R9" s="120">
        <f>'income statement'!R18</f>
        <v>34767.262768291293</v>
      </c>
    </row>
    <row r="10" spans="2:18" x14ac:dyDescent="0.25">
      <c r="B10" s="71" t="s">
        <v>313</v>
      </c>
      <c r="E10" s="121">
        <f>-'income statement'!E25</f>
        <v>-76.62</v>
      </c>
      <c r="F10" s="121">
        <f>-'income statement'!F25</f>
        <v>-158.44</v>
      </c>
      <c r="G10" s="121">
        <f>-'income statement'!G25</f>
        <v>-443.37</v>
      </c>
      <c r="H10" s="121">
        <f>-'income statement'!H25</f>
        <v>-495.33</v>
      </c>
      <c r="I10" s="121">
        <f>-'income statement'!I25</f>
        <v>-1332.6916387591323</v>
      </c>
      <c r="J10" s="121">
        <f>-'income statement'!J25</f>
        <v>-2115.8619396964991</v>
      </c>
      <c r="K10" s="121">
        <f>-'income statement'!K25</f>
        <v>-3128.5781110107014</v>
      </c>
      <c r="L10" s="121">
        <f>-'income statement'!L25</f>
        <v>-4370.8010047575817</v>
      </c>
      <c r="M10" s="121">
        <f>-'income statement'!M25</f>
        <v>-5824.384063961279</v>
      </c>
      <c r="N10" s="121">
        <f>-'income statement'!N25</f>
        <v>-7455.4753910090876</v>
      </c>
      <c r="O10" s="121">
        <f>-'income statement'!O25</f>
        <v>-9219.1654839634775</v>
      </c>
      <c r="P10" s="121">
        <f>-'income statement'!P25</f>
        <v>-11065.061964295592</v>
      </c>
      <c r="Q10" s="121">
        <f>-'income statement'!Q25</f>
        <v>-12942.549675833152</v>
      </c>
      <c r="R10" s="121">
        <f>-'income statement'!R25</f>
        <v>-14805.096581809976</v>
      </c>
    </row>
    <row r="11" spans="2:18" x14ac:dyDescent="0.25">
      <c r="B11" s="113" t="s">
        <v>309</v>
      </c>
      <c r="C11" s="114"/>
      <c r="D11" s="3"/>
      <c r="E11" s="117">
        <f>SUM(E9:E10)</f>
        <v>186.43000000000035</v>
      </c>
      <c r="F11" s="117">
        <f t="shared" ref="F11:R11" si="0">SUM(F9:F10)</f>
        <v>421.52000000000049</v>
      </c>
      <c r="G11" s="117">
        <f t="shared" si="0"/>
        <v>807.64999999999816</v>
      </c>
      <c r="H11" s="117">
        <f t="shared" si="0"/>
        <v>1367.940000000001</v>
      </c>
      <c r="I11" s="117">
        <f t="shared" si="0"/>
        <v>1682.5121705094502</v>
      </c>
      <c r="J11" s="117">
        <f t="shared" si="0"/>
        <v>2745.1359565843836</v>
      </c>
      <c r="K11" s="117">
        <f t="shared" si="0"/>
        <v>4119.2129496639136</v>
      </c>
      <c r="L11" s="117">
        <f t="shared" si="0"/>
        <v>5804.6835653953449</v>
      </c>
      <c r="M11" s="117">
        <f t="shared" si="0"/>
        <v>7776.9390657592994</v>
      </c>
      <c r="N11" s="117">
        <f t="shared" si="0"/>
        <v>9990.04193662537</v>
      </c>
      <c r="O11" s="117">
        <f t="shared" si="0"/>
        <v>12383.051188929459</v>
      </c>
      <c r="P11" s="117">
        <f t="shared" si="0"/>
        <v>14887.606716999429</v>
      </c>
      <c r="Q11" s="117">
        <f t="shared" si="0"/>
        <v>17435.025966625391</v>
      </c>
      <c r="R11" s="117">
        <f t="shared" si="0"/>
        <v>19962.166186481318</v>
      </c>
    </row>
    <row r="12" spans="2:18" x14ac:dyDescent="0.25">
      <c r="B12" s="71" t="s">
        <v>310</v>
      </c>
      <c r="E12" s="121">
        <f>'income statement'!E17</f>
        <v>310.82</v>
      </c>
      <c r="F12" s="121">
        <f>'income statement'!F17</f>
        <v>493.69</v>
      </c>
      <c r="G12" s="121">
        <f>'income statement'!G17</f>
        <v>671.11</v>
      </c>
      <c r="H12" s="121">
        <f>'income statement'!H17</f>
        <v>895.18</v>
      </c>
      <c r="I12" s="121">
        <f>'income statement'!I17</f>
        <v>525.60199999999986</v>
      </c>
      <c r="J12" s="121">
        <f>'income statement'!J17</f>
        <v>525.60199999999986</v>
      </c>
      <c r="K12" s="121">
        <f>'income statement'!K17</f>
        <v>525.60199999999986</v>
      </c>
      <c r="L12" s="121">
        <f>'income statement'!L17</f>
        <v>525.62903999999992</v>
      </c>
      <c r="M12" s="121">
        <f>'income statement'!M17</f>
        <v>525.62903999999992</v>
      </c>
      <c r="N12" s="121">
        <f>'income statement'!N17</f>
        <v>525.62903999999992</v>
      </c>
      <c r="O12" s="121">
        <f>'income statement'!O17</f>
        <v>525.65716159999988</v>
      </c>
      <c r="P12" s="121">
        <f>'income statement'!P17</f>
        <v>525.65716159999988</v>
      </c>
      <c r="Q12" s="121">
        <f>'income statement'!Q17</f>
        <v>525.65716159999988</v>
      </c>
      <c r="R12" s="121">
        <f>'income statement'!R17</f>
        <v>525.68640806399992</v>
      </c>
    </row>
    <row r="13" spans="2:18" x14ac:dyDescent="0.25">
      <c r="B13" s="71" t="s">
        <v>311</v>
      </c>
      <c r="E13" s="121">
        <f>FAS!E386</f>
        <v>4764.2400000000007</v>
      </c>
      <c r="F13" s="121">
        <f>FAS!F386</f>
        <v>4601.4800000000005</v>
      </c>
      <c r="G13" s="121">
        <f>FAS!G386</f>
        <v>2646.5100000000011</v>
      </c>
      <c r="H13" s="121">
        <f>FAS!H386</f>
        <v>4047.4400000000014</v>
      </c>
      <c r="I13" s="121">
        <f>FAS!I386</f>
        <v>4228.4416333333356</v>
      </c>
      <c r="J13" s="121">
        <f>FAS!J386</f>
        <v>4408.3454666666694</v>
      </c>
      <c r="K13" s="121">
        <f>FAS!K386</f>
        <v>4588.9293200000038</v>
      </c>
      <c r="L13" s="121">
        <f>FAS!L386</f>
        <v>4818.1706673333356</v>
      </c>
      <c r="M13" s="121">
        <f>FAS!M386</f>
        <v>5048.2348388666696</v>
      </c>
      <c r="N13" s="121">
        <f>FAS!N386</f>
        <v>5279.2041170200055</v>
      </c>
      <c r="O13" s="121">
        <f>FAS!O386</f>
        <v>5560.994863335337</v>
      </c>
      <c r="P13" s="121">
        <f>FAS!P386</f>
        <v>5843.880788660872</v>
      </c>
      <c r="Q13" s="121">
        <f>FAS!Q386</f>
        <v>6127.9714108976259</v>
      </c>
      <c r="R13" s="121">
        <f>FAS!R386</f>
        <v>6465.2060846519234</v>
      </c>
    </row>
    <row r="14" spans="2:18" x14ac:dyDescent="0.25">
      <c r="B14" s="71" t="s">
        <v>312</v>
      </c>
      <c r="E14" s="121">
        <f>'Working Capital Build-up'!E38</f>
        <v>-429.33999999999992</v>
      </c>
      <c r="F14" s="121">
        <f>'Working Capital Build-up'!F38</f>
        <v>-293.15999999999997</v>
      </c>
      <c r="G14" s="121">
        <f>'Working Capital Build-up'!G38</f>
        <v>-271.49999999999994</v>
      </c>
      <c r="H14" s="121">
        <f>'Working Capital Build-up'!H38</f>
        <v>-567.69000000000005</v>
      </c>
      <c r="I14" s="121">
        <f>'Working Capital Build-up'!I38</f>
        <v>-1093.7566853836238</v>
      </c>
      <c r="J14" s="121">
        <f>'Working Capital Build-up'!J38</f>
        <v>-1185.1923461388906</v>
      </c>
      <c r="K14" s="121">
        <f>'Working Capital Build-up'!K38</f>
        <v>-1532.5701876285329</v>
      </c>
      <c r="L14" s="121">
        <f>'Working Capital Build-up'!L38</f>
        <v>-1879.9019951850796</v>
      </c>
      <c r="M14" s="121">
        <f>'Working Capital Build-up'!M38</f>
        <v>-2199.7457183749311</v>
      </c>
      <c r="N14" s="121">
        <f>'Working Capital Build-up'!N38</f>
        <v>-2468.3736785687906</v>
      </c>
      <c r="O14" s="121">
        <f>'Working Capital Build-up'!O38</f>
        <v>-2669.0526388456983</v>
      </c>
      <c r="P14" s="121">
        <f>'Working Capital Build-up'!P38</f>
        <v>-2793.4440027103492</v>
      </c>
      <c r="Q14" s="121">
        <f>'Working Capital Build-up'!Q38</f>
        <v>-2841.2518490816547</v>
      </c>
      <c r="R14" s="121">
        <f>'Working Capital Build-up'!R38</f>
        <v>-2818.6558201559692</v>
      </c>
    </row>
    <row r="15" spans="2:18" ht="15.75" thickBot="1" x14ac:dyDescent="0.3">
      <c r="B15" s="115" t="s">
        <v>307</v>
      </c>
      <c r="C15" s="10"/>
      <c r="D15" s="10"/>
      <c r="E15" s="118">
        <f>E11+E12-E13-E14</f>
        <v>-3837.6500000000005</v>
      </c>
      <c r="F15" s="118">
        <f t="shared" ref="F15:R15" si="1">F11+F12-F13-F14</f>
        <v>-3393.11</v>
      </c>
      <c r="G15" s="118">
        <f t="shared" si="1"/>
        <v>-896.25000000000296</v>
      </c>
      <c r="H15" s="118">
        <f t="shared" si="1"/>
        <v>-1216.6300000000006</v>
      </c>
      <c r="I15" s="118">
        <f t="shared" si="1"/>
        <v>-926.57077744026174</v>
      </c>
      <c r="J15" s="118">
        <f t="shared" si="1"/>
        <v>47.584836056604672</v>
      </c>
      <c r="K15" s="118">
        <f t="shared" si="1"/>
        <v>1588.4558172924426</v>
      </c>
      <c r="L15" s="118">
        <f t="shared" si="1"/>
        <v>3392.0439332470887</v>
      </c>
      <c r="M15" s="118">
        <f t="shared" si="1"/>
        <v>5454.0789852675607</v>
      </c>
      <c r="N15" s="118">
        <f t="shared" si="1"/>
        <v>7704.840538174155</v>
      </c>
      <c r="O15" s="118">
        <f t="shared" si="1"/>
        <v>10016.76612603982</v>
      </c>
      <c r="P15" s="118">
        <f t="shared" si="1"/>
        <v>12362.827092648906</v>
      </c>
      <c r="Q15" s="118">
        <f t="shared" si="1"/>
        <v>14673.96356640942</v>
      </c>
      <c r="R15" s="118">
        <f t="shared" si="1"/>
        <v>16841.302330049366</v>
      </c>
    </row>
    <row r="18" spans="2:15" ht="15.75" thickBot="1" x14ac:dyDescent="0.3"/>
    <row r="19" spans="2:15" x14ac:dyDescent="0.25">
      <c r="B19" s="296" t="s">
        <v>296</v>
      </c>
      <c r="C19" s="297"/>
      <c r="E19" s="285" t="s">
        <v>314</v>
      </c>
      <c r="F19" s="286"/>
      <c r="I19" s="303" t="s">
        <v>429</v>
      </c>
      <c r="J19" s="304"/>
      <c r="K19" s="304"/>
      <c r="L19" s="304"/>
      <c r="M19" s="304"/>
      <c r="N19" s="304"/>
      <c r="O19" s="305"/>
    </row>
    <row r="20" spans="2:15" x14ac:dyDescent="0.25">
      <c r="B20" s="74" t="s">
        <v>297</v>
      </c>
      <c r="C20" s="75">
        <f>Assumption!C11</f>
        <v>6.3119999999999996E-2</v>
      </c>
      <c r="E20" s="231" t="s">
        <v>314</v>
      </c>
      <c r="F20" s="232">
        <f>R15*(1+Assumption!C13)/(Assumption!C14-Assumption!C13)</f>
        <v>239567.24996219561</v>
      </c>
      <c r="I20" s="87"/>
      <c r="J20" s="295" t="s">
        <v>292</v>
      </c>
      <c r="K20" s="295"/>
      <c r="L20" s="295"/>
      <c r="M20" s="295"/>
      <c r="N20" s="295"/>
      <c r="O20" s="302"/>
    </row>
    <row r="21" spans="2:15" x14ac:dyDescent="0.25">
      <c r="B21" s="76" t="s">
        <v>298</v>
      </c>
      <c r="C21" s="77">
        <f>'Market Return'!F10</f>
        <v>0.11563717710177235</v>
      </c>
      <c r="E21" s="233" t="s">
        <v>428</v>
      </c>
      <c r="F21" s="234">
        <v>0.05</v>
      </c>
      <c r="I21" s="87"/>
      <c r="J21" s="240">
        <f>F34</f>
        <v>2869.5301617316904</v>
      </c>
      <c r="K21" s="241">
        <v>0.1</v>
      </c>
      <c r="L21" s="241">
        <v>0.11</v>
      </c>
      <c r="M21" s="18">
        <v>0.12381379320145938</v>
      </c>
      <c r="N21" s="241">
        <v>0.13</v>
      </c>
      <c r="O21" s="70">
        <v>0.14000000000000001</v>
      </c>
    </row>
    <row r="22" spans="2:15" ht="15.75" thickBot="1" x14ac:dyDescent="0.3">
      <c r="B22" s="76" t="s">
        <v>299</v>
      </c>
      <c r="C22" s="78">
        <f>C21-C20</f>
        <v>5.2517177101772353E-2</v>
      </c>
      <c r="I22" s="300" t="s">
        <v>427</v>
      </c>
      <c r="J22" s="241">
        <v>7.0000000000000007E-2</v>
      </c>
      <c r="K22" s="236">
        <f t="dataTable" ref="K22:O26" dt2D="1" dtr="1" r1="C36" r2="F21"/>
        <v>4748.2173853255672</v>
      </c>
      <c r="L22" s="237">
        <v>3770.3715273089783</v>
      </c>
      <c r="M22" s="237">
        <v>2869.5301617316904</v>
      </c>
      <c r="N22" s="237">
        <v>2571.5134108502702</v>
      </c>
      <c r="O22" s="242">
        <v>2181.3178454103695</v>
      </c>
    </row>
    <row r="23" spans="2:15" ht="15.75" thickBot="1" x14ac:dyDescent="0.3">
      <c r="B23" s="79" t="s">
        <v>300</v>
      </c>
      <c r="C23" s="80">
        <f>'Beta Calculation'!J9</f>
        <v>1.1688310451418908</v>
      </c>
      <c r="E23" s="298" t="s">
        <v>315</v>
      </c>
      <c r="F23" s="299"/>
      <c r="I23" s="300"/>
      <c r="J23" s="241">
        <v>0.06</v>
      </c>
      <c r="K23" s="238">
        <v>4748.2173853255672</v>
      </c>
      <c r="L23" s="235">
        <v>3770.3715273089783</v>
      </c>
      <c r="M23" s="235">
        <v>2869.5301617316904</v>
      </c>
      <c r="N23" s="235">
        <v>2571.5134108502702</v>
      </c>
      <c r="O23" s="243">
        <v>2181.3178454103695</v>
      </c>
    </row>
    <row r="24" spans="2:15" ht="15.75" thickBot="1" x14ac:dyDescent="0.3">
      <c r="B24" s="72" t="s">
        <v>296</v>
      </c>
      <c r="C24" s="73">
        <f>C20+C23*C22</f>
        <v>0.12450370699976634</v>
      </c>
      <c r="E24" s="87"/>
      <c r="F24" s="88"/>
      <c r="I24" s="300"/>
      <c r="J24" s="241">
        <v>0.05</v>
      </c>
      <c r="K24" s="238">
        <v>4748.2173853255672</v>
      </c>
      <c r="L24" s="235">
        <v>3770.3715273089783</v>
      </c>
      <c r="M24" s="239">
        <v>2869.5301617316904</v>
      </c>
      <c r="N24" s="235">
        <v>2571.5134108502702</v>
      </c>
      <c r="O24" s="243">
        <v>2181.3178454103695</v>
      </c>
    </row>
    <row r="25" spans="2:15" ht="15.75" thickBot="1" x14ac:dyDescent="0.3">
      <c r="E25" s="89" t="s">
        <v>316</v>
      </c>
      <c r="F25" s="90">
        <f>NPV(C36,I15:R15)</f>
        <v>28983.336324692449</v>
      </c>
      <c r="I25" s="300"/>
      <c r="J25" s="241">
        <v>0.04</v>
      </c>
      <c r="K25" s="238">
        <v>4748.2173853255672</v>
      </c>
      <c r="L25" s="235">
        <v>3770.3715273089783</v>
      </c>
      <c r="M25" s="235">
        <v>2869.5301617316904</v>
      </c>
      <c r="N25" s="235">
        <v>2571.5134108502702</v>
      </c>
      <c r="O25" s="243">
        <v>2181.3178454103695</v>
      </c>
    </row>
    <row r="26" spans="2:15" ht="15.75" thickBot="1" x14ac:dyDescent="0.3">
      <c r="B26" s="296" t="s">
        <v>301</v>
      </c>
      <c r="C26" s="297"/>
      <c r="E26" s="91" t="s">
        <v>317</v>
      </c>
      <c r="F26" s="92">
        <f>PV(C36,COUNT(I7:R7),,-F20)</f>
        <v>74556.217432955746</v>
      </c>
      <c r="I26" s="301"/>
      <c r="J26" s="244">
        <v>0.03</v>
      </c>
      <c r="K26" s="245">
        <v>4748.2173853255672</v>
      </c>
      <c r="L26" s="246">
        <v>3770.3715273089783</v>
      </c>
      <c r="M26" s="246">
        <v>2869.5301617316904</v>
      </c>
      <c r="N26" s="246">
        <v>2571.5134108502702</v>
      </c>
      <c r="O26" s="247">
        <v>2181.3178454103695</v>
      </c>
    </row>
    <row r="27" spans="2:15" x14ac:dyDescent="0.25">
      <c r="B27" s="81" t="s">
        <v>302</v>
      </c>
      <c r="C27" s="82">
        <f>'Cost Build-up'!I34</f>
        <v>9.5015776270748489E-2</v>
      </c>
      <c r="E27" s="93" t="s">
        <v>321</v>
      </c>
      <c r="F27" s="94">
        <f>SUM(F25:F26)</f>
        <v>103539.55375764819</v>
      </c>
    </row>
    <row r="28" spans="2:15" ht="15.75" thickBot="1" x14ac:dyDescent="0.3">
      <c r="B28" s="83" t="s">
        <v>290</v>
      </c>
      <c r="C28" s="84">
        <f>Assumption!C12</f>
        <v>0.32</v>
      </c>
      <c r="E28" s="91" t="s">
        <v>318</v>
      </c>
      <c r="F28" s="95">
        <f>Balancesheet!H32+Balancesheet!H33+Balancesheet!H29</f>
        <v>974.53000000000009</v>
      </c>
    </row>
    <row r="29" spans="2:15" ht="15.75" thickBot="1" x14ac:dyDescent="0.3">
      <c r="B29" s="85" t="s">
        <v>303</v>
      </c>
      <c r="C29" s="86">
        <f>C27*(1-C28)</f>
        <v>6.4610727864108972E-2</v>
      </c>
      <c r="E29" s="91" t="s">
        <v>319</v>
      </c>
      <c r="F29" s="95">
        <f>C33</f>
        <v>2237.19</v>
      </c>
    </row>
    <row r="30" spans="2:15" x14ac:dyDescent="0.25">
      <c r="E30" s="91" t="s">
        <v>320</v>
      </c>
      <c r="F30" s="95">
        <f>Balancesheet!H49</f>
        <v>121.62</v>
      </c>
    </row>
    <row r="31" spans="2:15" ht="15.75" thickBot="1" x14ac:dyDescent="0.3">
      <c r="E31" s="96" t="s">
        <v>322</v>
      </c>
      <c r="F31" s="97">
        <f>F27+F28-F29-F30</f>
        <v>102155.27375764819</v>
      </c>
    </row>
    <row r="32" spans="2:15" ht="15.75" thickBot="1" x14ac:dyDescent="0.3">
      <c r="B32" s="100" t="s">
        <v>293</v>
      </c>
      <c r="C32" s="101">
        <f>Assumption!C17</f>
        <v>191978.33999999997</v>
      </c>
      <c r="E32" s="56"/>
      <c r="F32" s="56"/>
    </row>
    <row r="33" spans="2:16" x14ac:dyDescent="0.25">
      <c r="B33" s="102" t="s">
        <v>304</v>
      </c>
      <c r="C33" s="103">
        <f>Balancesheet!H65+Balancesheet!H64+Balancesheet!H56+Balancesheet!H55</f>
        <v>2237.19</v>
      </c>
      <c r="E33" s="100" t="s">
        <v>323</v>
      </c>
      <c r="F33" s="106">
        <f>Assumption!C15/10000000</f>
        <v>35.6</v>
      </c>
    </row>
    <row r="34" spans="2:16" ht="15.75" thickBot="1" x14ac:dyDescent="0.3">
      <c r="B34" s="98" t="s">
        <v>305</v>
      </c>
      <c r="C34" s="99">
        <f>SUM(C32:C33)</f>
        <v>194215.52999999997</v>
      </c>
      <c r="E34" s="83" t="s">
        <v>324</v>
      </c>
      <c r="F34" s="107">
        <f>F31/F33</f>
        <v>2869.5301617316904</v>
      </c>
    </row>
    <row r="35" spans="2:16" ht="15.75" thickBot="1" x14ac:dyDescent="0.3">
      <c r="E35" s="108"/>
      <c r="F35" s="108"/>
    </row>
    <row r="36" spans="2:16" ht="15.75" thickBot="1" x14ac:dyDescent="0.3">
      <c r="B36" s="104" t="s">
        <v>306</v>
      </c>
      <c r="C36" s="105">
        <f>(C24*C32/C34)+(C29*C33/C34)</f>
        <v>0.12381379320145938</v>
      </c>
      <c r="E36" s="85" t="s">
        <v>325</v>
      </c>
      <c r="F36" s="86">
        <f>F34/Assumption!C16-1</f>
        <v>-0.46788125286608795</v>
      </c>
    </row>
    <row r="38" spans="2:16" x14ac:dyDescent="0.25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</sheetData>
  <mergeCells count="7">
    <mergeCell ref="J20:O20"/>
    <mergeCell ref="I19:O19"/>
    <mergeCell ref="B19:C19"/>
    <mergeCell ref="B26:C26"/>
    <mergeCell ref="E19:F19"/>
    <mergeCell ref="E23:F23"/>
    <mergeCell ref="I22:I26"/>
  </mergeCells>
  <pageMargins left="0.7" right="0.7" top="0.75" bottom="0.75" header="0.3" footer="0.3"/>
  <ignoredErrors>
    <ignoredError sqref="F26" formulaRange="1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M69"/>
  <sheetViews>
    <sheetView showGridLines="0" topLeftCell="A50" workbookViewId="0">
      <selection activeCell="B69" sqref="B69:AM69"/>
    </sheetView>
  </sheetViews>
  <sheetFormatPr defaultRowHeight="15" x14ac:dyDescent="0.25"/>
  <cols>
    <col min="1" max="1" width="1.85546875" customWidth="1"/>
    <col min="2" max="2" width="26.140625" bestFit="1" customWidth="1"/>
    <col min="4" max="8" width="8.42578125" customWidth="1"/>
    <col min="9" max="18" width="11.140625" bestFit="1" customWidth="1"/>
    <col min="20" max="20" width="2" customWidth="1"/>
    <col min="39" max="39" width="19.5703125" customWidth="1"/>
  </cols>
  <sheetData>
    <row r="6" spans="2:39" ht="15.75" thickBot="1" x14ac:dyDescent="0.3">
      <c r="B6" s="122" t="s">
        <v>0</v>
      </c>
      <c r="C6" s="122"/>
      <c r="D6" s="122">
        <v>2021</v>
      </c>
      <c r="E6" s="122">
        <f>D6+1</f>
        <v>2022</v>
      </c>
      <c r="F6" s="122">
        <f>E6+1</f>
        <v>2023</v>
      </c>
      <c r="G6" s="122">
        <f>F6+1</f>
        <v>2024</v>
      </c>
      <c r="H6" s="122">
        <f>G6+1</f>
        <v>2025</v>
      </c>
      <c r="I6" s="122">
        <f>H6+1</f>
        <v>2026</v>
      </c>
      <c r="J6" s="122">
        <f t="shared" ref="J6:R6" si="0">I6+1</f>
        <v>2027</v>
      </c>
      <c r="K6" s="122">
        <f t="shared" si="0"/>
        <v>2028</v>
      </c>
      <c r="L6" s="122">
        <f t="shared" si="0"/>
        <v>2029</v>
      </c>
      <c r="M6" s="122">
        <f t="shared" si="0"/>
        <v>2030</v>
      </c>
      <c r="N6" s="122">
        <f t="shared" si="0"/>
        <v>2031</v>
      </c>
      <c r="O6" s="122">
        <f t="shared" si="0"/>
        <v>2032</v>
      </c>
      <c r="P6" s="122">
        <f t="shared" si="0"/>
        <v>2033</v>
      </c>
      <c r="Q6" s="122">
        <f t="shared" si="0"/>
        <v>2034</v>
      </c>
      <c r="R6" s="122">
        <f t="shared" si="0"/>
        <v>2035</v>
      </c>
    </row>
    <row r="7" spans="2:39" x14ac:dyDescent="0.25">
      <c r="B7" s="119" t="s">
        <v>326</v>
      </c>
      <c r="C7" s="142"/>
      <c r="D7" s="143" t="s">
        <v>162</v>
      </c>
      <c r="E7" s="143" t="s">
        <v>162</v>
      </c>
      <c r="F7" s="143" t="s">
        <v>162</v>
      </c>
      <c r="G7" s="143" t="s">
        <v>162</v>
      </c>
      <c r="H7" s="143" t="s">
        <v>162</v>
      </c>
      <c r="I7" s="143" t="s">
        <v>167</v>
      </c>
      <c r="J7" s="143" t="s">
        <v>167</v>
      </c>
      <c r="K7" s="143" t="s">
        <v>167</v>
      </c>
      <c r="L7" s="143" t="s">
        <v>167</v>
      </c>
      <c r="M7" s="143" t="s">
        <v>167</v>
      </c>
      <c r="N7" s="143" t="s">
        <v>167</v>
      </c>
      <c r="O7" s="143" t="s">
        <v>167</v>
      </c>
      <c r="P7" s="143" t="s">
        <v>167</v>
      </c>
      <c r="Q7" s="143" t="s">
        <v>167</v>
      </c>
      <c r="R7" s="143" t="s">
        <v>167</v>
      </c>
    </row>
    <row r="9" spans="2:39" x14ac:dyDescent="0.25">
      <c r="B9" s="306" t="s">
        <v>335</v>
      </c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U9" s="306" t="s">
        <v>354</v>
      </c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</row>
    <row r="11" spans="2:39" x14ac:dyDescent="0.25">
      <c r="B11" t="s">
        <v>149</v>
      </c>
      <c r="D11" s="24">
        <f>('Cost Build-up'!D10-'Cost Build-up'!D19)/'Cost Build-up'!D10</f>
        <v>0.4083981241515488</v>
      </c>
      <c r="E11" s="24">
        <f>('Cost Build-up'!E10-'Cost Build-up'!E19)/'Cost Build-up'!E10</f>
        <v>0.44830392039163908</v>
      </c>
      <c r="F11" s="24">
        <f>('Cost Build-up'!F10-'Cost Build-up'!F19)/'Cost Build-up'!F10</f>
        <v>0.42735640049405371</v>
      </c>
      <c r="G11" s="24">
        <f>('Cost Build-up'!G10-'Cost Build-up'!G19)/'Cost Build-up'!G10</f>
        <v>0.43767045303031643</v>
      </c>
      <c r="H11" s="24">
        <f>('Cost Build-up'!H10-'Cost Build-up'!H19)/'Cost Build-up'!H10</f>
        <v>0.4345281275733735</v>
      </c>
      <c r="I11" s="24">
        <f>('Cost Build-up'!I10-'Cost Build-up'!I19)/'Cost Build-up'!I10</f>
        <v>0.43125140512818633</v>
      </c>
      <c r="J11" s="24">
        <f>('Cost Build-up'!J10-'Cost Build-up'!J19)/'Cost Build-up'!J10</f>
        <v>0.43125140512818627</v>
      </c>
      <c r="K11" s="24">
        <f>('Cost Build-up'!K10-'Cost Build-up'!K19)/'Cost Build-up'!K10</f>
        <v>0.43125140512818633</v>
      </c>
      <c r="L11" s="24">
        <f>('Cost Build-up'!L10-'Cost Build-up'!L19)/'Cost Build-up'!L10</f>
        <v>0.43125140512818627</v>
      </c>
      <c r="M11" s="24">
        <f>('Cost Build-up'!M10-'Cost Build-up'!M19)/'Cost Build-up'!M10</f>
        <v>0.43125140512818627</v>
      </c>
      <c r="N11" s="24">
        <f>('Cost Build-up'!N10-'Cost Build-up'!N19)/'Cost Build-up'!N10</f>
        <v>0.43125140512818622</v>
      </c>
      <c r="O11" s="24">
        <f>('Cost Build-up'!O10-'Cost Build-up'!O19)/'Cost Build-up'!O10</f>
        <v>0.43125140512818622</v>
      </c>
      <c r="P11" s="24">
        <f>('Cost Build-up'!P10-'Cost Build-up'!P19)/'Cost Build-up'!P10</f>
        <v>0.43125140512818622</v>
      </c>
      <c r="Q11" s="24">
        <f>('Cost Build-up'!Q10-'Cost Build-up'!Q19)/'Cost Build-up'!Q10</f>
        <v>0.43125140512818633</v>
      </c>
      <c r="R11" s="24">
        <f>('Cost Build-up'!R10-'Cost Build-up'!R19)/'Cost Build-up'!R10</f>
        <v>0.43125140512818627</v>
      </c>
      <c r="U11" s="209" t="s">
        <v>356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10"/>
    </row>
    <row r="12" spans="2:39" x14ac:dyDescent="0.25">
      <c r="U12" s="211" t="s">
        <v>355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212"/>
    </row>
    <row r="13" spans="2:39" x14ac:dyDescent="0.25">
      <c r="B13" t="s">
        <v>150</v>
      </c>
      <c r="D13" s="24">
        <f>'income statement'!D15/'income statement'!D10</f>
        <v>6.6294890781192148E-2</v>
      </c>
      <c r="E13" s="24">
        <f>'income statement'!E15/'income statement'!E10</f>
        <v>0.12758280310003076</v>
      </c>
      <c r="F13" s="24">
        <f>'income statement'!F15/'income statement'!F10</f>
        <v>0.13026539610435312</v>
      </c>
      <c r="G13" s="24">
        <f>'income statement'!G15/'income statement'!G10</f>
        <v>0.15532225572136316</v>
      </c>
      <c r="H13" s="24">
        <f>'income statement'!H15/'income statement'!H10</f>
        <v>0.16098703151107616</v>
      </c>
      <c r="I13" s="24">
        <f>'income statement'!I15/'income statement'!I10</f>
        <v>0.12809047544360314</v>
      </c>
      <c r="J13" s="24">
        <f>'income statement'!J15/'income statement'!J10</f>
        <v>0.12809047544360314</v>
      </c>
      <c r="K13" s="24">
        <f>'income statement'!K15/'income statement'!K10</f>
        <v>0.12809047544360308</v>
      </c>
      <c r="L13" s="24">
        <f>'income statement'!L15/'income statement'!L10</f>
        <v>0.12809047544360311</v>
      </c>
      <c r="M13" s="24">
        <f>'income statement'!M15/'income statement'!M10</f>
        <v>0.12809047544360308</v>
      </c>
      <c r="N13" s="24">
        <f>'income statement'!N15/'income statement'!N10</f>
        <v>0.128090475443603</v>
      </c>
      <c r="O13" s="24">
        <f>'income statement'!O15/'income statement'!O10</f>
        <v>0.12809047544360305</v>
      </c>
      <c r="P13" s="24">
        <f>'income statement'!P15/'income statement'!P10</f>
        <v>0.12809047544360302</v>
      </c>
      <c r="Q13" s="24">
        <f>'income statement'!Q15/'income statement'!Q10</f>
        <v>0.12809047544360311</v>
      </c>
      <c r="R13" s="24">
        <f>'income statement'!R15/'income statement'!R10</f>
        <v>0.12809047544360308</v>
      </c>
      <c r="U13" s="209" t="s">
        <v>358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10"/>
    </row>
    <row r="14" spans="2:39" x14ac:dyDescent="0.25">
      <c r="U14" s="211" t="s">
        <v>357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212"/>
    </row>
    <row r="15" spans="2:39" x14ac:dyDescent="0.25">
      <c r="B15" t="s">
        <v>329</v>
      </c>
      <c r="D15" s="24">
        <f>'income statement'!D18/'income statement'!D10</f>
        <v>-3.2935332592866851E-2</v>
      </c>
      <c r="E15" s="24">
        <f>'income statement'!E18/'income statement'!E10</f>
        <v>5.8481287321977299E-2</v>
      </c>
      <c r="F15" s="24">
        <f>'income statement'!F18/'income statement'!F10</f>
        <v>7.0366245168053523E-2</v>
      </c>
      <c r="G15" s="24">
        <f>'income statement'!G18/'income statement'!G10</f>
        <v>0.10109162666028813</v>
      </c>
      <c r="H15" s="24">
        <f>'income statement'!H18/'income statement'!H10</f>
        <v>0.10874306447593501</v>
      </c>
      <c r="I15" s="24">
        <f>'income statement'!I18/'income statement'!I10</f>
        <v>0.10907655214459686</v>
      </c>
      <c r="J15" s="24">
        <f>'income statement'!J18/'income statement'!J10</f>
        <v>0.11559193993503636</v>
      </c>
      <c r="K15" s="24">
        <f>'income statement'!K18/'income statement'!K10</f>
        <v>0.11942957156950182</v>
      </c>
      <c r="L15" s="24">
        <f>'income statement'!L18/'income statement'!L10</f>
        <v>0.12179878692469182</v>
      </c>
      <c r="M15" s="24">
        <f>'income statement'!M18/'income statement'!M10</f>
        <v>0.1233245448428841</v>
      </c>
      <c r="N15" s="24">
        <f>'income statement'!N18/'income statement'!N10</f>
        <v>0.1243440214187323</v>
      </c>
      <c r="O15" s="24">
        <f>'income statement'!O18/'income statement'!O10</f>
        <v>0.12504763109925748</v>
      </c>
      <c r="P15" s="24">
        <f>'income statement'!P18/'income statement'!P10</f>
        <v>0.12554757767320843</v>
      </c>
      <c r="Q15" s="24">
        <f>'income statement'!Q18/'income statement'!Q10</f>
        <v>0.12591168475925643</v>
      </c>
      <c r="R15" s="24">
        <f>'income statement'!R18/'income statement'!R10</f>
        <v>0.12618257532432742</v>
      </c>
      <c r="U15" s="209" t="s">
        <v>360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10"/>
    </row>
    <row r="16" spans="2:39" x14ac:dyDescent="0.25">
      <c r="U16" s="211" t="s">
        <v>359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212"/>
    </row>
    <row r="17" spans="2:39" x14ac:dyDescent="0.25">
      <c r="B17" t="s">
        <v>330</v>
      </c>
      <c r="D17" s="24">
        <f>'income statement'!D23/'income statement'!D10</f>
        <v>-5.1470134518079746E-2</v>
      </c>
      <c r="E17" s="24">
        <f>'income statement'!E23/'income statement'!E10</f>
        <v>2.3583710165806366E-2</v>
      </c>
      <c r="F17" s="24">
        <f>'income statement'!F23/'income statement'!F10</f>
        <v>5.6862274054176092E-2</v>
      </c>
      <c r="G17" s="24">
        <f>'income statement'!G23/'income statement'!G10</f>
        <v>0.14523184036343909</v>
      </c>
      <c r="H17" s="24">
        <f>'income statement'!H23/'income statement'!H10</f>
        <v>0.11341022643643485</v>
      </c>
      <c r="I17" s="24">
        <f>'income statement'!I23/'income statement'!I10</f>
        <v>0.14934517276686662</v>
      </c>
      <c r="J17" s="24">
        <f>'income statement'!J23/'income statement'!J10</f>
        <v>0.15586056055730613</v>
      </c>
      <c r="K17" s="24">
        <f>'income statement'!K23/'income statement'!K10</f>
        <v>0.15969819219177162</v>
      </c>
      <c r="L17" s="24">
        <f>'income statement'!L23/'income statement'!L10</f>
        <v>0.16206740754696161</v>
      </c>
      <c r="M17" s="24">
        <f>'income statement'!M23/'income statement'!M10</f>
        <v>0.1635931654651539</v>
      </c>
      <c r="N17" s="24">
        <f>'income statement'!N23/'income statement'!N10</f>
        <v>0.16461264204100207</v>
      </c>
      <c r="O17" s="24">
        <f>'income statement'!O23/'income statement'!O10</f>
        <v>0.16531625172152728</v>
      </c>
      <c r="P17" s="24">
        <f>'income statement'!P23/'income statement'!P10</f>
        <v>0.16581619829547822</v>
      </c>
      <c r="Q17" s="24">
        <f>'income statement'!Q23/'income statement'!Q10</f>
        <v>0.16618030538152623</v>
      </c>
      <c r="R17" s="24">
        <f>'income statement'!R23/'income statement'!R10</f>
        <v>0.16645119594659721</v>
      </c>
      <c r="U17" s="209" t="s">
        <v>362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10"/>
    </row>
    <row r="18" spans="2:39" x14ac:dyDescent="0.25"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U18" s="211" t="s">
        <v>361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212"/>
    </row>
    <row r="19" spans="2:39" x14ac:dyDescent="0.25">
      <c r="B19" t="s">
        <v>178</v>
      </c>
      <c r="D19" s="24">
        <f>'income statement'!D25/'income statement'!D23</f>
        <v>0.17750636894949789</v>
      </c>
      <c r="E19" s="24">
        <f>'income statement'!E25/'income statement'!E23</f>
        <v>0.72228506787330082</v>
      </c>
      <c r="F19" s="24">
        <f>'income statement'!F25/'income statement'!F23</f>
        <v>0.3380702428199544</v>
      </c>
      <c r="G19" s="24">
        <f>'income statement'!G25/'income statement'!G23</f>
        <v>0.24669218699576043</v>
      </c>
      <c r="H19" s="24">
        <f>'income statement'!H25/'income statement'!H23</f>
        <v>0.25489903460200475</v>
      </c>
      <c r="I19" s="24">
        <f>'income statement'!I25/'income statement'!I23</f>
        <v>0.32281463233425189</v>
      </c>
      <c r="J19" s="24">
        <f>'income statement'!J25/'income statement'!J23</f>
        <v>0.32281463233425189</v>
      </c>
      <c r="K19" s="24">
        <f>'income statement'!K25/'income statement'!K23</f>
        <v>0.32281463233425189</v>
      </c>
      <c r="L19" s="24">
        <f>'income statement'!L25/'income statement'!L23</f>
        <v>0.32281463233425189</v>
      </c>
      <c r="M19" s="24">
        <f>'income statement'!M25/'income statement'!M23</f>
        <v>0.32281463233425189</v>
      </c>
      <c r="N19" s="24">
        <f>'income statement'!N25/'income statement'!N23</f>
        <v>0.32281463233425189</v>
      </c>
      <c r="O19" s="24">
        <f>'income statement'!O25/'income statement'!O23</f>
        <v>0.32281463233425189</v>
      </c>
      <c r="P19" s="24">
        <f>'income statement'!P25/'income statement'!P23</f>
        <v>0.32281463233425189</v>
      </c>
      <c r="Q19" s="24">
        <f>'income statement'!Q25/'income statement'!Q23</f>
        <v>0.32281463233425189</v>
      </c>
      <c r="R19" s="24">
        <f>'income statement'!R25/'income statement'!R23</f>
        <v>0.32281463233425189</v>
      </c>
      <c r="U19" s="209" t="s">
        <v>364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10"/>
    </row>
    <row r="20" spans="2:39" x14ac:dyDescent="0.25">
      <c r="U20" s="211" t="s">
        <v>363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212"/>
    </row>
    <row r="21" spans="2:39" x14ac:dyDescent="0.25">
      <c r="B21" t="s">
        <v>331</v>
      </c>
      <c r="D21" s="24">
        <f>'income statement'!D27/'income statement'!D10</f>
        <v>-6.9854529186720984E-2</v>
      </c>
      <c r="E21" s="24">
        <f>'income statement'!E27/'income statement'!E10</f>
        <v>7.6922734892242248E-3</v>
      </c>
      <c r="F21" s="24">
        <f>'income statement'!F27/'income statement'!F10</f>
        <v>4.7766202945394513E-2</v>
      </c>
      <c r="G21" s="24">
        <f>'income statement'!G27/'income statement'!G10</f>
        <v>0.1193896458294107</v>
      </c>
      <c r="H21" s="24">
        <f>'income statement'!H27/'income statement'!H10</f>
        <v>8.9550331171821304E-2</v>
      </c>
      <c r="I21" s="24">
        <f>'income statement'!I27/'income statement'!I10</f>
        <v>0.10618262769726371</v>
      </c>
      <c r="J21" s="24">
        <f>'income statement'!J27/'income statement'!J10</f>
        <v>0.11059475297361743</v>
      </c>
      <c r="K21" s="24">
        <f>'income statement'!K27/'income statement'!K10</f>
        <v>0.1131935409629686</v>
      </c>
      <c r="L21" s="24">
        <f>'income statement'!L27/'income statement'!L10</f>
        <v>0.11479793893435228</v>
      </c>
      <c r="M21" s="24">
        <f>'income statement'!M27/'income statement'!M10</f>
        <v>0.11583115987115228</v>
      </c>
      <c r="N21" s="24">
        <f>'income statement'!N27/'income statement'!N10</f>
        <v>0.11652153449099462</v>
      </c>
      <c r="O21" s="24">
        <f>'income statement'!O27/'income statement'!O10</f>
        <v>0.11699800867119428</v>
      </c>
      <c r="P21" s="24">
        <f>'income statement'!P27/'income statement'!P10</f>
        <v>0.11733656517568845</v>
      </c>
      <c r="Q21" s="24">
        <f>'income statement'!Q27/'income statement'!Q10</f>
        <v>0.11758313316662358</v>
      </c>
      <c r="R21" s="24">
        <f>'income statement'!R27/'income statement'!R10</f>
        <v>0.11776657629352837</v>
      </c>
      <c r="U21" s="209" t="s">
        <v>366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10"/>
    </row>
    <row r="22" spans="2:39" x14ac:dyDescent="0.25">
      <c r="U22" s="211" t="s">
        <v>365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212"/>
    </row>
    <row r="23" spans="2:39" x14ac:dyDescent="0.25">
      <c r="B23" t="s">
        <v>332</v>
      </c>
      <c r="D23" s="24">
        <f>'income statement'!D27/Balancesheet!D50</f>
        <v>-7.6830737385048711E-2</v>
      </c>
      <c r="E23" s="24">
        <f>'income statement'!E27/Balancesheet!E50</f>
        <v>1.435720391379053E-2</v>
      </c>
      <c r="F23" s="24">
        <f>'income statement'!F27/Balancesheet!F50</f>
        <v>0.14783869138593392</v>
      </c>
      <c r="G23" s="24">
        <f>'income statement'!G27/Balancesheet!G50</f>
        <v>0.36012860168820143</v>
      </c>
      <c r="H23" s="24">
        <f>'income statement'!H27/Balancesheet!H50</f>
        <v>0.27481838892709787</v>
      </c>
      <c r="I23" s="24">
        <f>'income statement'!I27/Balancesheet!I50</f>
        <v>0.35102574929743358</v>
      </c>
      <c r="J23" s="24">
        <f>'income statement'!J27/Balancesheet!J50</f>
        <v>0.3643653184038298</v>
      </c>
      <c r="K23" s="24">
        <f>'income statement'!K27/Balancesheet!K50</f>
        <v>0.35653964762041052</v>
      </c>
      <c r="L23" s="24">
        <f>'income statement'!L27/Balancesheet!L50</f>
        <v>0.33835166530984112</v>
      </c>
      <c r="M23" s="24">
        <f>'income statement'!M27/Balancesheet!M50</f>
        <v>0.31591538257043145</v>
      </c>
      <c r="N23" s="24">
        <f>'income statement'!N27/Balancesheet!N50</f>
        <v>0.29238541623022973</v>
      </c>
      <c r="O23" s="24">
        <f>'income statement'!O27/Balancesheet!O50</f>
        <v>0.26932783956417183</v>
      </c>
      <c r="P23" s="24">
        <f>'income statement'!P27/Balancesheet!P50</f>
        <v>0.24749174672025523</v>
      </c>
      <c r="Q23" s="24">
        <f>'income statement'!Q27/Balancesheet!Q50</f>
        <v>0.22720447896286769</v>
      </c>
      <c r="R23" s="24">
        <f>'income statement'!R27/Balancesheet!R50</f>
        <v>0.20857338979872678</v>
      </c>
      <c r="U23" s="209" t="s">
        <v>368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10"/>
    </row>
    <row r="24" spans="2:39" x14ac:dyDescent="0.25"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U24" s="211" t="s">
        <v>367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212"/>
    </row>
    <row r="25" spans="2:39" x14ac:dyDescent="0.25">
      <c r="B25" t="s">
        <v>333</v>
      </c>
      <c r="D25" s="24">
        <f>'income statement'!D18/(Balancesheet!D43-Balancesheet!D71)</f>
        <v>-1.7175184874574898E-2</v>
      </c>
      <c r="E25" s="24">
        <f>'income statement'!E18/(Balancesheet!E43-Balancesheet!E71)</f>
        <v>3.7192986425019517E-2</v>
      </c>
      <c r="F25" s="24">
        <f>'income statement'!F18/(Balancesheet!F43-Balancesheet!F71)</f>
        <v>8.2999048307346709E-2</v>
      </c>
      <c r="G25" s="24">
        <f>'income statement'!G18/(Balancesheet!G43-Balancesheet!G71)</f>
        <v>0.22259033357768621</v>
      </c>
      <c r="H25" s="24">
        <f>'income statement'!H18/(Balancesheet!H43-Balancesheet!H71)</f>
        <v>0.25148907739963156</v>
      </c>
      <c r="I25" s="24">
        <f>'income statement'!I18/(Balancesheet!I43-Balancesheet!I71)</f>
        <v>0.25602620933128645</v>
      </c>
      <c r="J25" s="24">
        <f>'income statement'!J18/(Balancesheet!J43-Balancesheet!J71)</f>
        <v>0.27066188736403907</v>
      </c>
      <c r="K25" s="24">
        <f>'income statement'!K18/(Balancesheet!K43-Balancesheet!K71)</f>
        <v>0.27080161410032599</v>
      </c>
      <c r="L25" s="24">
        <f>'income statement'!L18/(Balancesheet!L43-Balancesheet!L71)</f>
        <v>0.26316089392317216</v>
      </c>
      <c r="M25" s="24">
        <f>'income statement'!M18/(Balancesheet!M43-Balancesheet!M71)</f>
        <v>0.25158173685391666</v>
      </c>
      <c r="N25" s="24">
        <f>'income statement'!N18/(Balancesheet!N43-Balancesheet!N71)</f>
        <v>0.23817746989547364</v>
      </c>
      <c r="O25" s="24">
        <f>'income statement'!O18/(Balancesheet!O43-Balancesheet!O71)</f>
        <v>0.22411911534340892</v>
      </c>
      <c r="P25" s="24">
        <f>'income statement'!P18/(Balancesheet!P43-Balancesheet!P71)</f>
        <v>0.21006972045777472</v>
      </c>
      <c r="Q25" s="24">
        <f>'income statement'!Q18/(Balancesheet!Q43-Balancesheet!Q71)</f>
        <v>0.19641003390587275</v>
      </c>
      <c r="R25" s="24">
        <f>'income statement'!R18/(Balancesheet!R43-Balancesheet!R71)</f>
        <v>0.1833587447179543</v>
      </c>
      <c r="U25" s="209" t="s">
        <v>370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10"/>
    </row>
    <row r="26" spans="2:39" x14ac:dyDescent="0.25"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U26" s="211" t="s">
        <v>369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212"/>
    </row>
    <row r="27" spans="2:39" x14ac:dyDescent="0.25">
      <c r="B27" t="s">
        <v>334</v>
      </c>
      <c r="D27" s="24">
        <f>'income statement'!D27/Balancesheet!D43</f>
        <v>-3.1645447985841409E-2</v>
      </c>
      <c r="E27" s="24">
        <f>'income statement'!E27/Balancesheet!E43</f>
        <v>4.4783730821302999E-3</v>
      </c>
      <c r="F27" s="24">
        <f>'income statement'!F27/Balancesheet!F43</f>
        <v>4.8714785442855561E-2</v>
      </c>
      <c r="G27" s="24">
        <f>'income statement'!G27/Balancesheet!G43</f>
        <v>0.20629873983314112</v>
      </c>
      <c r="H27" s="24">
        <f>'income statement'!H27/Balancesheet!H43</f>
        <v>0.16289476030931124</v>
      </c>
      <c r="I27" s="24">
        <f>'income statement'!I27/Balancesheet!I43</f>
        <v>0.18805271637837739</v>
      </c>
      <c r="J27" s="24">
        <f>'income statement'!J27/Balancesheet!J43</f>
        <v>0.19550846212062822</v>
      </c>
      <c r="K27" s="24">
        <f>'income statement'!K27/Balancesheet!K43</f>
        <v>0.19528632988344263</v>
      </c>
      <c r="L27" s="24">
        <f>'income statement'!L27/Balancesheet!L43</f>
        <v>0.19087296960486999</v>
      </c>
      <c r="M27" s="24">
        <f>'income statement'!M27/Balancesheet!M43</f>
        <v>0.18420899619306175</v>
      </c>
      <c r="N27" s="24">
        <f>'income statement'!N27/Balancesheet!N43</f>
        <v>0.17636852489331137</v>
      </c>
      <c r="O27" s="24">
        <f>'income statement'!O27/Balancesheet!O43</f>
        <v>0.16796595578289225</v>
      </c>
      <c r="P27" s="24">
        <f>'income statement'!P27/Balancesheet!P43</f>
        <v>0.15936980977785856</v>
      </c>
      <c r="Q27" s="24">
        <f>'income statement'!Q27/Balancesheet!Q43</f>
        <v>0.15081109085860167</v>
      </c>
      <c r="R27" s="24">
        <f>'income statement'!R27/Balancesheet!R43</f>
        <v>0.1424401392050004</v>
      </c>
      <c r="U27" s="209" t="s">
        <v>372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10"/>
    </row>
    <row r="28" spans="2:39" x14ac:dyDescent="0.25">
      <c r="U28" s="211" t="s">
        <v>371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212"/>
    </row>
    <row r="29" spans="2:39" x14ac:dyDescent="0.25">
      <c r="B29" s="306" t="s">
        <v>338</v>
      </c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</row>
    <row r="31" spans="2:39" x14ac:dyDescent="0.25">
      <c r="B31" s="203" t="s">
        <v>336</v>
      </c>
      <c r="D31" s="204">
        <f>Balancesheet!D41/Balancesheet!D71</f>
        <v>1.86754764186096</v>
      </c>
      <c r="E31" s="204">
        <f>Balancesheet!E41/Balancesheet!E71</f>
        <v>2.7292983395822179</v>
      </c>
      <c r="F31" s="204">
        <f>Balancesheet!F41/Balancesheet!F71</f>
        <v>2.1735132269328505</v>
      </c>
      <c r="G31" s="204">
        <f>Balancesheet!G41/Balancesheet!G71</f>
        <v>2.0174573621283578</v>
      </c>
      <c r="H31" s="204">
        <f>Balancesheet!H41/Balancesheet!H71</f>
        <v>1.826959899338038</v>
      </c>
      <c r="I31" s="204">
        <f>Balancesheet!I41/Balancesheet!I71</f>
        <v>2.0518668247425715</v>
      </c>
      <c r="J31" s="204">
        <f>Balancesheet!J41/Balancesheet!J71</f>
        <v>2.4090635892653811</v>
      </c>
      <c r="K31" s="204">
        <f>Balancesheet!K41/Balancesheet!K71</f>
        <v>2.721899301540724</v>
      </c>
      <c r="L31" s="204">
        <f>Balancesheet!L41/Balancesheet!L71</f>
        <v>3.009579936401789</v>
      </c>
      <c r="M31" s="204">
        <f>Balancesheet!M41/Balancesheet!M71</f>
        <v>3.2934442758340343</v>
      </c>
      <c r="N31" s="204">
        <f>Balancesheet!N41/Balancesheet!N71</f>
        <v>3.5825047183938903</v>
      </c>
      <c r="O31" s="204">
        <f>Balancesheet!O41/Balancesheet!O71</f>
        <v>3.8809090312804799</v>
      </c>
      <c r="P31" s="204">
        <f>Balancesheet!P41/Balancesheet!P71</f>
        <v>4.1957716427618923</v>
      </c>
      <c r="Q31" s="204">
        <f>Balancesheet!Q41/Balancesheet!Q71</f>
        <v>4.5298651976048898</v>
      </c>
      <c r="R31" s="204">
        <f>Balancesheet!R41/Balancesheet!R71</f>
        <v>4.8837962843605975</v>
      </c>
      <c r="U31" s="209" t="s">
        <v>374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10"/>
    </row>
    <row r="32" spans="2:39" x14ac:dyDescent="0.25">
      <c r="B32" s="203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U32" s="211" t="s">
        <v>373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212"/>
    </row>
    <row r="33" spans="2:39" x14ac:dyDescent="0.25">
      <c r="B33" s="203" t="s">
        <v>337</v>
      </c>
      <c r="D33" s="204">
        <f>(Balancesheet!D41-Balancesheet!D27)/Balancesheet!D71</f>
        <v>1.2974555520068132</v>
      </c>
      <c r="E33" s="204">
        <f>(Balancesheet!E41-Balancesheet!E27)/Balancesheet!E71</f>
        <v>1.4013007881245703</v>
      </c>
      <c r="F33" s="204">
        <f>(Balancesheet!F41-Balancesheet!F27)/Balancesheet!F71</f>
        <v>0.92928572734419268</v>
      </c>
      <c r="G33" s="204">
        <f>(Balancesheet!G41-Balancesheet!G27)/Balancesheet!G71</f>
        <v>0.99069070432768702</v>
      </c>
      <c r="H33" s="204">
        <f>(Balancesheet!H41-Balancesheet!H27)/Balancesheet!H71</f>
        <v>0.80987123823165175</v>
      </c>
      <c r="I33" s="204">
        <f>(Balancesheet!I41-Balancesheet!I27)/Balancesheet!I71</f>
        <v>0.93915481392865596</v>
      </c>
      <c r="J33" s="204">
        <f>(Balancesheet!J41-Balancesheet!J27)/Balancesheet!J71</f>
        <v>1.2963515784514656</v>
      </c>
      <c r="K33" s="204">
        <f>(Balancesheet!K41-Balancesheet!K27)/Balancesheet!K71</f>
        <v>1.6091872907268086</v>
      </c>
      <c r="L33" s="204">
        <f>(Balancesheet!L41-Balancesheet!L27)/Balancesheet!L71</f>
        <v>1.8968679255878738</v>
      </c>
      <c r="M33" s="204">
        <f>(Balancesheet!M41-Balancesheet!M27)/Balancesheet!M71</f>
        <v>2.1807322650201191</v>
      </c>
      <c r="N33" s="204">
        <f>(Balancesheet!N41-Balancesheet!N27)/Balancesheet!N71</f>
        <v>2.4697927075799746</v>
      </c>
      <c r="O33" s="204">
        <f>(Balancesheet!O41-Balancesheet!O27)/Balancesheet!O71</f>
        <v>2.7681970204665647</v>
      </c>
      <c r="P33" s="204">
        <f>(Balancesheet!P41-Balancesheet!P27)/Balancesheet!P71</f>
        <v>3.0830596319479771</v>
      </c>
      <c r="Q33" s="204">
        <f>(Balancesheet!Q41-Balancesheet!Q27)/Balancesheet!Q71</f>
        <v>3.417153186790975</v>
      </c>
      <c r="R33" s="204">
        <f>(Balancesheet!R41-Balancesheet!R27)/Balancesheet!R71</f>
        <v>3.7710842735466819</v>
      </c>
      <c r="U33" s="209" t="s">
        <v>376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10"/>
    </row>
    <row r="34" spans="2:39" x14ac:dyDescent="0.25">
      <c r="B34" s="203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U34" s="211" t="s">
        <v>375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212"/>
    </row>
    <row r="35" spans="2:39" x14ac:dyDescent="0.25">
      <c r="B35" s="203" t="s">
        <v>339</v>
      </c>
      <c r="D35" s="204">
        <f>(Balancesheet!D32+Balancesheet!D33+Balancesheet!D35)/Balancesheet!D71</f>
        <v>0.1416879591184925</v>
      </c>
      <c r="E35" s="204">
        <f>(Balancesheet!E32+Balancesheet!E33+Balancesheet!E35)/Balancesheet!E71</f>
        <v>0.17043385109801817</v>
      </c>
      <c r="F35" s="204">
        <f>(Balancesheet!F32+Balancesheet!F33+Balancesheet!F35)/Balancesheet!F71</f>
        <v>9.2597670889778577E-2</v>
      </c>
      <c r="G35" s="204">
        <f>(Balancesheet!G32+Balancesheet!G33+Balancesheet!G35)/Balancesheet!G71</f>
        <v>0.2027674881768701</v>
      </c>
      <c r="H35" s="204">
        <f>(Balancesheet!H32+Balancesheet!H33+Balancesheet!H35)/Balancesheet!H71</f>
        <v>0.17647673186816468</v>
      </c>
      <c r="I35" s="204">
        <f>(Balancesheet!I32+Balancesheet!I33+Balancesheet!I35)/Balancesheet!I71</f>
        <v>0.20296193982708735</v>
      </c>
      <c r="J35" s="204">
        <f>(Balancesheet!J32+Balancesheet!J33+Balancesheet!J35)/Balancesheet!J71</f>
        <v>0.56015870434989712</v>
      </c>
      <c r="K35" s="204">
        <f>(Balancesheet!K32+Balancesheet!K33+Balancesheet!K35)/Balancesheet!K71</f>
        <v>0.8729944166252398</v>
      </c>
      <c r="L35" s="204">
        <f>(Balancesheet!L32+Balancesheet!L33+Balancesheet!L35)/Balancesheet!L71</f>
        <v>1.1606750514863053</v>
      </c>
      <c r="M35" s="204">
        <f>(Balancesheet!M32+Balancesheet!M33+Balancesheet!M35)/Balancesheet!M71</f>
        <v>1.4445393909185504</v>
      </c>
      <c r="N35" s="204">
        <f>(Balancesheet!N32+Balancesheet!N33+Balancesheet!N35)/Balancesheet!N71</f>
        <v>1.7335998334784066</v>
      </c>
      <c r="O35" s="204">
        <f>(Balancesheet!O32+Balancesheet!O33+Balancesheet!O35)/Balancesheet!O71</f>
        <v>2.0320041463649958</v>
      </c>
      <c r="P35" s="204">
        <f>(Balancesheet!P32+Balancesheet!P33+Balancesheet!P35)/Balancesheet!P71</f>
        <v>2.3468667578464086</v>
      </c>
      <c r="Q35" s="204">
        <f>(Balancesheet!Q32+Balancesheet!Q33+Balancesheet!Q35)/Balancesheet!Q71</f>
        <v>2.6809603126894062</v>
      </c>
      <c r="R35" s="204">
        <f>(Balancesheet!R32+Balancesheet!R33+Balancesheet!R35)/Balancesheet!R71</f>
        <v>3.0348913994451143</v>
      </c>
      <c r="U35" s="209" t="s">
        <v>378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10"/>
    </row>
    <row r="36" spans="2:39" x14ac:dyDescent="0.25">
      <c r="U36" s="211" t="s">
        <v>377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212"/>
    </row>
    <row r="37" spans="2:39" x14ac:dyDescent="0.25">
      <c r="B37" s="306" t="s">
        <v>340</v>
      </c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</row>
    <row r="39" spans="2:39" x14ac:dyDescent="0.25">
      <c r="B39" s="203" t="s">
        <v>341</v>
      </c>
      <c r="D39" s="204">
        <f>Balancesheet!D43/Balancesheet!D50</f>
        <v>2.4278606332077777</v>
      </c>
      <c r="E39" s="204">
        <f>Balancesheet!E43/Balancesheet!E50</f>
        <v>3.2058972422549949</v>
      </c>
      <c r="F39" s="204">
        <f>Balancesheet!F43/Balancesheet!F50</f>
        <v>3.0347807147658443</v>
      </c>
      <c r="G39" s="204">
        <f>Balancesheet!G43/Balancesheet!G50</f>
        <v>1.7456655429862598</v>
      </c>
      <c r="H39" s="204">
        <f>Balancesheet!H43/Balancesheet!H50</f>
        <v>1.6870916437414036</v>
      </c>
      <c r="I39" s="204">
        <f>Balancesheet!I43/Balancesheet!I50</f>
        <v>1.8666348248389091</v>
      </c>
      <c r="J39" s="204">
        <f>Balancesheet!J43/Balancesheet!J50</f>
        <v>1.8636805509677494</v>
      </c>
      <c r="K39" s="204">
        <f>Balancesheet!K43/Balancesheet!K50</f>
        <v>1.8257276268810647</v>
      </c>
      <c r="L39" s="204">
        <f>Balancesheet!L43/Balancesheet!L50</f>
        <v>1.7726536450408339</v>
      </c>
      <c r="M39" s="204">
        <f>Balancesheet!M43/Balancesheet!M50</f>
        <v>1.7149834649733053</v>
      </c>
      <c r="N39" s="204">
        <f>Balancesheet!N43/Balancesheet!N50</f>
        <v>1.6578095009134943</v>
      </c>
      <c r="O39" s="204">
        <f>Balancesheet!O43/Balancesheet!O50</f>
        <v>1.6034668353407098</v>
      </c>
      <c r="P39" s="204">
        <f>Balancesheet!P43/Balancesheet!P50</f>
        <v>1.5529399643836406</v>
      </c>
      <c r="Q39" s="204">
        <f>Balancesheet!Q43/Balancesheet!Q50</f>
        <v>1.5065501991222341</v>
      </c>
      <c r="R39" s="204">
        <f>Balancesheet!R43/Balancesheet!R50</f>
        <v>1.4642880227640551</v>
      </c>
      <c r="U39" s="209" t="s">
        <v>380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10"/>
    </row>
    <row r="40" spans="2:39" x14ac:dyDescent="0.25">
      <c r="B40" s="203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U40" s="211" t="s">
        <v>379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212"/>
    </row>
    <row r="41" spans="2:39" x14ac:dyDescent="0.25">
      <c r="B41" s="203" t="s">
        <v>342</v>
      </c>
      <c r="D41" s="204">
        <f>(Balancesheet!D55+Balancesheet!D56+Balancesheet!D64+Balancesheet!D65)/Balancesheet!D50</f>
        <v>1.2570964403271234</v>
      </c>
      <c r="E41" s="204">
        <f>(Balancesheet!E55+Balancesheet!E56+Balancesheet!E64+Balancesheet!E65)/Balancesheet!E50</f>
        <v>1.9607791065337727</v>
      </c>
      <c r="F41" s="204">
        <f>(Balancesheet!F55+Balancesheet!F56+Balancesheet!F64+Balancesheet!F65)/Balancesheet!F50</f>
        <v>1.6763763767522728</v>
      </c>
      <c r="G41" s="204">
        <f>(Balancesheet!G55+Balancesheet!G56+Balancesheet!G64+Balancesheet!G65)/Balancesheet!G50</f>
        <v>0.42728861524061629</v>
      </c>
      <c r="H41" s="204">
        <f>(Balancesheet!H55+Balancesheet!H56+Balancesheet!H64+Balancesheet!H65)/Balancesheet!H50</f>
        <v>0.40068883253094911</v>
      </c>
      <c r="I41" s="204">
        <f>(Balancesheet!I55+Balancesheet!I56+Balancesheet!I64+Balancesheet!I65)/Balancesheet!I50</f>
        <v>0.46976778328386554</v>
      </c>
      <c r="J41" s="204">
        <f>(Balancesheet!J55+Balancesheet!J56+Balancesheet!J64+Balancesheet!J65)/Balancesheet!J50</f>
        <v>0.46816639057739778</v>
      </c>
      <c r="K41" s="204">
        <f>(Balancesheet!K55+Balancesheet!K56+Balancesheet!K64+Balancesheet!K65)/Balancesheet!K50</f>
        <v>0.44759364124130141</v>
      </c>
      <c r="L41" s="204">
        <f>(Balancesheet!L55+Balancesheet!L56+Balancesheet!L64+Balancesheet!L65)/Balancesheet!L50</f>
        <v>0.41882437639694442</v>
      </c>
      <c r="M41" s="204">
        <f>(Balancesheet!M55+Balancesheet!M56+Balancesheet!M64+Balancesheet!M65)/Balancesheet!M50</f>
        <v>0.38756369787881534</v>
      </c>
      <c r="N41" s="204">
        <f>(Balancesheet!N55+Balancesheet!N56+Balancesheet!N64+Balancesheet!N65)/Balancesheet!N50</f>
        <v>0.35657199804385725</v>
      </c>
      <c r="O41" s="204">
        <f>(Balancesheet!O55+Balancesheet!O56+Balancesheet!O64+Balancesheet!O65)/Balancesheet!O50</f>
        <v>0.32711503091977606</v>
      </c>
      <c r="P41" s="204">
        <f>(Balancesheet!P55+Balancesheet!P56+Balancesheet!P64+Balancesheet!P65)/Balancesheet!P50</f>
        <v>0.29972645214879939</v>
      </c>
      <c r="Q41" s="204">
        <f>(Balancesheet!Q55+Balancesheet!Q56+Balancesheet!Q64+Balancesheet!Q65)/Balancesheet!Q50</f>
        <v>0.27458043150745182</v>
      </c>
      <c r="R41" s="204">
        <f>(Balancesheet!R55+Balancesheet!R56+Balancesheet!R64+Balancesheet!R65)/Balancesheet!R50</f>
        <v>0.25167181032640956</v>
      </c>
      <c r="U41" s="209" t="s">
        <v>382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10"/>
    </row>
    <row r="42" spans="2:39" x14ac:dyDescent="0.25">
      <c r="B42" s="203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U42" s="211" t="s">
        <v>381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212"/>
    </row>
    <row r="43" spans="2:39" x14ac:dyDescent="0.25">
      <c r="B43" s="203" t="s">
        <v>343</v>
      </c>
      <c r="D43" s="204">
        <f>(Balancesheet!D55+Balancesheet!D56+Balancesheet!D64+Balancesheet!D65)/Balancesheet!D43</f>
        <v>0.51777948994798839</v>
      </c>
      <c r="E43" s="204">
        <f>(Balancesheet!E55+Balancesheet!E56+Balancesheet!E64+Balancesheet!E65)/Balancesheet!E43</f>
        <v>0.61161633027095441</v>
      </c>
      <c r="F43" s="204">
        <f>(Balancesheet!F55+Balancesheet!F56+Balancesheet!F64+Balancesheet!F65)/Balancesheet!F43</f>
        <v>0.55238797603919054</v>
      </c>
      <c r="G43" s="204">
        <f>(Balancesheet!G55+Balancesheet!G56+Balancesheet!G64+Balancesheet!G65)/Balancesheet!G43</f>
        <v>0.24477118022829616</v>
      </c>
      <c r="H43" s="204">
        <f>(Balancesheet!H55+Balancesheet!H56+Balancesheet!H64+Balancesheet!H65)/Balancesheet!H43</f>
        <v>0.23750270710982579</v>
      </c>
      <c r="I43" s="204">
        <f>(Balancesheet!I55+Balancesheet!I56+Balancesheet!I64+Balancesheet!I65)/Balancesheet!I43</f>
        <v>0.25166560541610306</v>
      </c>
      <c r="J43" s="204">
        <f>(Balancesheet!J55+Balancesheet!J56+Balancesheet!J64+Balancesheet!J65)/Balancesheet!J43</f>
        <v>0.25120527782204627</v>
      </c>
      <c r="K43" s="204">
        <f>(Balancesheet!K55+Balancesheet!K56+Balancesheet!K64+Balancesheet!K65)/Balancesheet!K43</f>
        <v>0.24515904489320597</v>
      </c>
      <c r="L43" s="204">
        <f>(Balancesheet!L55+Balancesheet!L56+Balancesheet!L64+Balancesheet!L65)/Balancesheet!L43</f>
        <v>0.23626971775825761</v>
      </c>
      <c r="M43" s="204">
        <f>(Balancesheet!M55+Balancesheet!M56+Balancesheet!M64+Balancesheet!M65)/Balancesheet!M43</f>
        <v>0.22598684231911703</v>
      </c>
      <c r="N43" s="204">
        <f>(Balancesheet!N55+Balancesheet!N56+Balancesheet!N64+Balancesheet!N65)/Balancesheet!N43</f>
        <v>0.2150862314683184</v>
      </c>
      <c r="O43" s="204">
        <f>(Balancesheet!O55+Balancesheet!O56+Balancesheet!O64+Balancesheet!O65)/Balancesheet!O43</f>
        <v>0.20400486228345949</v>
      </c>
      <c r="P43" s="204">
        <f>(Balancesheet!P55+Balancesheet!P56+Balancesheet!P64+Balancesheet!P65)/Balancesheet!P43</f>
        <v>0.19300582058737883</v>
      </c>
      <c r="Q43" s="204">
        <f>(Balancesheet!Q55+Balancesheet!Q56+Balancesheet!Q64+Balancesheet!Q65)/Balancesheet!Q43</f>
        <v>0.18225773802122988</v>
      </c>
      <c r="R43" s="204">
        <f>(Balancesheet!R55+Balancesheet!R56+Balancesheet!R64+Balancesheet!R65)/Balancesheet!R43</f>
        <v>0.1718731604806428</v>
      </c>
      <c r="U43" s="209" t="s">
        <v>384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10"/>
    </row>
    <row r="44" spans="2:39" x14ac:dyDescent="0.25">
      <c r="B44" s="203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U44" s="211" t="s">
        <v>383</v>
      </c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212"/>
    </row>
    <row r="45" spans="2:39" x14ac:dyDescent="0.25">
      <c r="B45" s="203" t="s">
        <v>344</v>
      </c>
      <c r="D45" s="204">
        <f>'income statement'!D18/'income statement'!D20</f>
        <v>-0.34345465513774392</v>
      </c>
      <c r="E45" s="204">
        <f>'income statement'!E18/'income statement'!E20</f>
        <v>0.86319485463017764</v>
      </c>
      <c r="F45" s="204">
        <f>'income statement'!F18/'income statement'!F20</f>
        <v>1.5707708141487473</v>
      </c>
      <c r="G45" s="204">
        <f>'income statement'!G18/'income statement'!G20</f>
        <v>3.9204638044500095</v>
      </c>
      <c r="H45" s="204">
        <f>'income statement'!H18/'income statement'!H20</f>
        <v>13.444476513456966</v>
      </c>
      <c r="I45" s="204">
        <f>'income statement'!I18/'income statement'!I20</f>
        <v>23.875051627105929</v>
      </c>
      <c r="J45" s="204">
        <f>'income statement'!J18/'income statement'!J20</f>
        <v>25.30116215965327</v>
      </c>
      <c r="K45" s="204">
        <f>'income statement'!K18/'income statement'!K20</f>
        <v>26.141156196843021</v>
      </c>
      <c r="L45" s="204">
        <f>'income statement'!L18/'income statement'!L20</f>
        <v>26.659738218448428</v>
      </c>
      <c r="M45" s="204">
        <f>'income statement'!M18/'income statement'!M20</f>
        <v>26.993701369566523</v>
      </c>
      <c r="N45" s="204">
        <f>'income statement'!N18/'income statement'!N20</f>
        <v>27.216847915753043</v>
      </c>
      <c r="O45" s="204">
        <f>'income statement'!O18/'income statement'!O20</f>
        <v>27.370856427367908</v>
      </c>
      <c r="P45" s="204">
        <f>'income statement'!P18/'income statement'!P20</f>
        <v>27.48028645636305</v>
      </c>
      <c r="Q45" s="204">
        <f>'income statement'!Q18/'income statement'!Q20</f>
        <v>27.559983470123331</v>
      </c>
      <c r="R45" s="204">
        <f>'income statement'!R18/'income statement'!R20</f>
        <v>27.619276930534433</v>
      </c>
    </row>
    <row r="47" spans="2:39" x14ac:dyDescent="0.25">
      <c r="B47" s="306" t="s">
        <v>345</v>
      </c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</row>
    <row r="49" spans="2:39" x14ac:dyDescent="0.25">
      <c r="B49" s="203" t="s">
        <v>346</v>
      </c>
      <c r="D49" s="204">
        <f>'income statement'!D10/(Balancesheet!D12+Balancesheet!D13)</f>
        <v>3.4645324212017155</v>
      </c>
      <c r="E49" s="204">
        <f>'income statement'!E10/(Balancesheet!E12+Balancesheet!E13)</f>
        <v>5.4215220692813935</v>
      </c>
      <c r="F49" s="204">
        <f>'income statement'!F10/(Balancesheet!F12+Balancesheet!F13)</f>
        <v>8.4716003700277511</v>
      </c>
      <c r="G49" s="204">
        <f>'income statement'!G10/(Balancesheet!G12+Balancesheet!G13)</f>
        <v>9.0322677176848387</v>
      </c>
      <c r="H49" s="204">
        <f>'income statement'!H10/(Balancesheet!H12+Balancesheet!H13)</f>
        <v>7.6230391415377214</v>
      </c>
      <c r="I49" s="204">
        <f>'income statement'!I10/(Balancesheet!I12+Balancesheet!I13)</f>
        <v>10.410796807813492</v>
      </c>
      <c r="J49" s="204">
        <f>'income statement'!J10/(Balancesheet!J12+Balancesheet!J13)</f>
        <v>13.738377628411211</v>
      </c>
      <c r="K49" s="204">
        <f>'income statement'!K10/(Balancesheet!K12+Balancesheet!K13)</f>
        <v>17.505305745403778</v>
      </c>
      <c r="L49" s="204">
        <f>'income statement'!L10/(Balancesheet!L12+Balancesheet!L13)</f>
        <v>21.573330496878807</v>
      </c>
      <c r="M49" s="204">
        <f>'income statement'!M10/(Balancesheet!M12+Balancesheet!M13)</f>
        <v>25.778662791159832</v>
      </c>
      <c r="N49" s="204">
        <f>'income statement'!N10/(Balancesheet!N12+Balancesheet!N13)</f>
        <v>29.9526781390867</v>
      </c>
      <c r="O49" s="204">
        <f>'income statement'!O10/(Balancesheet!O12+Balancesheet!O13)</f>
        <v>33.940552161830574</v>
      </c>
      <c r="P49" s="204">
        <f>'income statement'!P10/(Balancesheet!P12+Balancesheet!P13)</f>
        <v>37.614738155237617</v>
      </c>
      <c r="Q49" s="204">
        <f>'income statement'!Q10/(Balancesheet!Q12+Balancesheet!Q13)</f>
        <v>40.882159340509986</v>
      </c>
      <c r="R49" s="204">
        <f>'income statement'!R10/(Balancesheet!R12+Balancesheet!R13)</f>
        <v>43.685603883744029</v>
      </c>
      <c r="U49" s="209" t="s">
        <v>385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10"/>
    </row>
    <row r="50" spans="2:39" x14ac:dyDescent="0.25">
      <c r="B50" s="203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U50" s="211" t="s">
        <v>395</v>
      </c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212"/>
    </row>
    <row r="51" spans="2:39" x14ac:dyDescent="0.25">
      <c r="B51" s="203" t="s">
        <v>347</v>
      </c>
      <c r="D51" s="204">
        <f>'income statement'!D10/Balancesheet!D43</f>
        <v>0.45301927239754491</v>
      </c>
      <c r="E51" s="204">
        <f>'income statement'!E10/Balancesheet!E43</f>
        <v>0.5821910893318939</v>
      </c>
      <c r="F51" s="204">
        <f>'income statement'!F10/Balancesheet!F43</f>
        <v>1.0198588633587946</v>
      </c>
      <c r="G51" s="204">
        <f>'income statement'!G10/Balancesheet!G43</f>
        <v>1.7279449855133171</v>
      </c>
      <c r="H51" s="204">
        <f>'income statement'!H10/Balancesheet!H43</f>
        <v>1.8190302389475601</v>
      </c>
      <c r="I51" s="204">
        <f>'income statement'!I10/Balancesheet!I43</f>
        <v>1.771030915853135</v>
      </c>
      <c r="J51" s="204">
        <f>'income statement'!J10/Balancesheet!J43</f>
        <v>1.7677914807338746</v>
      </c>
      <c r="K51" s="204">
        <f>'income statement'!K10/Balancesheet!K43</f>
        <v>1.7252426969073331</v>
      </c>
      <c r="L51" s="204">
        <f>'income statement'!L10/Balancesheet!L43</f>
        <v>1.6626863807548109</v>
      </c>
      <c r="M51" s="204">
        <f>'income statement'!M10/Balancesheet!M43</f>
        <v>1.5903233326677493</v>
      </c>
      <c r="N51" s="204">
        <f>'income statement'!N10/Balancesheet!N43</f>
        <v>1.5136131330895066</v>
      </c>
      <c r="O51" s="204">
        <f>'income statement'!O10/Balancesheet!O43</f>
        <v>1.4356308939832976</v>
      </c>
      <c r="P51" s="204">
        <f>'income statement'!P10/Balancesheet!P43</f>
        <v>1.3582280130599831</v>
      </c>
      <c r="Q51" s="204">
        <f>'income statement'!Q10/Balancesheet!Q43</f>
        <v>1.2825911914159638</v>
      </c>
      <c r="R51" s="204">
        <f>'income statement'!R10/Balancesheet!R43</f>
        <v>1.2095124413736389</v>
      </c>
      <c r="U51" s="209" t="s">
        <v>387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10"/>
    </row>
    <row r="52" spans="2:39" x14ac:dyDescent="0.25">
      <c r="B52" s="203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U52" s="211" t="s">
        <v>386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212"/>
    </row>
    <row r="53" spans="2:39" x14ac:dyDescent="0.25">
      <c r="B53" s="203" t="s">
        <v>348</v>
      </c>
      <c r="D53" s="205">
        <f>'Cost Build-up'!D19/Balancesheet!D27</f>
        <v>3.580849226172413</v>
      </c>
      <c r="E53" s="205">
        <f>'Cost Build-up'!E19/Balancesheet!E27</f>
        <v>2.8596418447071841</v>
      </c>
      <c r="F53" s="205">
        <f>'Cost Build-up'!F19/Balancesheet!F27</f>
        <v>3.4674395368656143</v>
      </c>
      <c r="G53" s="205">
        <f>'Cost Build-up'!G19/Balancesheet!G27</f>
        <v>4.3967638194764742</v>
      </c>
      <c r="H53" s="205">
        <f>'Cost Build-up'!H19/Balancesheet!H27</f>
        <v>4.7378499303195518</v>
      </c>
      <c r="I53" s="205">
        <f>'Cost Build-up'!I19/Balancesheet!I27</f>
        <v>3.6876937590033445</v>
      </c>
      <c r="J53" s="205">
        <f>'Cost Build-up'!J19/Balancesheet!J27</f>
        <v>3.687693759003345</v>
      </c>
      <c r="K53" s="205">
        <f>'Cost Build-up'!K19/Balancesheet!K27</f>
        <v>3.6876937590033454</v>
      </c>
      <c r="L53" s="205">
        <f>'Cost Build-up'!L19/Balancesheet!L27</f>
        <v>3.687693759003345</v>
      </c>
      <c r="M53" s="205">
        <f>'Cost Build-up'!M19/Balancesheet!M27</f>
        <v>3.687693759003345</v>
      </c>
      <c r="N53" s="205">
        <f>'Cost Build-up'!N19/Balancesheet!N27</f>
        <v>3.6876937590033454</v>
      </c>
      <c r="O53" s="205">
        <f>'Cost Build-up'!O19/Balancesheet!O27</f>
        <v>3.687693759003345</v>
      </c>
      <c r="P53" s="205">
        <f>'Cost Build-up'!P19/Balancesheet!P27</f>
        <v>3.687693759003345</v>
      </c>
      <c r="Q53" s="205">
        <f>'Cost Build-up'!Q19/Balancesheet!Q27</f>
        <v>3.687693759003345</v>
      </c>
      <c r="R53" s="205">
        <f>'Cost Build-up'!R19/Balancesheet!R27</f>
        <v>3.6876937590033454</v>
      </c>
      <c r="U53" s="209" t="s">
        <v>356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10"/>
    </row>
    <row r="54" spans="2:39" x14ac:dyDescent="0.25"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U54" s="211" t="s">
        <v>355</v>
      </c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212"/>
    </row>
    <row r="55" spans="2:39" x14ac:dyDescent="0.25">
      <c r="B55" t="s">
        <v>349</v>
      </c>
      <c r="D55" s="205">
        <f>'income statement'!D10/Balancesheet!D31</f>
        <v>124.84159845931633</v>
      </c>
      <c r="E55" s="205">
        <f>'income statement'!E10/Balancesheet!E31</f>
        <v>251.84882418812992</v>
      </c>
      <c r="F55" s="205">
        <f>'income statement'!F10/Balancesheet!F31</f>
        <v>239.66327420761851</v>
      </c>
      <c r="G55" s="205">
        <f>'income statement'!G10/Balancesheet!G31</f>
        <v>151.39601174455589</v>
      </c>
      <c r="H55" s="205">
        <f>'income statement'!H10/Balancesheet!H31</f>
        <v>272.19396346306593</v>
      </c>
      <c r="I55" s="205">
        <f>'income statement'!I10/Balancesheet!I31</f>
        <v>189.16213038589521</v>
      </c>
      <c r="J55" s="205">
        <f>'income statement'!J10/Balancesheet!J31</f>
        <v>189.16213038589521</v>
      </c>
      <c r="K55" s="205">
        <f>'income statement'!K10/Balancesheet!K31</f>
        <v>189.16213038589521</v>
      </c>
      <c r="L55" s="205">
        <f>'income statement'!L10/Balancesheet!L31</f>
        <v>189.16213038589521</v>
      </c>
      <c r="M55" s="205">
        <f>'income statement'!M10/Balancesheet!M31</f>
        <v>189.16213038589521</v>
      </c>
      <c r="N55" s="205">
        <f>'income statement'!N10/Balancesheet!N31</f>
        <v>189.16213038589521</v>
      </c>
      <c r="O55" s="205">
        <f>'income statement'!O10/Balancesheet!O31</f>
        <v>189.16213038589521</v>
      </c>
      <c r="P55" s="205">
        <f>'income statement'!P10/Balancesheet!P31</f>
        <v>189.16213038589521</v>
      </c>
      <c r="Q55" s="205">
        <f>'income statement'!Q10/Balancesheet!Q31</f>
        <v>189.16213038589521</v>
      </c>
      <c r="R55" s="205">
        <f>'income statement'!R10/Balancesheet!R31</f>
        <v>189.16213038589518</v>
      </c>
      <c r="U55" s="209" t="s">
        <v>389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10"/>
    </row>
    <row r="56" spans="2:39" x14ac:dyDescent="0.25"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U56" s="211" t="s">
        <v>388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212"/>
    </row>
    <row r="57" spans="2:39" x14ac:dyDescent="0.25">
      <c r="B57" t="s">
        <v>350</v>
      </c>
      <c r="D57" s="205">
        <f>'Cost Build-up'!D19/Balancesheet!D66</f>
        <v>5.5869177258986777</v>
      </c>
      <c r="E57" s="205">
        <f>'Cost Build-up'!E19/Balancesheet!E66</f>
        <v>6.5643996508213638</v>
      </c>
      <c r="F57" s="205">
        <f>'Cost Build-up'!F19/Balancesheet!F66</f>
        <v>7.0950061633745225</v>
      </c>
      <c r="G57" s="205">
        <f>'Cost Build-up'!G19/Balancesheet!G66</f>
        <v>8.9918595185486687</v>
      </c>
      <c r="H57" s="205">
        <f>'Cost Build-up'!H19/Balancesheet!H66</f>
        <v>10.438746377358083</v>
      </c>
      <c r="I57" s="205">
        <f>'Cost Build-up'!I19/Balancesheet!I66</f>
        <v>7.3607427486164712</v>
      </c>
      <c r="J57" s="205">
        <f>'Cost Build-up'!J19/Balancesheet!J66</f>
        <v>7.3607427486164703</v>
      </c>
      <c r="K57" s="205">
        <f>'Cost Build-up'!K19/Balancesheet!K66</f>
        <v>7.3607427486164703</v>
      </c>
      <c r="L57" s="205">
        <f>'Cost Build-up'!L19/Balancesheet!L66</f>
        <v>7.3607427486164712</v>
      </c>
      <c r="M57" s="205">
        <f>'Cost Build-up'!M19/Balancesheet!M66</f>
        <v>7.3607427486164712</v>
      </c>
      <c r="N57" s="205">
        <f>'Cost Build-up'!N19/Balancesheet!N66</f>
        <v>7.3607427486164703</v>
      </c>
      <c r="O57" s="205">
        <f>'Cost Build-up'!O19/Balancesheet!O66</f>
        <v>7.3607427486164694</v>
      </c>
      <c r="P57" s="205">
        <f>'Cost Build-up'!P19/Balancesheet!P66</f>
        <v>7.3607427486164703</v>
      </c>
      <c r="Q57" s="205">
        <f>'Cost Build-up'!Q19/Balancesheet!Q66</f>
        <v>7.3607427486164703</v>
      </c>
      <c r="R57" s="205">
        <f>'Cost Build-up'!R19/Balancesheet!R66</f>
        <v>7.3607427486164703</v>
      </c>
      <c r="U57" s="209" t="s">
        <v>391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10"/>
    </row>
    <row r="58" spans="2:39" x14ac:dyDescent="0.25">
      <c r="U58" s="211" t="s">
        <v>390</v>
      </c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212"/>
    </row>
    <row r="59" spans="2:39" x14ac:dyDescent="0.25">
      <c r="B59" s="306" t="s">
        <v>351</v>
      </c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</row>
    <row r="61" spans="2:39" x14ac:dyDescent="0.25">
      <c r="B61" s="203" t="s">
        <v>159</v>
      </c>
      <c r="D61" s="24">
        <f>'income statement'!D27/'income statement'!D10</f>
        <v>-6.9854529186720984E-2</v>
      </c>
      <c r="E61" s="24">
        <f>'income statement'!E27/'income statement'!E10</f>
        <v>7.6922734892242248E-3</v>
      </c>
      <c r="F61" s="24">
        <f>'income statement'!F27/'income statement'!F10</f>
        <v>4.7766202945394513E-2</v>
      </c>
      <c r="G61" s="24">
        <f>'income statement'!G27/'income statement'!G10</f>
        <v>0.1193896458294107</v>
      </c>
      <c r="H61" s="24">
        <f>'income statement'!H27/'income statement'!H10</f>
        <v>8.9550331171821304E-2</v>
      </c>
      <c r="I61" s="24">
        <f>'income statement'!I27/'income statement'!I10</f>
        <v>0.10618262769726371</v>
      </c>
      <c r="J61" s="24">
        <f>'income statement'!J27/'income statement'!J10</f>
        <v>0.11059475297361743</v>
      </c>
      <c r="K61" s="24">
        <f>'income statement'!K27/'income statement'!K10</f>
        <v>0.1131935409629686</v>
      </c>
      <c r="L61" s="24">
        <f>'income statement'!L27/'income statement'!L10</f>
        <v>0.11479793893435228</v>
      </c>
      <c r="M61" s="24">
        <f>'income statement'!M27/'income statement'!M10</f>
        <v>0.11583115987115228</v>
      </c>
      <c r="N61" s="24">
        <f>'income statement'!N27/'income statement'!N10</f>
        <v>0.11652153449099462</v>
      </c>
      <c r="O61" s="24">
        <f>'income statement'!O27/'income statement'!O10</f>
        <v>0.11699800867119428</v>
      </c>
      <c r="P61" s="24">
        <f>'income statement'!P27/'income statement'!P10</f>
        <v>0.11733656517568845</v>
      </c>
      <c r="Q61" s="24">
        <f>'income statement'!Q27/'income statement'!Q10</f>
        <v>0.11758313316662358</v>
      </c>
      <c r="R61" s="24">
        <f>'income statement'!R27/'income statement'!R10</f>
        <v>0.11776657629352837</v>
      </c>
    </row>
    <row r="62" spans="2:39" x14ac:dyDescent="0.25">
      <c r="B62" s="203"/>
    </row>
    <row r="63" spans="2:39" x14ac:dyDescent="0.25">
      <c r="B63" s="203" t="s">
        <v>352</v>
      </c>
      <c r="D63" s="206">
        <f>'income statement'!D10/Balancesheet!D43</f>
        <v>0.45301927239754491</v>
      </c>
      <c r="E63" s="206">
        <f>'income statement'!E10/Balancesheet!E43</f>
        <v>0.5821910893318939</v>
      </c>
      <c r="F63" s="206">
        <f>'income statement'!F10/Balancesheet!F43</f>
        <v>1.0198588633587946</v>
      </c>
      <c r="G63" s="206">
        <f>'income statement'!G10/Balancesheet!G43</f>
        <v>1.7279449855133171</v>
      </c>
      <c r="H63" s="206">
        <f>'income statement'!H10/Balancesheet!H43</f>
        <v>1.8190302389475601</v>
      </c>
      <c r="I63" s="206">
        <f>'income statement'!I10/Balancesheet!I43</f>
        <v>1.771030915853135</v>
      </c>
      <c r="J63" s="206">
        <f>'income statement'!J10/Balancesheet!J43</f>
        <v>1.7677914807338746</v>
      </c>
      <c r="K63" s="206">
        <f>'income statement'!K10/Balancesheet!K43</f>
        <v>1.7252426969073331</v>
      </c>
      <c r="L63" s="206">
        <f>'income statement'!L10/Balancesheet!L43</f>
        <v>1.6626863807548109</v>
      </c>
      <c r="M63" s="206">
        <f>'income statement'!M10/Balancesheet!M43</f>
        <v>1.5903233326677493</v>
      </c>
      <c r="N63" s="206">
        <f>'income statement'!N10/Balancesheet!N43</f>
        <v>1.5136131330895066</v>
      </c>
      <c r="O63" s="206">
        <f>'income statement'!O10/Balancesheet!O43</f>
        <v>1.4356308939832976</v>
      </c>
      <c r="P63" s="206">
        <f>'income statement'!P10/Balancesheet!P43</f>
        <v>1.3582280130599831</v>
      </c>
      <c r="Q63" s="206">
        <f>'income statement'!Q10/Balancesheet!Q43</f>
        <v>1.2825911914159638</v>
      </c>
      <c r="R63" s="206">
        <f>'income statement'!R10/Balancesheet!R43</f>
        <v>1.2095124413736389</v>
      </c>
    </row>
    <row r="64" spans="2:39" x14ac:dyDescent="0.25">
      <c r="B64" s="203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</row>
    <row r="65" spans="2:39" x14ac:dyDescent="0.25">
      <c r="B65" s="203" t="s">
        <v>353</v>
      </c>
      <c r="D65" s="206">
        <f>Balancesheet!D43/Balancesheet!D50</f>
        <v>2.4278606332077777</v>
      </c>
      <c r="E65" s="206">
        <f>Balancesheet!E43/Balancesheet!E50</f>
        <v>3.2058972422549949</v>
      </c>
      <c r="F65" s="206">
        <f>Balancesheet!F43/Balancesheet!F50</f>
        <v>3.0347807147658443</v>
      </c>
      <c r="G65" s="206">
        <f>Balancesheet!G43/Balancesheet!G50</f>
        <v>1.7456655429862598</v>
      </c>
      <c r="H65" s="206">
        <f>Balancesheet!H43/Balancesheet!H50</f>
        <v>1.6870916437414036</v>
      </c>
      <c r="I65" s="206">
        <f>Balancesheet!I43/Balancesheet!I50</f>
        <v>1.8666348248389091</v>
      </c>
      <c r="J65" s="206">
        <f>Balancesheet!J43/Balancesheet!J50</f>
        <v>1.8636805509677494</v>
      </c>
      <c r="K65" s="206">
        <f>Balancesheet!K43/Balancesheet!K50</f>
        <v>1.8257276268810647</v>
      </c>
      <c r="L65" s="206">
        <f>Balancesheet!L43/Balancesheet!L50</f>
        <v>1.7726536450408339</v>
      </c>
      <c r="M65" s="206">
        <f>Balancesheet!M43/Balancesheet!M50</f>
        <v>1.7149834649733053</v>
      </c>
      <c r="N65" s="206">
        <f>Balancesheet!N43/Balancesheet!N50</f>
        <v>1.6578095009134943</v>
      </c>
      <c r="O65" s="206">
        <f>Balancesheet!O43/Balancesheet!O50</f>
        <v>1.6034668353407098</v>
      </c>
      <c r="P65" s="206">
        <f>Balancesheet!P43/Balancesheet!P50</f>
        <v>1.5529399643836406</v>
      </c>
      <c r="Q65" s="206">
        <f>Balancesheet!Q43/Balancesheet!Q50</f>
        <v>1.5065501991222341</v>
      </c>
      <c r="R65" s="206">
        <f>Balancesheet!R43/Balancesheet!R50</f>
        <v>1.4642880227640551</v>
      </c>
      <c r="U65" s="213" t="s">
        <v>392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10"/>
    </row>
    <row r="66" spans="2:39" x14ac:dyDescent="0.25">
      <c r="U66" s="214" t="s">
        <v>393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216"/>
    </row>
    <row r="67" spans="2:39" ht="15.75" thickBot="1" x14ac:dyDescent="0.3">
      <c r="B67" s="162" t="s">
        <v>332</v>
      </c>
      <c r="C67" s="162"/>
      <c r="D67" s="207">
        <f>D61*D63*D65</f>
        <v>-7.6830737385048711E-2</v>
      </c>
      <c r="E67" s="207">
        <f t="shared" ref="E67:R67" si="1">E61*E63*E65</f>
        <v>1.435720391379053E-2</v>
      </c>
      <c r="F67" s="207">
        <f t="shared" si="1"/>
        <v>0.14783869138593392</v>
      </c>
      <c r="G67" s="207">
        <f t="shared" si="1"/>
        <v>0.36012860168820143</v>
      </c>
      <c r="H67" s="207">
        <f t="shared" si="1"/>
        <v>0.27481838892709787</v>
      </c>
      <c r="I67" s="207">
        <f t="shared" si="1"/>
        <v>0.35102574929743352</v>
      </c>
      <c r="J67" s="207">
        <f t="shared" si="1"/>
        <v>0.3643653184038298</v>
      </c>
      <c r="K67" s="207">
        <f t="shared" si="1"/>
        <v>0.35653964762041046</v>
      </c>
      <c r="L67" s="207">
        <f t="shared" si="1"/>
        <v>0.33835166530984107</v>
      </c>
      <c r="M67" s="207">
        <f t="shared" si="1"/>
        <v>0.31591538257043145</v>
      </c>
      <c r="N67" s="207">
        <f t="shared" si="1"/>
        <v>0.29238541623022973</v>
      </c>
      <c r="O67" s="207">
        <f t="shared" si="1"/>
        <v>0.26932783956417183</v>
      </c>
      <c r="P67" s="207">
        <f t="shared" si="1"/>
        <v>0.2474917467202552</v>
      </c>
      <c r="Q67" s="207">
        <f t="shared" si="1"/>
        <v>0.22720447896286769</v>
      </c>
      <c r="R67" s="207">
        <f t="shared" si="1"/>
        <v>0.2085733897987268</v>
      </c>
      <c r="U67" s="215" t="s">
        <v>394</v>
      </c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212"/>
    </row>
    <row r="69" spans="2:39" x14ac:dyDescent="0.25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</row>
  </sheetData>
  <mergeCells count="6">
    <mergeCell ref="U9:AM9"/>
    <mergeCell ref="B9:R9"/>
    <mergeCell ref="B29:R29"/>
    <mergeCell ref="B37:R37"/>
    <mergeCell ref="B47:R47"/>
    <mergeCell ref="B59:R59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Analysis'!D11:R11</xm:f>
              <xm:sqref>S11</xm:sqref>
            </x14:sparkline>
            <x14:sparkline>
              <xm:f>'Ratio Analysis'!D12:R12</xm:f>
              <xm:sqref>S12</xm:sqref>
            </x14:sparkline>
            <x14:sparkline>
              <xm:f>'Ratio Analysis'!D13:R13</xm:f>
              <xm:sqref>S13</xm:sqref>
            </x14:sparkline>
            <x14:sparkline>
              <xm:f>'Ratio Analysis'!D14:R14</xm:f>
              <xm:sqref>S14</xm:sqref>
            </x14:sparkline>
            <x14:sparkline>
              <xm:f>'Ratio Analysis'!D15:R15</xm:f>
              <xm:sqref>S15</xm:sqref>
            </x14:sparkline>
            <x14:sparkline>
              <xm:f>'Ratio Analysis'!D16:R16</xm:f>
              <xm:sqref>S16</xm:sqref>
            </x14:sparkline>
            <x14:sparkline>
              <xm:f>'Ratio Analysis'!D17:R17</xm:f>
              <xm:sqref>S17</xm:sqref>
            </x14:sparkline>
            <x14:sparkline>
              <xm:f>'Ratio Analysis'!D18:R18</xm:f>
              <xm:sqref>S18</xm:sqref>
            </x14:sparkline>
            <x14:sparkline>
              <xm:f>'Ratio Analysis'!D19:R19</xm:f>
              <xm:sqref>S19</xm:sqref>
            </x14:sparkline>
            <x14:sparkline>
              <xm:f>'Ratio Analysis'!D20:R20</xm:f>
              <xm:sqref>S20</xm:sqref>
            </x14:sparkline>
            <x14:sparkline>
              <xm:f>'Ratio Analysis'!D21:R21</xm:f>
              <xm:sqref>S21</xm:sqref>
            </x14:sparkline>
            <x14:sparkline>
              <xm:f>'Ratio Analysis'!D22:R22</xm:f>
              <xm:sqref>S22</xm:sqref>
            </x14:sparkline>
            <x14:sparkline>
              <xm:f>'Ratio Analysis'!D23:R23</xm:f>
              <xm:sqref>S23</xm:sqref>
            </x14:sparkline>
            <x14:sparkline>
              <xm:f>'Ratio Analysis'!D24:R24</xm:f>
              <xm:sqref>S24</xm:sqref>
            </x14:sparkline>
            <x14:sparkline>
              <xm:f>'Ratio Analysis'!D25:R25</xm:f>
              <xm:sqref>S25</xm:sqref>
            </x14:sparkline>
            <x14:sparkline>
              <xm:f>'Ratio Analysis'!D26:R26</xm:f>
              <xm:sqref>S26</xm:sqref>
            </x14:sparkline>
            <x14:sparkline>
              <xm:f>'Ratio Analysis'!D27:R27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Analysis'!D31:R31</xm:f>
              <xm:sqref>S31</xm:sqref>
            </x14:sparkline>
            <x14:sparkline>
              <xm:f>'Ratio Analysis'!D32:R32</xm:f>
              <xm:sqref>S32</xm:sqref>
            </x14:sparkline>
            <x14:sparkline>
              <xm:f>'Ratio Analysis'!D33:R33</xm:f>
              <xm:sqref>S33</xm:sqref>
            </x14:sparkline>
            <x14:sparkline>
              <xm:f>'Ratio Analysis'!D34:R34</xm:f>
              <xm:sqref>S34</xm:sqref>
            </x14:sparkline>
            <x14:sparkline>
              <xm:f>'Ratio Analysis'!D35:R35</xm:f>
              <xm:sqref>S35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Analysis'!D39:R39</xm:f>
              <xm:sqref>S39</xm:sqref>
            </x14:sparkline>
            <x14:sparkline>
              <xm:f>'Ratio Analysis'!D40:R40</xm:f>
              <xm:sqref>S40</xm:sqref>
            </x14:sparkline>
            <x14:sparkline>
              <xm:f>'Ratio Analysis'!D41:R41</xm:f>
              <xm:sqref>S41</xm:sqref>
            </x14:sparkline>
            <x14:sparkline>
              <xm:f>'Ratio Analysis'!D42:R42</xm:f>
              <xm:sqref>S42</xm:sqref>
            </x14:sparkline>
            <x14:sparkline>
              <xm:f>'Ratio Analysis'!D43:R43</xm:f>
              <xm:sqref>S43</xm:sqref>
            </x14:sparkline>
            <x14:sparkline>
              <xm:f>'Ratio Analysis'!D44:R44</xm:f>
              <xm:sqref>S44</xm:sqref>
            </x14:sparkline>
            <x14:sparkline>
              <xm:f>'Ratio Analysis'!D45:R45</xm:f>
              <xm:sqref>S45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Analysis'!D49:R49</xm:f>
              <xm:sqref>S49</xm:sqref>
            </x14:sparkline>
            <x14:sparkline>
              <xm:f>'Ratio Analysis'!D50:R50</xm:f>
              <xm:sqref>S50</xm:sqref>
            </x14:sparkline>
            <x14:sparkline>
              <xm:f>'Ratio Analysis'!D51:R51</xm:f>
              <xm:sqref>S51</xm:sqref>
            </x14:sparkline>
            <x14:sparkline>
              <xm:f>'Ratio Analysis'!D52:R52</xm:f>
              <xm:sqref>S52</xm:sqref>
            </x14:sparkline>
            <x14:sparkline>
              <xm:f>'Ratio Analysis'!D53:R53</xm:f>
              <xm:sqref>S53</xm:sqref>
            </x14:sparkline>
            <x14:sparkline>
              <xm:f>'Ratio Analysis'!D54:R54</xm:f>
              <xm:sqref>S54</xm:sqref>
            </x14:sparkline>
            <x14:sparkline>
              <xm:f>'Ratio Analysis'!D55:R55</xm:f>
              <xm:sqref>S55</xm:sqref>
            </x14:sparkline>
            <x14:sparkline>
              <xm:f>'Ratio Analysis'!D56:R56</xm:f>
              <xm:sqref>S56</xm:sqref>
            </x14:sparkline>
            <x14:sparkline>
              <xm:f>'Ratio Analysis'!D57:R57</xm:f>
              <xm:sqref>S57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Analysis'!D67:R67</xm:f>
              <xm:sqref>S67</xm:sqref>
            </x14:sparkline>
          </x14:sparklines>
        </x14:sparklineGroup>
      </x14:sparklineGroup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V6"/>
  <sheetViews>
    <sheetView showGridLines="0" topLeftCell="B14" workbookViewId="0">
      <selection activeCell="I7" sqref="I7"/>
    </sheetView>
  </sheetViews>
  <sheetFormatPr defaultRowHeight="15" x14ac:dyDescent="0.25"/>
  <cols>
    <col min="1" max="1" width="1.85546875" customWidth="1"/>
  </cols>
  <sheetData>
    <row r="6" spans="2:22" x14ac:dyDescent="0.25">
      <c r="B6" s="306" t="s">
        <v>399</v>
      </c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</row>
  </sheetData>
  <mergeCells count="1">
    <mergeCell ref="B6:V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Assumption</vt:lpstr>
      <vt:lpstr>Historical P&amp;L</vt:lpstr>
      <vt:lpstr>p&amp;l</vt:lpstr>
      <vt:lpstr>income statement</vt:lpstr>
      <vt:lpstr>Historical Balance Sheet</vt:lpstr>
      <vt:lpstr>B_S Items</vt:lpstr>
      <vt:lpstr>Balancesheet</vt:lpstr>
      <vt:lpstr>common size statement</vt:lpstr>
      <vt:lpstr>Historical Cashflow statement</vt:lpstr>
      <vt:lpstr>Cash Flow</vt:lpstr>
      <vt:lpstr>Cost Build-up</vt:lpstr>
      <vt:lpstr>Revenue Build-up</vt:lpstr>
      <vt:lpstr>FAS</vt:lpstr>
      <vt:lpstr>Working Capital Build-up</vt:lpstr>
      <vt:lpstr>Market Return</vt:lpstr>
      <vt:lpstr>Beta Calculation</vt:lpstr>
      <vt:lpstr>DCF Valuation</vt:lpstr>
      <vt:lpstr>Ratio Analysis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</dc:creator>
  <cp:lastModifiedBy>Dhiraj Kumar</cp:lastModifiedBy>
  <dcterms:created xsi:type="dcterms:W3CDTF">2025-07-10T12:40:03Z</dcterms:created>
  <dcterms:modified xsi:type="dcterms:W3CDTF">2025-07-16T15:32:02Z</dcterms:modified>
</cp:coreProperties>
</file>