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hiraj Kumar\OneDrive\Desktop\all models\"/>
    </mc:Choice>
  </mc:AlternateContent>
  <bookViews>
    <workbookView xWindow="0" yWindow="0" windowWidth="7470" windowHeight="2700"/>
  </bookViews>
  <sheets>
    <sheet name="Assumptions" sheetId="1" r:id="rId1"/>
    <sheet name="Historical Data" sheetId="2" r:id="rId2"/>
    <sheet name="Model" sheetId="3" r:id="rId3"/>
    <sheet name="Scenario" sheetId="4" r:id="rId4"/>
    <sheet name="Market Data" sheetId="5" r:id="rId5"/>
    <sheet name="Regression  Beta" sheetId="6" r:id="rId6"/>
    <sheet name="DCF Model" sheetId="7" r:id="rId7"/>
    <sheet name="Ratio Analysis" sheetId="10" r:id="rId8"/>
    <sheet name="Dupont Analysis" sheetId="11" r:id="rId9"/>
    <sheet name="Charts" sheetId="12" r:id="rId10"/>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24" i="1" l="1"/>
  <c r="D7" i="2" l="1"/>
  <c r="E7" i="2" s="1"/>
  <c r="F7" i="2" s="1"/>
  <c r="G7" i="2" s="1"/>
  <c r="F38" i="7"/>
  <c r="G42" i="11"/>
  <c r="G45" i="11" s="1"/>
  <c r="F42" i="11"/>
  <c r="F45" i="11" s="1"/>
  <c r="E42" i="11"/>
  <c r="E45" i="11" s="1"/>
  <c r="D42" i="11"/>
  <c r="D45" i="11" s="1"/>
  <c r="C42" i="11"/>
  <c r="C45" i="11" s="1"/>
  <c r="G19" i="11"/>
  <c r="G22" i="11" s="1"/>
  <c r="F19" i="11"/>
  <c r="F22" i="11" s="1"/>
  <c r="E19" i="11"/>
  <c r="E22" i="11" s="1"/>
  <c r="D19" i="11"/>
  <c r="D22" i="11" s="1"/>
  <c r="C19" i="11"/>
  <c r="C22" i="11" s="1"/>
  <c r="D8" i="11"/>
  <c r="E8" i="11" s="1"/>
  <c r="F8" i="11" s="1"/>
  <c r="G8" i="11" s="1"/>
  <c r="H8" i="11" s="1"/>
  <c r="I8" i="11" s="1"/>
  <c r="J8" i="11" s="1"/>
  <c r="K8" i="11" s="1"/>
  <c r="L8" i="11" s="1"/>
  <c r="M8" i="11" s="1"/>
  <c r="N8" i="11" s="1"/>
  <c r="O8" i="11" s="1"/>
  <c r="P8" i="11" s="1"/>
  <c r="Q8" i="11" s="1"/>
  <c r="E7" i="10" l="1"/>
  <c r="F7" i="10" s="1"/>
  <c r="G7" i="10" s="1"/>
  <c r="H7" i="10" s="1"/>
  <c r="I7" i="10" s="1"/>
  <c r="J7" i="10" s="1"/>
  <c r="K7" i="10" s="1"/>
  <c r="L7" i="10" s="1"/>
  <c r="M7" i="10" s="1"/>
  <c r="N7" i="10" s="1"/>
  <c r="O7" i="10" s="1"/>
  <c r="P7" i="10" s="1"/>
  <c r="Q7" i="10" s="1"/>
  <c r="R7" i="10" s="1"/>
  <c r="H9" i="10"/>
  <c r="G9" i="10"/>
  <c r="F9" i="10"/>
  <c r="E9" i="10"/>
  <c r="E59" i="7" l="1"/>
  <c r="E60" i="7" s="1"/>
  <c r="E57" i="7"/>
  <c r="E56" i="7" s="1"/>
  <c r="I55" i="7"/>
  <c r="J55" i="7" s="1"/>
  <c r="G55" i="7"/>
  <c r="F55" i="7" s="1"/>
  <c r="C64" i="7"/>
  <c r="D7" i="7"/>
  <c r="E7" i="7" s="1"/>
  <c r="F7" i="7" s="1"/>
  <c r="G7" i="7" s="1"/>
  <c r="H7" i="7" s="1"/>
  <c r="I7" i="7" s="1"/>
  <c r="J7" i="7" s="1"/>
  <c r="K7" i="7" s="1"/>
  <c r="L7" i="7" s="1"/>
  <c r="F45" i="7" l="1"/>
  <c r="F43" i="7"/>
  <c r="F42" i="7"/>
  <c r="C29" i="7"/>
  <c r="B29" i="7"/>
  <c r="C20" i="7"/>
  <c r="C21" i="7" s="1"/>
  <c r="F44" i="7" l="1"/>
  <c r="F46" i="7"/>
  <c r="C35" i="7" s="1"/>
  <c r="D29" i="7"/>
  <c r="C39" i="7" l="1"/>
  <c r="I17" i="6" l="1"/>
  <c r="I11" i="6"/>
  <c r="L14" i="6"/>
  <c r="L13" i="6"/>
  <c r="L12" i="6"/>
  <c r="F70" i="6" l="1"/>
  <c r="F69" i="6"/>
  <c r="F68" i="6"/>
  <c r="F67" i="6"/>
  <c r="F66" i="6"/>
  <c r="F65" i="6"/>
  <c r="F64" i="6"/>
  <c r="F63" i="6"/>
  <c r="F62" i="6"/>
  <c r="F61" i="6"/>
  <c r="F60" i="6"/>
  <c r="F59" i="6"/>
  <c r="F58" i="6"/>
  <c r="F57" i="6"/>
  <c r="F56" i="6"/>
  <c r="F55" i="6"/>
  <c r="F54" i="6"/>
  <c r="F53" i="6"/>
  <c r="F52" i="6"/>
  <c r="F51" i="6"/>
  <c r="F50" i="6"/>
  <c r="F49" i="6"/>
  <c r="F48" i="6"/>
  <c r="F47" i="6"/>
  <c r="F46" i="6"/>
  <c r="F45" i="6"/>
  <c r="F44" i="6"/>
  <c r="F43" i="6"/>
  <c r="F42" i="6"/>
  <c r="F41" i="6"/>
  <c r="F40" i="6"/>
  <c r="F39" i="6"/>
  <c r="F38" i="6"/>
  <c r="F37" i="6"/>
  <c r="F36" i="6"/>
  <c r="F35" i="6"/>
  <c r="F34" i="6"/>
  <c r="F33" i="6"/>
  <c r="F32" i="6"/>
  <c r="F31" i="6"/>
  <c r="F30" i="6"/>
  <c r="F29" i="6"/>
  <c r="F28" i="6"/>
  <c r="F27" i="6"/>
  <c r="F26" i="6"/>
  <c r="F25" i="6"/>
  <c r="F24" i="6"/>
  <c r="F23" i="6"/>
  <c r="F22" i="6"/>
  <c r="F21" i="6"/>
  <c r="F20" i="6"/>
  <c r="F19" i="6"/>
  <c r="F18" i="6"/>
  <c r="F17" i="6"/>
  <c r="F16" i="6"/>
  <c r="F15" i="6"/>
  <c r="F14" i="6"/>
  <c r="F13" i="6"/>
  <c r="F12" i="6"/>
  <c r="F11" i="6"/>
  <c r="D70" i="6"/>
  <c r="D69" i="6"/>
  <c r="D68" i="6"/>
  <c r="D67" i="6"/>
  <c r="D66" i="6"/>
  <c r="D65" i="6"/>
  <c r="D64" i="6"/>
  <c r="D63" i="6"/>
  <c r="D62" i="6"/>
  <c r="D61" i="6"/>
  <c r="D60" i="6"/>
  <c r="D59" i="6"/>
  <c r="D58" i="6"/>
  <c r="D57" i="6"/>
  <c r="D56" i="6"/>
  <c r="D55" i="6"/>
  <c r="D54" i="6"/>
  <c r="D53" i="6"/>
  <c r="D52" i="6"/>
  <c r="D51" i="6"/>
  <c r="D50" i="6"/>
  <c r="D49" i="6"/>
  <c r="D48" i="6"/>
  <c r="D47" i="6"/>
  <c r="D46" i="6"/>
  <c r="D45" i="6"/>
  <c r="D44" i="6"/>
  <c r="D43" i="6"/>
  <c r="D42" i="6"/>
  <c r="D41" i="6"/>
  <c r="D40" i="6"/>
  <c r="D39" i="6"/>
  <c r="D38" i="6"/>
  <c r="D37" i="6"/>
  <c r="D36" i="6"/>
  <c r="D35" i="6"/>
  <c r="D34" i="6"/>
  <c r="D33" i="6"/>
  <c r="D32" i="6"/>
  <c r="D31" i="6"/>
  <c r="D30" i="6"/>
  <c r="D29" i="6"/>
  <c r="D28" i="6"/>
  <c r="D27" i="6"/>
  <c r="D26" i="6"/>
  <c r="D25" i="6"/>
  <c r="D24" i="6"/>
  <c r="D23" i="6"/>
  <c r="D22" i="6"/>
  <c r="D21" i="6"/>
  <c r="D20" i="6"/>
  <c r="D19" i="6"/>
  <c r="D18" i="6"/>
  <c r="D17" i="6"/>
  <c r="D16" i="6"/>
  <c r="D15" i="6"/>
  <c r="D14" i="6"/>
  <c r="D13" i="6"/>
  <c r="D12" i="6"/>
  <c r="D11" i="6"/>
  <c r="G9" i="5"/>
  <c r="G10" i="5" s="1"/>
  <c r="D122" i="3"/>
  <c r="E122" i="3" s="1"/>
  <c r="F122" i="3" s="1"/>
  <c r="G122" i="3" s="1"/>
  <c r="H122" i="3" s="1"/>
  <c r="I122" i="3" s="1"/>
  <c r="J122" i="3" s="1"/>
  <c r="K122" i="3" s="1"/>
  <c r="L122" i="3" s="1"/>
  <c r="M122" i="3" s="1"/>
  <c r="N122" i="3" s="1"/>
  <c r="O122" i="3" s="1"/>
  <c r="P122" i="3" s="1"/>
  <c r="Q122" i="3" s="1"/>
  <c r="D92" i="3"/>
  <c r="E92" i="3" s="1"/>
  <c r="F92" i="3" s="1"/>
  <c r="G92" i="3" s="1"/>
  <c r="H92" i="3" s="1"/>
  <c r="I92" i="3" s="1"/>
  <c r="J92" i="3" s="1"/>
  <c r="K92" i="3" s="1"/>
  <c r="L92" i="3" s="1"/>
  <c r="M92" i="3" s="1"/>
  <c r="N92" i="3" s="1"/>
  <c r="O92" i="3" s="1"/>
  <c r="P92" i="3" s="1"/>
  <c r="Q92" i="3" s="1"/>
  <c r="D48" i="3"/>
  <c r="E48" i="3" s="1"/>
  <c r="F48" i="3" s="1"/>
  <c r="G48" i="3" s="1"/>
  <c r="H48" i="3" s="1"/>
  <c r="I48" i="3" s="1"/>
  <c r="J48" i="3" s="1"/>
  <c r="K48" i="3" s="1"/>
  <c r="L48" i="3" s="1"/>
  <c r="M48" i="3" s="1"/>
  <c r="N48" i="3" s="1"/>
  <c r="O48" i="3" s="1"/>
  <c r="P48" i="3" s="1"/>
  <c r="Q48" i="3" s="1"/>
  <c r="D27" i="3"/>
  <c r="E27" i="3" s="1"/>
  <c r="F27" i="3" s="1"/>
  <c r="G27" i="3" s="1"/>
  <c r="H27" i="3" s="1"/>
  <c r="I27" i="3" s="1"/>
  <c r="J27" i="3" s="1"/>
  <c r="K27" i="3" s="1"/>
  <c r="L27" i="3" s="1"/>
  <c r="M27" i="3" s="1"/>
  <c r="N27" i="3" s="1"/>
  <c r="O27" i="3" s="1"/>
  <c r="P27" i="3" s="1"/>
  <c r="Q27" i="3" s="1"/>
  <c r="G10" i="3" l="1"/>
  <c r="N7" i="4"/>
  <c r="G7" i="4"/>
  <c r="H7" i="4" s="1"/>
  <c r="I7" i="4" s="1"/>
  <c r="J7" i="4" s="1"/>
  <c r="K7" i="4" s="1"/>
  <c r="L7" i="4" s="1"/>
  <c r="M7" i="4" s="1"/>
  <c r="F7" i="4"/>
  <c r="G11" i="3"/>
  <c r="F11" i="3"/>
  <c r="E11" i="3"/>
  <c r="D11" i="3"/>
  <c r="D7" i="3"/>
  <c r="E7" i="3" s="1"/>
  <c r="F7" i="3" s="1"/>
  <c r="G7" i="3" s="1"/>
  <c r="H7" i="3" s="1"/>
  <c r="I7" i="3" s="1"/>
  <c r="J7" i="3" s="1"/>
  <c r="K7" i="3" s="1"/>
  <c r="L7" i="3" s="1"/>
  <c r="M7" i="3" s="1"/>
  <c r="N7" i="3" s="1"/>
  <c r="O7" i="3" s="1"/>
  <c r="P7" i="3" s="1"/>
  <c r="Q7" i="3" s="1"/>
  <c r="C118" i="3"/>
  <c r="G98" i="3"/>
  <c r="F98" i="3"/>
  <c r="E98" i="3"/>
  <c r="D98" i="3"/>
  <c r="G96" i="3"/>
  <c r="F96" i="3"/>
  <c r="E96" i="3"/>
  <c r="D96" i="3"/>
  <c r="C96" i="3"/>
  <c r="G128" i="3"/>
  <c r="F128" i="3"/>
  <c r="E128" i="3"/>
  <c r="D128" i="3"/>
  <c r="G127" i="3"/>
  <c r="F127" i="3"/>
  <c r="E127" i="3"/>
  <c r="D127" i="3"/>
  <c r="G126" i="3"/>
  <c r="F126" i="3"/>
  <c r="E126" i="3"/>
  <c r="D126" i="3"/>
  <c r="G125" i="3"/>
  <c r="G129" i="3" s="1"/>
  <c r="G99" i="3" s="1"/>
  <c r="F125" i="3"/>
  <c r="F129" i="3" s="1"/>
  <c r="F99" i="3" s="1"/>
  <c r="E125" i="3"/>
  <c r="D125" i="3"/>
  <c r="C128" i="3"/>
  <c r="C127" i="3"/>
  <c r="C126" i="3"/>
  <c r="C125" i="3"/>
  <c r="G114" i="3"/>
  <c r="F114" i="3"/>
  <c r="E114" i="3"/>
  <c r="D114" i="3"/>
  <c r="G113" i="3"/>
  <c r="F113" i="3"/>
  <c r="E113" i="3"/>
  <c r="D113" i="3"/>
  <c r="G112" i="3"/>
  <c r="F112" i="3"/>
  <c r="E112" i="3"/>
  <c r="D112" i="3"/>
  <c r="G111" i="3"/>
  <c r="G115" i="3" s="1"/>
  <c r="F111" i="3"/>
  <c r="F115" i="3" s="1"/>
  <c r="E111" i="3"/>
  <c r="E115" i="3" s="1"/>
  <c r="D111" i="3"/>
  <c r="C112" i="3"/>
  <c r="C111" i="3"/>
  <c r="C114" i="3"/>
  <c r="C113" i="3"/>
  <c r="G107" i="3"/>
  <c r="F107" i="3"/>
  <c r="E107" i="3"/>
  <c r="D107" i="3"/>
  <c r="G106" i="3"/>
  <c r="F106" i="3"/>
  <c r="E106" i="3"/>
  <c r="D106" i="3"/>
  <c r="G105" i="3"/>
  <c r="F105" i="3"/>
  <c r="E105" i="3"/>
  <c r="D105" i="3"/>
  <c r="G104" i="3"/>
  <c r="F104" i="3"/>
  <c r="E104" i="3"/>
  <c r="D104" i="3"/>
  <c r="G103" i="3"/>
  <c r="F103" i="3"/>
  <c r="E103" i="3"/>
  <c r="D103" i="3"/>
  <c r="C105" i="3"/>
  <c r="C107" i="3"/>
  <c r="C106" i="3"/>
  <c r="C104" i="3"/>
  <c r="C103" i="3"/>
  <c r="C98" i="3"/>
  <c r="G84" i="3"/>
  <c r="H84" i="3" s="1"/>
  <c r="F84" i="3"/>
  <c r="E84" i="3"/>
  <c r="D84" i="3"/>
  <c r="G82" i="3"/>
  <c r="F82" i="3"/>
  <c r="E82" i="3"/>
  <c r="D82" i="3"/>
  <c r="G81" i="3"/>
  <c r="F81" i="3"/>
  <c r="F83" i="3" s="1"/>
  <c r="E81" i="3"/>
  <c r="E83" i="3" s="1"/>
  <c r="D81" i="3"/>
  <c r="D83" i="3" s="1"/>
  <c r="C84" i="3"/>
  <c r="C82" i="3"/>
  <c r="C81" i="3"/>
  <c r="G76" i="3"/>
  <c r="H76" i="3" s="1"/>
  <c r="I76" i="3" s="1"/>
  <c r="J76" i="3" s="1"/>
  <c r="K76" i="3" s="1"/>
  <c r="L76" i="3" s="1"/>
  <c r="M76" i="3" s="1"/>
  <c r="N76" i="3" s="1"/>
  <c r="O76" i="3" s="1"/>
  <c r="P76" i="3" s="1"/>
  <c r="Q76" i="3" s="1"/>
  <c r="F76" i="3"/>
  <c r="E76" i="3"/>
  <c r="D76" i="3"/>
  <c r="G75" i="3"/>
  <c r="F75" i="3"/>
  <c r="E75" i="3"/>
  <c r="D75" i="3"/>
  <c r="G71" i="3"/>
  <c r="H71" i="3" s="1"/>
  <c r="I71" i="3" s="1"/>
  <c r="J71" i="3" s="1"/>
  <c r="K71" i="3" s="1"/>
  <c r="L71" i="3" s="1"/>
  <c r="M71" i="3" s="1"/>
  <c r="N71" i="3" s="1"/>
  <c r="O71" i="3" s="1"/>
  <c r="P71" i="3" s="1"/>
  <c r="Q71" i="3" s="1"/>
  <c r="F71" i="3"/>
  <c r="E71" i="3"/>
  <c r="D71" i="3"/>
  <c r="G70" i="3"/>
  <c r="G72" i="3" s="1"/>
  <c r="F70" i="3"/>
  <c r="F72" i="3" s="1"/>
  <c r="E70" i="3"/>
  <c r="E72" i="3" s="1"/>
  <c r="D70" i="3"/>
  <c r="D72" i="3" s="1"/>
  <c r="C76" i="3"/>
  <c r="C75" i="3"/>
  <c r="C71" i="3"/>
  <c r="C70" i="3"/>
  <c r="G63" i="3"/>
  <c r="H63" i="3" s="1"/>
  <c r="I63" i="3" s="1"/>
  <c r="J63" i="3" s="1"/>
  <c r="K63" i="3" s="1"/>
  <c r="L63" i="3" s="1"/>
  <c r="M63" i="3" s="1"/>
  <c r="N63" i="3" s="1"/>
  <c r="O63" i="3" s="1"/>
  <c r="P63" i="3" s="1"/>
  <c r="Q63" i="3" s="1"/>
  <c r="F63" i="3"/>
  <c r="E63" i="3"/>
  <c r="D63" i="3"/>
  <c r="G62" i="3"/>
  <c r="H62" i="3" s="1"/>
  <c r="I62" i="3" s="1"/>
  <c r="J62" i="3" s="1"/>
  <c r="K62" i="3" s="1"/>
  <c r="L62" i="3" s="1"/>
  <c r="M62" i="3" s="1"/>
  <c r="N62" i="3" s="1"/>
  <c r="O62" i="3" s="1"/>
  <c r="P62" i="3" s="1"/>
  <c r="Q62" i="3" s="1"/>
  <c r="F62" i="3"/>
  <c r="E62" i="3"/>
  <c r="D62" i="3"/>
  <c r="G61" i="3"/>
  <c r="H61" i="3" s="1"/>
  <c r="I61" i="3" s="1"/>
  <c r="J61" i="3" s="1"/>
  <c r="K61" i="3" s="1"/>
  <c r="L61" i="3" s="1"/>
  <c r="M61" i="3" s="1"/>
  <c r="N61" i="3" s="1"/>
  <c r="O61" i="3" s="1"/>
  <c r="P61" i="3" s="1"/>
  <c r="Q61" i="3" s="1"/>
  <c r="F61" i="3"/>
  <c r="E61" i="3"/>
  <c r="D61" i="3"/>
  <c r="G60" i="3"/>
  <c r="F60" i="3"/>
  <c r="E60" i="3"/>
  <c r="F31" i="10" s="1"/>
  <c r="D60" i="3"/>
  <c r="G56" i="3"/>
  <c r="F56" i="3"/>
  <c r="E56" i="3"/>
  <c r="D56" i="3"/>
  <c r="C56" i="3"/>
  <c r="C62" i="3"/>
  <c r="C63" i="3"/>
  <c r="C61" i="3"/>
  <c r="C60" i="3"/>
  <c r="G108" i="3" l="1"/>
  <c r="D129" i="3"/>
  <c r="D99" i="3" s="1"/>
  <c r="C8" i="4"/>
  <c r="E8" i="4" s="1"/>
  <c r="F8" i="4" s="1"/>
  <c r="G8" i="4" s="1"/>
  <c r="H8" i="4" s="1"/>
  <c r="I8" i="4" s="1"/>
  <c r="J8" i="4" s="1"/>
  <c r="K8" i="4" s="1"/>
  <c r="L8" i="4" s="1"/>
  <c r="M8" i="4" s="1"/>
  <c r="N8" i="4" s="1"/>
  <c r="C9" i="4"/>
  <c r="E9" i="4" s="1"/>
  <c r="F9" i="4" s="1"/>
  <c r="G9" i="4" s="1"/>
  <c r="H9" i="4" s="1"/>
  <c r="I9" i="4" s="1"/>
  <c r="J9" i="4" s="1"/>
  <c r="K9" i="4" s="1"/>
  <c r="L9" i="4" s="1"/>
  <c r="M9" i="4" s="1"/>
  <c r="N9" i="4" s="1"/>
  <c r="F85" i="3"/>
  <c r="F12" i="11" s="1"/>
  <c r="F27" i="11" s="1"/>
  <c r="G32" i="10"/>
  <c r="D115" i="3"/>
  <c r="F23" i="3"/>
  <c r="G31" i="10"/>
  <c r="C141" i="3"/>
  <c r="D139" i="3" s="1"/>
  <c r="F77" i="3"/>
  <c r="F79" i="3" s="1"/>
  <c r="G64" i="3"/>
  <c r="H31" i="10"/>
  <c r="D85" i="3"/>
  <c r="D12" i="11" s="1"/>
  <c r="D27" i="11" s="1"/>
  <c r="E32" i="10"/>
  <c r="E77" i="3"/>
  <c r="E79" i="3" s="1"/>
  <c r="E87" i="3" s="1"/>
  <c r="C136" i="3"/>
  <c r="D133" i="3" s="1"/>
  <c r="D31" i="10"/>
  <c r="D64" i="3"/>
  <c r="E31" i="10"/>
  <c r="D77" i="3"/>
  <c r="E42" i="10"/>
  <c r="E85" i="3"/>
  <c r="E12" i="11" s="1"/>
  <c r="E27" i="11" s="1"/>
  <c r="F32" i="10"/>
  <c r="E64" i="3"/>
  <c r="D108" i="3"/>
  <c r="E129" i="3"/>
  <c r="E99" i="3" s="1"/>
  <c r="E108" i="3"/>
  <c r="D79" i="3"/>
  <c r="D87" i="3" s="1"/>
  <c r="F108" i="3"/>
  <c r="G77" i="3"/>
  <c r="G79" i="3" s="1"/>
  <c r="E29" i="7"/>
  <c r="G83" i="3"/>
  <c r="H81" i="3"/>
  <c r="I81" i="3" s="1"/>
  <c r="J81" i="3" s="1"/>
  <c r="K81" i="3" s="1"/>
  <c r="L81" i="3" s="1"/>
  <c r="M81" i="3" s="1"/>
  <c r="N81" i="3" s="1"/>
  <c r="O81" i="3" s="1"/>
  <c r="P81" i="3" s="1"/>
  <c r="Q81" i="3" s="1"/>
  <c r="C61" i="7"/>
  <c r="I84" i="3"/>
  <c r="J84" i="3" s="1"/>
  <c r="K84" i="3" s="1"/>
  <c r="L84" i="3" s="1"/>
  <c r="M84" i="3" s="1"/>
  <c r="N84" i="3" s="1"/>
  <c r="O84" i="3" s="1"/>
  <c r="P84" i="3" s="1"/>
  <c r="Q84" i="3" s="1"/>
  <c r="C129" i="3"/>
  <c r="C99" i="3" s="1"/>
  <c r="G136" i="3"/>
  <c r="H133" i="3" s="1"/>
  <c r="G141" i="3"/>
  <c r="H139" i="3" s="1"/>
  <c r="C23" i="3"/>
  <c r="G23" i="3"/>
  <c r="H23" i="3" s="1"/>
  <c r="I23" i="3" s="1"/>
  <c r="J23" i="3" s="1"/>
  <c r="K23" i="3" s="1"/>
  <c r="L23" i="3" s="1"/>
  <c r="M23" i="3" s="1"/>
  <c r="N23" i="3" s="1"/>
  <c r="O23" i="3" s="1"/>
  <c r="P23" i="3" s="1"/>
  <c r="Q23" i="3" s="1"/>
  <c r="D136" i="3"/>
  <c r="E133" i="3" s="1"/>
  <c r="D141" i="3"/>
  <c r="D23" i="3"/>
  <c r="E136" i="3"/>
  <c r="F133" i="3" s="1"/>
  <c r="E141" i="3"/>
  <c r="F139" i="3" s="1"/>
  <c r="E23" i="3"/>
  <c r="H56" i="3"/>
  <c r="C115" i="3"/>
  <c r="F136" i="3"/>
  <c r="G133" i="3" s="1"/>
  <c r="F141" i="3"/>
  <c r="G139" i="3" s="1"/>
  <c r="C10" i="4"/>
  <c r="E10" i="4" s="1"/>
  <c r="F10" i="4" s="1"/>
  <c r="G10" i="4" s="1"/>
  <c r="H10" i="4" s="1"/>
  <c r="I10" i="4" s="1"/>
  <c r="J10" i="4" s="1"/>
  <c r="K10" i="4" s="1"/>
  <c r="L10" i="4" s="1"/>
  <c r="M10" i="4" s="1"/>
  <c r="N10" i="4" s="1"/>
  <c r="H11" i="3" a="1"/>
  <c r="O11" i="3" s="1"/>
  <c r="C72" i="3"/>
  <c r="C77" i="3"/>
  <c r="C108" i="3"/>
  <c r="C83" i="3"/>
  <c r="F64" i="3"/>
  <c r="C64" i="3"/>
  <c r="G42" i="10" l="1"/>
  <c r="F87" i="3"/>
  <c r="F42" i="10"/>
  <c r="C85" i="3"/>
  <c r="D32" i="10"/>
  <c r="G85" i="3"/>
  <c r="H32" i="10"/>
  <c r="C79" i="3"/>
  <c r="G140" i="3"/>
  <c r="E139" i="3"/>
  <c r="D140" i="3"/>
  <c r="C40" i="7"/>
  <c r="C41" i="7" s="1"/>
  <c r="D34" i="7" s="1"/>
  <c r="C59" i="7"/>
  <c r="F140" i="3"/>
  <c r="I56" i="3"/>
  <c r="I128" i="3" s="1"/>
  <c r="H75" i="3"/>
  <c r="H141" i="3"/>
  <c r="I139" i="3" s="1"/>
  <c r="H128" i="3"/>
  <c r="P11" i="3"/>
  <c r="N11" i="3"/>
  <c r="I11" i="3"/>
  <c r="H11" i="3"/>
  <c r="H29" i="3" s="1"/>
  <c r="Q11" i="3"/>
  <c r="J11" i="3"/>
  <c r="K11" i="3"/>
  <c r="L11" i="3"/>
  <c r="M11" i="3"/>
  <c r="I29" i="3"/>
  <c r="C87" i="3" l="1"/>
  <c r="I19" i="11"/>
  <c r="I22" i="11" s="1"/>
  <c r="I42" i="11"/>
  <c r="I45" i="11" s="1"/>
  <c r="J9" i="10"/>
  <c r="H42" i="11"/>
  <c r="H45" i="11" s="1"/>
  <c r="H19" i="11"/>
  <c r="H22" i="11" s="1"/>
  <c r="I9" i="10"/>
  <c r="H134" i="3"/>
  <c r="G12" i="11"/>
  <c r="G27" i="11" s="1"/>
  <c r="H42" i="10"/>
  <c r="H77" i="3"/>
  <c r="G87" i="3"/>
  <c r="C12" i="11"/>
  <c r="C27" i="11" s="1"/>
  <c r="D42" i="10"/>
  <c r="I141" i="3"/>
  <c r="J139" i="3" s="1"/>
  <c r="I75" i="3"/>
  <c r="J56" i="3"/>
  <c r="J128" i="3" s="1"/>
  <c r="E140" i="3"/>
  <c r="D35" i="7"/>
  <c r="E35" i="7" s="1"/>
  <c r="H103" i="3"/>
  <c r="I134" i="3"/>
  <c r="I103" i="3" s="1"/>
  <c r="D12" i="7" s="1"/>
  <c r="J29" i="3"/>
  <c r="J19" i="11" l="1"/>
  <c r="J22" i="11" s="1"/>
  <c r="J42" i="11"/>
  <c r="J45" i="11" s="1"/>
  <c r="K9" i="10"/>
  <c r="I77" i="3"/>
  <c r="J75" i="3"/>
  <c r="J141" i="3"/>
  <c r="K139" i="3" s="1"/>
  <c r="K56" i="3"/>
  <c r="K128" i="3"/>
  <c r="C12" i="7"/>
  <c r="J134" i="3"/>
  <c r="J103" i="3" s="1"/>
  <c r="E12" i="7" s="1"/>
  <c r="K29" i="3"/>
  <c r="K19" i="11" l="1"/>
  <c r="K22" i="11" s="1"/>
  <c r="K42" i="11"/>
  <c r="K45" i="11" s="1"/>
  <c r="L9" i="10"/>
  <c r="J77" i="3"/>
  <c r="K141" i="3"/>
  <c r="L139" i="3" s="1"/>
  <c r="K75" i="3"/>
  <c r="L56" i="3"/>
  <c r="L128" i="3" s="1"/>
  <c r="K134" i="3"/>
  <c r="K103" i="3" s="1"/>
  <c r="F12" i="7" s="1"/>
  <c r="L29" i="3"/>
  <c r="L42" i="11" l="1"/>
  <c r="L45" i="11" s="1"/>
  <c r="L19" i="11"/>
  <c r="L22" i="11" s="1"/>
  <c r="M9" i="10"/>
  <c r="K77" i="3"/>
  <c r="M56" i="3"/>
  <c r="M128" i="3" s="1"/>
  <c r="L75" i="3"/>
  <c r="L141" i="3"/>
  <c r="M139" i="3" s="1"/>
  <c r="L134" i="3"/>
  <c r="L103" i="3" s="1"/>
  <c r="G12" i="7" s="1"/>
  <c r="M29" i="3"/>
  <c r="M19" i="11" l="1"/>
  <c r="M22" i="11" s="1"/>
  <c r="M42" i="11"/>
  <c r="M45" i="11" s="1"/>
  <c r="N9" i="10"/>
  <c r="L77" i="3"/>
  <c r="M141" i="3"/>
  <c r="N139" i="3" s="1"/>
  <c r="M75" i="3"/>
  <c r="N56" i="3"/>
  <c r="N128" i="3" s="1"/>
  <c r="M134" i="3"/>
  <c r="M103" i="3" s="1"/>
  <c r="H12" i="7" s="1"/>
  <c r="N29" i="3"/>
  <c r="N19" i="11" l="1"/>
  <c r="N22" i="11" s="1"/>
  <c r="N42" i="11"/>
  <c r="N45" i="11" s="1"/>
  <c r="O9" i="10"/>
  <c r="M77" i="3"/>
  <c r="O56" i="3"/>
  <c r="N141" i="3"/>
  <c r="O139" i="3" s="1"/>
  <c r="N75" i="3"/>
  <c r="N134" i="3"/>
  <c r="N103" i="3" s="1"/>
  <c r="I12" i="7" s="1"/>
  <c r="O29" i="3"/>
  <c r="O19" i="11" l="1"/>
  <c r="O22" i="11" s="1"/>
  <c r="O42" i="11"/>
  <c r="O45" i="11" s="1"/>
  <c r="P9" i="10"/>
  <c r="N77" i="3"/>
  <c r="P56" i="3"/>
  <c r="P128" i="3" s="1"/>
  <c r="O75" i="3"/>
  <c r="O141" i="3"/>
  <c r="P139" i="3" s="1"/>
  <c r="O128" i="3"/>
  <c r="O134" i="3"/>
  <c r="O103" i="3" s="1"/>
  <c r="J12" i="7" s="1"/>
  <c r="P29" i="3"/>
  <c r="P42" i="11" l="1"/>
  <c r="P45" i="11" s="1"/>
  <c r="P19" i="11"/>
  <c r="P22" i="11" s="1"/>
  <c r="Q9" i="10"/>
  <c r="O77" i="3"/>
  <c r="P141" i="3"/>
  <c r="Q139" i="3" s="1"/>
  <c r="P75" i="3"/>
  <c r="Q56" i="3"/>
  <c r="Q128" i="3" s="1"/>
  <c r="P134" i="3"/>
  <c r="P103" i="3" s="1"/>
  <c r="K12" i="7" s="1"/>
  <c r="Q29" i="3"/>
  <c r="Q19" i="11" l="1"/>
  <c r="Q22" i="11" s="1"/>
  <c r="Q42" i="11"/>
  <c r="Q45" i="11" s="1"/>
  <c r="R9" i="10"/>
  <c r="P77" i="3"/>
  <c r="Q75" i="3"/>
  <c r="Q141" i="3"/>
  <c r="Q134" i="3"/>
  <c r="Q103" i="3" s="1"/>
  <c r="L12" i="7" s="1"/>
  <c r="Q77" i="3" l="1"/>
  <c r="G55" i="3"/>
  <c r="F55" i="3"/>
  <c r="E55" i="3"/>
  <c r="D55" i="3"/>
  <c r="G54" i="3"/>
  <c r="H28" i="10" s="1"/>
  <c r="F54" i="3"/>
  <c r="E54" i="3"/>
  <c r="D54" i="3"/>
  <c r="G53" i="3"/>
  <c r="H53" i="3" s="1"/>
  <c r="I53" i="3" s="1"/>
  <c r="J53" i="3" s="1"/>
  <c r="K53" i="3" s="1"/>
  <c r="L53" i="3" s="1"/>
  <c r="M53" i="3" s="1"/>
  <c r="N53" i="3" s="1"/>
  <c r="O53" i="3" s="1"/>
  <c r="P53" i="3" s="1"/>
  <c r="Q53" i="3" s="1"/>
  <c r="F53" i="3"/>
  <c r="E53" i="3"/>
  <c r="D53" i="3"/>
  <c r="G52" i="3"/>
  <c r="F52" i="3"/>
  <c r="F57" i="3" s="1"/>
  <c r="E52" i="3"/>
  <c r="E57" i="3" s="1"/>
  <c r="D52" i="3"/>
  <c r="C55" i="3"/>
  <c r="C54" i="3"/>
  <c r="C53" i="3"/>
  <c r="C52" i="3"/>
  <c r="G40" i="3"/>
  <c r="G17" i="3" s="1"/>
  <c r="F40" i="3"/>
  <c r="F17" i="3" s="1"/>
  <c r="E40" i="3"/>
  <c r="E17" i="3" s="1"/>
  <c r="D40" i="3"/>
  <c r="D17" i="3" s="1"/>
  <c r="C40" i="3"/>
  <c r="C17" i="3" s="1"/>
  <c r="G39" i="3"/>
  <c r="F39" i="3"/>
  <c r="E39" i="3"/>
  <c r="D39" i="3"/>
  <c r="C39" i="3"/>
  <c r="C142" i="3" s="1"/>
  <c r="G37" i="3"/>
  <c r="H21" i="10" s="1"/>
  <c r="F37" i="3"/>
  <c r="G21" i="10" s="1"/>
  <c r="E37" i="3"/>
  <c r="F21" i="10" s="1"/>
  <c r="D37" i="3"/>
  <c r="E21" i="10" s="1"/>
  <c r="C37" i="3"/>
  <c r="D21" i="10" s="1"/>
  <c r="G34" i="3"/>
  <c r="G14" i="3" s="1"/>
  <c r="F34" i="3"/>
  <c r="F14" i="3" s="1"/>
  <c r="E34" i="3"/>
  <c r="E14" i="3" s="1"/>
  <c r="D34" i="3"/>
  <c r="D14" i="3" s="1"/>
  <c r="G33" i="3"/>
  <c r="F33" i="3"/>
  <c r="E33" i="3"/>
  <c r="D33" i="3"/>
  <c r="C34" i="3"/>
  <c r="C14" i="3" s="1"/>
  <c r="C33" i="3"/>
  <c r="C13" i="3" s="1"/>
  <c r="G30" i="3"/>
  <c r="F30" i="3"/>
  <c r="E30" i="3"/>
  <c r="D30" i="3"/>
  <c r="C30" i="3"/>
  <c r="C22" i="3" l="1"/>
  <c r="D36" i="10" s="1"/>
  <c r="D30" i="10"/>
  <c r="D29" i="10"/>
  <c r="F66" i="3"/>
  <c r="G41" i="10"/>
  <c r="G40" i="10"/>
  <c r="E29" i="10"/>
  <c r="E30" i="10"/>
  <c r="G30" i="10"/>
  <c r="G29" i="10"/>
  <c r="H29" i="10"/>
  <c r="H30" i="10"/>
  <c r="C20" i="3"/>
  <c r="D35" i="10" s="1"/>
  <c r="D28" i="10"/>
  <c r="F20" i="3"/>
  <c r="G35" i="10" s="1"/>
  <c r="G28" i="10"/>
  <c r="F30" i="10"/>
  <c r="F29" i="10"/>
  <c r="D20" i="3"/>
  <c r="E35" i="10" s="1"/>
  <c r="E28" i="10"/>
  <c r="E66" i="3"/>
  <c r="F40" i="10"/>
  <c r="F41" i="10"/>
  <c r="E20" i="3"/>
  <c r="F35" i="10" s="1"/>
  <c r="F38" i="10" s="1"/>
  <c r="F28" i="10"/>
  <c r="F21" i="3"/>
  <c r="G37" i="10" s="1"/>
  <c r="G142" i="3"/>
  <c r="G16" i="3"/>
  <c r="D31" i="3"/>
  <c r="D12" i="3"/>
  <c r="D22" i="3"/>
  <c r="E36" i="10" s="1"/>
  <c r="F35" i="3"/>
  <c r="G20" i="10" s="1"/>
  <c r="F13" i="3"/>
  <c r="E97" i="3"/>
  <c r="E135" i="3"/>
  <c r="E134" i="3" s="1"/>
  <c r="E15" i="3"/>
  <c r="D142" i="3"/>
  <c r="D16" i="3"/>
  <c r="H17" i="3"/>
  <c r="C21" i="3"/>
  <c r="D37" i="10" s="1"/>
  <c r="G57" i="3"/>
  <c r="F29" i="7"/>
  <c r="H118" i="3"/>
  <c r="G20" i="3"/>
  <c r="G21" i="3"/>
  <c r="H37" i="10" s="1"/>
  <c r="E35" i="3"/>
  <c r="F20" i="10" s="1"/>
  <c r="E13" i="3"/>
  <c r="D97" i="3"/>
  <c r="D135" i="3"/>
  <c r="D134" i="3" s="1"/>
  <c r="D15" i="3"/>
  <c r="H14" i="3"/>
  <c r="I14" i="3" s="1"/>
  <c r="G35" i="3"/>
  <c r="H20" i="10" s="1"/>
  <c r="G13" i="3"/>
  <c r="F97" i="3"/>
  <c r="F135" i="3"/>
  <c r="F134" i="3" s="1"/>
  <c r="F15" i="3"/>
  <c r="E142" i="3"/>
  <c r="E16" i="3"/>
  <c r="C57" i="3"/>
  <c r="D21" i="3"/>
  <c r="E37" i="10" s="1"/>
  <c r="G31" i="3"/>
  <c r="G12" i="3"/>
  <c r="G22" i="3"/>
  <c r="H36" i="10" s="1"/>
  <c r="E31" i="3"/>
  <c r="E12" i="3"/>
  <c r="E22" i="3"/>
  <c r="F36" i="10" s="1"/>
  <c r="F31" i="3"/>
  <c r="G14" i="10" s="1"/>
  <c r="F12" i="3"/>
  <c r="F22" i="3"/>
  <c r="G36" i="10" s="1"/>
  <c r="D35" i="3"/>
  <c r="E20" i="10" s="1"/>
  <c r="D13" i="3"/>
  <c r="C97" i="3"/>
  <c r="C135" i="3"/>
  <c r="G97" i="3"/>
  <c r="G135" i="3"/>
  <c r="G134" i="3" s="1"/>
  <c r="G15" i="3"/>
  <c r="F142" i="3"/>
  <c r="F16" i="3"/>
  <c r="E21" i="3"/>
  <c r="F37" i="10" s="1"/>
  <c r="C31" i="3"/>
  <c r="D14" i="10" s="1"/>
  <c r="C12" i="3"/>
  <c r="D57" i="3"/>
  <c r="C35" i="3"/>
  <c r="D20" i="10" s="1"/>
  <c r="G147" i="2"/>
  <c r="G126" i="2"/>
  <c r="G132" i="2" s="1"/>
  <c r="G134" i="2" s="1"/>
  <c r="F147" i="2"/>
  <c r="F126" i="2"/>
  <c r="F132" i="2" s="1"/>
  <c r="F134" i="2" s="1"/>
  <c r="E147" i="2"/>
  <c r="E126" i="2"/>
  <c r="E132" i="2" s="1"/>
  <c r="E134" i="2" s="1"/>
  <c r="G158" i="2"/>
  <c r="F158" i="2"/>
  <c r="E158" i="2"/>
  <c r="G160" i="2"/>
  <c r="G118" i="3" s="1"/>
  <c r="F160" i="2"/>
  <c r="F118" i="3" s="1"/>
  <c r="E160" i="2"/>
  <c r="E118" i="3" s="1"/>
  <c r="D160" i="2"/>
  <c r="D118" i="3" s="1"/>
  <c r="D158" i="2"/>
  <c r="D147" i="2"/>
  <c r="D126" i="2"/>
  <c r="D132" i="2" s="1"/>
  <c r="D134" i="2" s="1"/>
  <c r="C126" i="2"/>
  <c r="C132" i="2" s="1"/>
  <c r="C134" i="2" s="1"/>
  <c r="C158" i="2"/>
  <c r="C147" i="2"/>
  <c r="D107" i="2"/>
  <c r="E107" i="2" s="1"/>
  <c r="F107" i="2" s="1"/>
  <c r="G107" i="2" s="1"/>
  <c r="G99" i="2"/>
  <c r="G86" i="2"/>
  <c r="G74" i="2"/>
  <c r="G76" i="2" s="1"/>
  <c r="G66" i="2"/>
  <c r="G54" i="2"/>
  <c r="F99" i="2"/>
  <c r="F86" i="2"/>
  <c r="F74" i="2"/>
  <c r="F76" i="2" s="1"/>
  <c r="F66" i="2"/>
  <c r="F54" i="2"/>
  <c r="E99" i="2"/>
  <c r="E86" i="2"/>
  <c r="E74" i="2"/>
  <c r="E76" i="2" s="1"/>
  <c r="E66" i="2"/>
  <c r="E54" i="2"/>
  <c r="D99" i="2"/>
  <c r="D86" i="2"/>
  <c r="D74" i="2"/>
  <c r="D76" i="2" s="1"/>
  <c r="D66" i="2"/>
  <c r="D54" i="2"/>
  <c r="C99" i="2"/>
  <c r="C86" i="2"/>
  <c r="C74" i="2"/>
  <c r="C76" i="2" s="1"/>
  <c r="C66" i="2"/>
  <c r="C54" i="2"/>
  <c r="D37" i="2"/>
  <c r="E37" i="2" s="1"/>
  <c r="F37" i="2" s="1"/>
  <c r="G37" i="2" s="1"/>
  <c r="G33" i="2"/>
  <c r="G42" i="3" s="1"/>
  <c r="G23" i="2"/>
  <c r="G13" i="2"/>
  <c r="F33" i="2"/>
  <c r="F42" i="3" s="1"/>
  <c r="F13" i="2"/>
  <c r="F23" i="2"/>
  <c r="E33" i="2"/>
  <c r="E42" i="3" s="1"/>
  <c r="E23" i="2"/>
  <c r="E13" i="2"/>
  <c r="D33" i="2"/>
  <c r="D42" i="3" s="1"/>
  <c r="D13" i="2"/>
  <c r="D23" i="2"/>
  <c r="C33" i="2"/>
  <c r="C42" i="3" s="1"/>
  <c r="C23" i="2"/>
  <c r="C13" i="2"/>
  <c r="E36" i="3" l="1"/>
  <c r="F14" i="10"/>
  <c r="H20" i="3"/>
  <c r="I35" i="10" s="1"/>
  <c r="H35" i="10"/>
  <c r="H38" i="10" s="1"/>
  <c r="F89" i="3"/>
  <c r="F36" i="11"/>
  <c r="F46" i="11" s="1"/>
  <c r="F47" i="11" s="1"/>
  <c r="F23" i="11"/>
  <c r="C66" i="3"/>
  <c r="D40" i="10"/>
  <c r="D41" i="10"/>
  <c r="E38" i="10"/>
  <c r="D66" i="3"/>
  <c r="E40" i="10"/>
  <c r="E41" i="10"/>
  <c r="H12" i="3"/>
  <c r="H30" i="3" s="1"/>
  <c r="G38" i="10"/>
  <c r="G36" i="3"/>
  <c r="H14" i="10"/>
  <c r="G66" i="3"/>
  <c r="H41" i="10"/>
  <c r="H40" i="10"/>
  <c r="D36" i="3"/>
  <c r="E14" i="10"/>
  <c r="E89" i="3"/>
  <c r="E36" i="11"/>
  <c r="E46" i="11" s="1"/>
  <c r="E47" i="11" s="1"/>
  <c r="E23" i="11"/>
  <c r="D38" i="10"/>
  <c r="F36" i="3"/>
  <c r="C36" i="3"/>
  <c r="H13" i="3"/>
  <c r="H33" i="3" s="1"/>
  <c r="H22" i="3"/>
  <c r="F68" i="2"/>
  <c r="H34" i="3"/>
  <c r="H15" i="3"/>
  <c r="I17" i="3"/>
  <c r="C44" i="7"/>
  <c r="H40" i="3"/>
  <c r="H107" i="3" s="1"/>
  <c r="H108" i="3" s="1"/>
  <c r="H21" i="3"/>
  <c r="C58" i="7"/>
  <c r="G29" i="7"/>
  <c r="H16" i="3"/>
  <c r="J14" i="3"/>
  <c r="I34" i="3"/>
  <c r="F159" i="2"/>
  <c r="F162" i="2" s="1"/>
  <c r="G159" i="2"/>
  <c r="G162" i="2" s="1"/>
  <c r="G100" i="2"/>
  <c r="G101" i="2" s="1"/>
  <c r="C159" i="2"/>
  <c r="C162" i="2" s="1"/>
  <c r="E159" i="2"/>
  <c r="E162" i="2" s="1"/>
  <c r="D159" i="2"/>
  <c r="D162" i="2" s="1"/>
  <c r="F100" i="2"/>
  <c r="F101" i="2" s="1"/>
  <c r="G68" i="2"/>
  <c r="D68" i="2"/>
  <c r="E68" i="2"/>
  <c r="E100" i="2"/>
  <c r="E101" i="2" s="1"/>
  <c r="D100" i="2"/>
  <c r="D101" i="2" s="1"/>
  <c r="C100" i="2"/>
  <c r="C101" i="2" s="1"/>
  <c r="C68" i="2"/>
  <c r="G24" i="2"/>
  <c r="G26" i="2" s="1"/>
  <c r="G28" i="2" s="1"/>
  <c r="G34" i="2" s="1"/>
  <c r="F24" i="2"/>
  <c r="F26" i="2" s="1"/>
  <c r="F28" i="2" s="1"/>
  <c r="F34" i="2" s="1"/>
  <c r="D24" i="2"/>
  <c r="D26" i="2" s="1"/>
  <c r="D28" i="2" s="1"/>
  <c r="D34" i="2" s="1"/>
  <c r="C24" i="2"/>
  <c r="C26" i="2" s="1"/>
  <c r="C28" i="2" s="1"/>
  <c r="C34" i="2" s="1"/>
  <c r="E24" i="2"/>
  <c r="E26" i="2" s="1"/>
  <c r="E28" i="2" s="1"/>
  <c r="E34" i="2" s="1"/>
  <c r="I12" i="3" l="1"/>
  <c r="I20" i="3"/>
  <c r="J35" i="10" s="1"/>
  <c r="H54" i="3"/>
  <c r="I28" i="10" s="1"/>
  <c r="C38" i="3"/>
  <c r="D15" i="10"/>
  <c r="E26" i="11"/>
  <c r="E28" i="11" s="1"/>
  <c r="E24" i="11"/>
  <c r="D38" i="3"/>
  <c r="E10" i="10"/>
  <c r="E15" i="10"/>
  <c r="F26" i="11"/>
  <c r="F28" i="11" s="1"/>
  <c r="F24" i="11"/>
  <c r="I21" i="3"/>
  <c r="I37" i="10"/>
  <c r="I22" i="3"/>
  <c r="I36" i="10"/>
  <c r="G38" i="3"/>
  <c r="H15" i="10"/>
  <c r="H10" i="10"/>
  <c r="G89" i="3"/>
  <c r="G36" i="11"/>
  <c r="G46" i="11" s="1"/>
  <c r="G47" i="11" s="1"/>
  <c r="G23" i="11"/>
  <c r="F38" i="3"/>
  <c r="G15" i="10"/>
  <c r="G10" i="10"/>
  <c r="D89" i="3"/>
  <c r="D23" i="11"/>
  <c r="D36" i="11"/>
  <c r="D46" i="11" s="1"/>
  <c r="D47" i="11" s="1"/>
  <c r="C89" i="3"/>
  <c r="C36" i="11"/>
  <c r="C46" i="11" s="1"/>
  <c r="C47" i="11" s="1"/>
  <c r="C23" i="11"/>
  <c r="E38" i="3"/>
  <c r="F10" i="10"/>
  <c r="F15" i="10"/>
  <c r="I13" i="3"/>
  <c r="J13" i="3" s="1"/>
  <c r="K13" i="3" s="1"/>
  <c r="F104" i="2"/>
  <c r="H142" i="3"/>
  <c r="I16" i="3"/>
  <c r="I15" i="3"/>
  <c r="J15" i="3" s="1"/>
  <c r="K15" i="3" s="1"/>
  <c r="L15" i="3" s="1"/>
  <c r="M15" i="3" s="1"/>
  <c r="N15" i="3" s="1"/>
  <c r="O15" i="3" s="1"/>
  <c r="P15" i="3" s="1"/>
  <c r="Q15" i="3" s="1"/>
  <c r="H135" i="3"/>
  <c r="H35" i="3"/>
  <c r="I20" i="10" s="1"/>
  <c r="J17" i="3"/>
  <c r="I40" i="3"/>
  <c r="I107" i="3" s="1"/>
  <c r="I108" i="3" s="1"/>
  <c r="H125" i="3"/>
  <c r="J20" i="3"/>
  <c r="K35" i="10" s="1"/>
  <c r="I54" i="3"/>
  <c r="G100" i="3"/>
  <c r="G117" i="3" s="1"/>
  <c r="G119" i="3" s="1"/>
  <c r="D100" i="3"/>
  <c r="D117" i="3" s="1"/>
  <c r="D119" i="3" s="1"/>
  <c r="K14" i="3"/>
  <c r="J34" i="3"/>
  <c r="C100" i="3"/>
  <c r="C117" i="3" s="1"/>
  <c r="C119" i="3" s="1"/>
  <c r="F100" i="3"/>
  <c r="F117" i="3" s="1"/>
  <c r="F119" i="3" s="1"/>
  <c r="H55" i="3"/>
  <c r="I30" i="10" s="1"/>
  <c r="H31" i="3"/>
  <c r="I14" i="10" s="1"/>
  <c r="H70" i="3"/>
  <c r="I29" i="10" s="1"/>
  <c r="E100" i="3"/>
  <c r="E117" i="3" s="1"/>
  <c r="E119" i="3" s="1"/>
  <c r="J12" i="3"/>
  <c r="I30" i="3"/>
  <c r="G104" i="2"/>
  <c r="F103" i="2"/>
  <c r="G103" i="2"/>
  <c r="C104" i="2"/>
  <c r="D103" i="2"/>
  <c r="D104" i="2"/>
  <c r="E103" i="2"/>
  <c r="E104" i="2"/>
  <c r="C103" i="2"/>
  <c r="I38" i="10" l="1"/>
  <c r="J22" i="3"/>
  <c r="J36" i="10"/>
  <c r="D41" i="3"/>
  <c r="E24" i="10"/>
  <c r="E16" i="10"/>
  <c r="E11" i="10"/>
  <c r="E22" i="10"/>
  <c r="E26" i="10"/>
  <c r="E41" i="3"/>
  <c r="F22" i="10"/>
  <c r="F24" i="10"/>
  <c r="F16" i="10"/>
  <c r="F11" i="10"/>
  <c r="F26" i="10"/>
  <c r="G41" i="3"/>
  <c r="H22" i="10"/>
  <c r="H24" i="10"/>
  <c r="H26" i="10"/>
  <c r="H16" i="10"/>
  <c r="H11" i="10"/>
  <c r="C41" i="3"/>
  <c r="D22" i="10"/>
  <c r="D16" i="10"/>
  <c r="D26" i="10"/>
  <c r="D24" i="10"/>
  <c r="C24" i="11"/>
  <c r="C26" i="11"/>
  <c r="C28" i="11" s="1"/>
  <c r="D26" i="11"/>
  <c r="D28" i="11" s="1"/>
  <c r="D24" i="11"/>
  <c r="F41" i="3"/>
  <c r="G26" i="10"/>
  <c r="G24" i="10"/>
  <c r="G22" i="10"/>
  <c r="G16" i="10"/>
  <c r="G11" i="10"/>
  <c r="J21" i="3"/>
  <c r="J37" i="10"/>
  <c r="I125" i="3"/>
  <c r="J28" i="10"/>
  <c r="G26" i="11"/>
  <c r="G28" i="11" s="1"/>
  <c r="G24" i="11"/>
  <c r="J33" i="3"/>
  <c r="J35" i="3" s="1"/>
  <c r="K20" i="10" s="1"/>
  <c r="I33" i="3"/>
  <c r="I35" i="3" s="1"/>
  <c r="J20" i="10" s="1"/>
  <c r="H36" i="3"/>
  <c r="H37" i="3"/>
  <c r="I21" i="10" s="1"/>
  <c r="H136" i="3"/>
  <c r="K17" i="3"/>
  <c r="J40" i="3"/>
  <c r="J107" i="3" s="1"/>
  <c r="J108" i="3" s="1"/>
  <c r="I142" i="3"/>
  <c r="J16" i="3"/>
  <c r="K20" i="3"/>
  <c r="L35" i="10" s="1"/>
  <c r="J54" i="3"/>
  <c r="K28" i="10" s="1"/>
  <c r="H39" i="3"/>
  <c r="H98" i="3" s="1"/>
  <c r="H114" i="3"/>
  <c r="I31" i="3"/>
  <c r="I55" i="3"/>
  <c r="I126" i="3" s="1"/>
  <c r="I70" i="3"/>
  <c r="J29" i="10" s="1"/>
  <c r="H127" i="3"/>
  <c r="H72" i="3"/>
  <c r="H79" i="3" s="1"/>
  <c r="L13" i="3"/>
  <c r="K33" i="3"/>
  <c r="H126" i="3"/>
  <c r="L14" i="3"/>
  <c r="K34" i="3"/>
  <c r="K12" i="3"/>
  <c r="J30" i="3"/>
  <c r="J38" i="10" l="1"/>
  <c r="G17" i="10"/>
  <c r="F43" i="3"/>
  <c r="F18" i="3"/>
  <c r="C18" i="3"/>
  <c r="D17" i="10"/>
  <c r="C43" i="3"/>
  <c r="K21" i="3"/>
  <c r="K37" i="10"/>
  <c r="F17" i="10"/>
  <c r="E18" i="3"/>
  <c r="E43" i="3"/>
  <c r="K22" i="3"/>
  <c r="K36" i="10"/>
  <c r="E17" i="10"/>
  <c r="D43" i="3"/>
  <c r="D18" i="3"/>
  <c r="J30" i="10"/>
  <c r="I36" i="3"/>
  <c r="J14" i="10"/>
  <c r="I15" i="10"/>
  <c r="I10" i="10"/>
  <c r="H17" i="10"/>
  <c r="G18" i="3"/>
  <c r="G43" i="3"/>
  <c r="K35" i="3"/>
  <c r="L20" i="10" s="1"/>
  <c r="I114" i="3"/>
  <c r="I39" i="3"/>
  <c r="I98" i="3" s="1"/>
  <c r="J125" i="3"/>
  <c r="L20" i="3"/>
  <c r="M35" i="10" s="1"/>
  <c r="K54" i="3"/>
  <c r="L17" i="3"/>
  <c r="K40" i="3"/>
  <c r="K107" i="3" s="1"/>
  <c r="K108" i="3" s="1"/>
  <c r="H97" i="3"/>
  <c r="C11" i="7"/>
  <c r="H38" i="3"/>
  <c r="K16" i="3"/>
  <c r="J142" i="3"/>
  <c r="H60" i="3"/>
  <c r="I133" i="3"/>
  <c r="I72" i="3"/>
  <c r="I79" i="3" s="1"/>
  <c r="I127" i="3"/>
  <c r="I129" i="3" s="1"/>
  <c r="M14" i="3"/>
  <c r="L34" i="3"/>
  <c r="M13" i="3"/>
  <c r="L33" i="3"/>
  <c r="L12" i="3"/>
  <c r="K30" i="3"/>
  <c r="J31" i="3"/>
  <c r="J55" i="3"/>
  <c r="K30" i="10" s="1"/>
  <c r="J70" i="3"/>
  <c r="K29" i="10" s="1"/>
  <c r="H129" i="3"/>
  <c r="K38" i="10" l="1"/>
  <c r="F41" i="11"/>
  <c r="F43" i="11" s="1"/>
  <c r="F49" i="11" s="1"/>
  <c r="F35" i="11"/>
  <c r="F37" i="11" s="1"/>
  <c r="F11" i="11"/>
  <c r="G12" i="10"/>
  <c r="G25" i="10"/>
  <c r="G18" i="10"/>
  <c r="F19" i="3"/>
  <c r="J36" i="3"/>
  <c r="K14" i="10"/>
  <c r="G35" i="11"/>
  <c r="G37" i="11" s="1"/>
  <c r="G41" i="11"/>
  <c r="G43" i="11" s="1"/>
  <c r="G49" i="11" s="1"/>
  <c r="G11" i="11"/>
  <c r="H18" i="10"/>
  <c r="H12" i="10"/>
  <c r="H25" i="10"/>
  <c r="G19" i="3"/>
  <c r="L22" i="3"/>
  <c r="L36" i="10"/>
  <c r="H18" i="3"/>
  <c r="H64" i="3"/>
  <c r="I31" i="10"/>
  <c r="K125" i="3"/>
  <c r="L28" i="10"/>
  <c r="J10" i="10"/>
  <c r="J15" i="10"/>
  <c r="C41" i="11"/>
  <c r="C43" i="11" s="1"/>
  <c r="C49" i="11" s="1"/>
  <c r="C11" i="11"/>
  <c r="C35" i="11"/>
  <c r="C37" i="11" s="1"/>
  <c r="D18" i="10"/>
  <c r="D25" i="10"/>
  <c r="C19" i="3"/>
  <c r="I16" i="10"/>
  <c r="I26" i="10"/>
  <c r="I11" i="10"/>
  <c r="I22" i="10"/>
  <c r="D35" i="11"/>
  <c r="D37" i="11" s="1"/>
  <c r="D11" i="11"/>
  <c r="D41" i="11"/>
  <c r="D43" i="11" s="1"/>
  <c r="D49" i="11" s="1"/>
  <c r="E25" i="10"/>
  <c r="E18" i="10"/>
  <c r="E12" i="10"/>
  <c r="D19" i="3"/>
  <c r="E41" i="11"/>
  <c r="E43" i="11" s="1"/>
  <c r="E49" i="11" s="1"/>
  <c r="E11" i="11"/>
  <c r="E35" i="11"/>
  <c r="E37" i="11" s="1"/>
  <c r="F25" i="10"/>
  <c r="F18" i="10"/>
  <c r="F12" i="10"/>
  <c r="E19" i="3"/>
  <c r="L21" i="3"/>
  <c r="L37" i="10"/>
  <c r="M17" i="3"/>
  <c r="L40" i="3"/>
  <c r="L107" i="3" s="1"/>
  <c r="L108" i="3" s="1"/>
  <c r="L35" i="3"/>
  <c r="M20" i="10" s="1"/>
  <c r="I99" i="3"/>
  <c r="D13" i="7"/>
  <c r="J114" i="3"/>
  <c r="J39" i="3"/>
  <c r="J98" i="3" s="1"/>
  <c r="I135" i="3"/>
  <c r="I37" i="3" s="1"/>
  <c r="J21" i="10" s="1"/>
  <c r="H41" i="3"/>
  <c r="C8" i="7"/>
  <c r="H99" i="3"/>
  <c r="C13" i="7"/>
  <c r="L16" i="3"/>
  <c r="K142" i="3"/>
  <c r="M20" i="3"/>
  <c r="N35" i="10" s="1"/>
  <c r="L54" i="3"/>
  <c r="J126" i="3"/>
  <c r="N14" i="3"/>
  <c r="M34" i="3"/>
  <c r="K31" i="3"/>
  <c r="K70" i="3"/>
  <c r="L29" i="10" s="1"/>
  <c r="K55" i="3"/>
  <c r="L30" i="10" s="1"/>
  <c r="N13" i="3"/>
  <c r="M33" i="3"/>
  <c r="M35" i="3" s="1"/>
  <c r="N20" i="10" s="1"/>
  <c r="J127" i="3"/>
  <c r="J72" i="3"/>
  <c r="J79" i="3" s="1"/>
  <c r="M12" i="3"/>
  <c r="L30" i="3"/>
  <c r="H42" i="3" l="1"/>
  <c r="H43" i="3" s="1"/>
  <c r="I17" i="10"/>
  <c r="G18" i="11"/>
  <c r="G20" i="11" s="1"/>
  <c r="G30" i="11" s="1"/>
  <c r="G13" i="11"/>
  <c r="K36" i="3"/>
  <c r="L14" i="10"/>
  <c r="H19" i="3"/>
  <c r="I19" i="3" s="1"/>
  <c r="J19" i="3" s="1"/>
  <c r="K19" i="3" s="1"/>
  <c r="L19" i="3" s="1"/>
  <c r="M19" i="3" s="1"/>
  <c r="N19" i="3" s="1"/>
  <c r="O19" i="3" s="1"/>
  <c r="P19" i="3" s="1"/>
  <c r="Q19" i="3" s="1"/>
  <c r="C18" i="11"/>
  <c r="C20" i="11" s="1"/>
  <c r="C30" i="11" s="1"/>
  <c r="C13" i="11"/>
  <c r="M21" i="3"/>
  <c r="M37" i="10"/>
  <c r="L38" i="10"/>
  <c r="E13" i="11"/>
  <c r="E18" i="11"/>
  <c r="E20" i="11" s="1"/>
  <c r="E30" i="11" s="1"/>
  <c r="K15" i="10"/>
  <c r="K10" i="10"/>
  <c r="L125" i="3"/>
  <c r="M28" i="10"/>
  <c r="I18" i="3"/>
  <c r="J18" i="3" s="1"/>
  <c r="K18" i="3" s="1"/>
  <c r="L18" i="3" s="1"/>
  <c r="M18" i="3" s="1"/>
  <c r="N18" i="3" s="1"/>
  <c r="O18" i="3" s="1"/>
  <c r="P18" i="3" s="1"/>
  <c r="Q18" i="3" s="1"/>
  <c r="C45" i="7"/>
  <c r="C46" i="7" s="1"/>
  <c r="C34" i="7" s="1"/>
  <c r="E34" i="7" s="1"/>
  <c r="E36" i="7" s="1"/>
  <c r="F13" i="11"/>
  <c r="F18" i="11"/>
  <c r="F20" i="11" s="1"/>
  <c r="F30" i="11" s="1"/>
  <c r="C9" i="7"/>
  <c r="C10" i="7" s="1"/>
  <c r="C14" i="7" s="1"/>
  <c r="D13" i="11"/>
  <c r="D18" i="11"/>
  <c r="D20" i="11" s="1"/>
  <c r="D30" i="11" s="1"/>
  <c r="M22" i="3"/>
  <c r="M36" i="10"/>
  <c r="H96" i="3"/>
  <c r="H100" i="3" s="1"/>
  <c r="I136" i="3"/>
  <c r="L142" i="3"/>
  <c r="M16" i="3"/>
  <c r="N20" i="3"/>
  <c r="O35" i="10" s="1"/>
  <c r="M54" i="3"/>
  <c r="N28" i="10" s="1"/>
  <c r="I97" i="3"/>
  <c r="D11" i="7"/>
  <c r="I38" i="3"/>
  <c r="J129" i="3"/>
  <c r="K39" i="3"/>
  <c r="K98" i="3" s="1"/>
  <c r="K114" i="3"/>
  <c r="N17" i="3"/>
  <c r="M40" i="3"/>
  <c r="M107" i="3" s="1"/>
  <c r="M108" i="3" s="1"/>
  <c r="O13" i="3"/>
  <c r="N33" i="3"/>
  <c r="L55" i="3"/>
  <c r="L126" i="3" s="1"/>
  <c r="L70" i="3"/>
  <c r="M29" i="10" s="1"/>
  <c r="L31" i="3"/>
  <c r="O14" i="3"/>
  <c r="N34" i="3"/>
  <c r="K126" i="3"/>
  <c r="N12" i="3"/>
  <c r="M30" i="3"/>
  <c r="K127" i="3"/>
  <c r="K72" i="3"/>
  <c r="K79" i="3" s="1"/>
  <c r="H113" i="3" l="1"/>
  <c r="L36" i="3"/>
  <c r="M14" i="10"/>
  <c r="L15" i="10"/>
  <c r="L10" i="10"/>
  <c r="M38" i="10"/>
  <c r="M30" i="10"/>
  <c r="N29" i="10"/>
  <c r="J16" i="10"/>
  <c r="J22" i="10"/>
  <c r="J26" i="10"/>
  <c r="J11" i="10"/>
  <c r="N22" i="3"/>
  <c r="N36" i="10"/>
  <c r="N21" i="3"/>
  <c r="N37" i="10"/>
  <c r="H35" i="11"/>
  <c r="H11" i="11"/>
  <c r="H41" i="11"/>
  <c r="H43" i="11" s="1"/>
  <c r="I18" i="10"/>
  <c r="I12" i="10"/>
  <c r="I41" i="3"/>
  <c r="D8" i="7"/>
  <c r="D9" i="7" s="1"/>
  <c r="D10" i="7" s="1"/>
  <c r="D14" i="7" s="1"/>
  <c r="O20" i="3"/>
  <c r="P35" i="10" s="1"/>
  <c r="N54" i="3"/>
  <c r="J133" i="3"/>
  <c r="I60" i="3"/>
  <c r="M125" i="3"/>
  <c r="H115" i="3"/>
  <c r="H117" i="3" s="1"/>
  <c r="H119" i="3" s="1"/>
  <c r="H52" i="3" s="1"/>
  <c r="H82" i="3"/>
  <c r="L114" i="3"/>
  <c r="L39" i="3"/>
  <c r="L98" i="3" s="1"/>
  <c r="O17" i="3"/>
  <c r="N40" i="3"/>
  <c r="N107" i="3" s="1"/>
  <c r="N108" i="3" s="1"/>
  <c r="J99" i="3"/>
  <c r="E13" i="7"/>
  <c r="N16" i="3"/>
  <c r="M142" i="3"/>
  <c r="O12" i="3"/>
  <c r="N30" i="3"/>
  <c r="P14" i="3"/>
  <c r="O34" i="3"/>
  <c r="L127" i="3"/>
  <c r="L129" i="3" s="1"/>
  <c r="L72" i="3"/>
  <c r="L79" i="3" s="1"/>
  <c r="N35" i="3"/>
  <c r="O20" i="10" s="1"/>
  <c r="M55" i="3"/>
  <c r="N30" i="10" s="1"/>
  <c r="M70" i="3"/>
  <c r="M31" i="3"/>
  <c r="K129" i="3"/>
  <c r="P13" i="3"/>
  <c r="O33" i="3"/>
  <c r="N125" i="3" l="1"/>
  <c r="O28" i="10"/>
  <c r="H18" i="11"/>
  <c r="H20" i="11" s="1"/>
  <c r="O22" i="3"/>
  <c r="O36" i="10"/>
  <c r="I42" i="3"/>
  <c r="I43" i="3" s="1"/>
  <c r="J17" i="10"/>
  <c r="O21" i="3"/>
  <c r="O37" i="10"/>
  <c r="M36" i="3"/>
  <c r="N14" i="10"/>
  <c r="I64" i="3"/>
  <c r="J31" i="10"/>
  <c r="N38" i="10"/>
  <c r="M15" i="10"/>
  <c r="M10" i="10"/>
  <c r="L99" i="3"/>
  <c r="G13" i="7"/>
  <c r="O16" i="3"/>
  <c r="N142" i="3"/>
  <c r="P17" i="3"/>
  <c r="O40" i="3"/>
  <c r="O107" i="3" s="1"/>
  <c r="O108" i="3" s="1"/>
  <c r="H83" i="3"/>
  <c r="P20" i="3"/>
  <c r="Q35" i="10" s="1"/>
  <c r="O54" i="3"/>
  <c r="M114" i="3"/>
  <c r="M39" i="3"/>
  <c r="M98" i="3" s="1"/>
  <c r="O35" i="3"/>
  <c r="P20" i="10" s="1"/>
  <c r="K99" i="3"/>
  <c r="F13" i="7"/>
  <c r="H57" i="3"/>
  <c r="I118" i="3"/>
  <c r="J135" i="3"/>
  <c r="J37" i="3" s="1"/>
  <c r="K21" i="10" s="1"/>
  <c r="I113" i="3"/>
  <c r="I115" i="3" s="1"/>
  <c r="I96" i="3"/>
  <c r="I100" i="3" s="1"/>
  <c r="Q13" i="3"/>
  <c r="Q33" i="3" s="1"/>
  <c r="P33" i="3"/>
  <c r="Q14" i="3"/>
  <c r="Q34" i="3" s="1"/>
  <c r="P34" i="3"/>
  <c r="M127" i="3"/>
  <c r="M72" i="3"/>
  <c r="M79" i="3" s="1"/>
  <c r="P12" i="3"/>
  <c r="O30" i="3"/>
  <c r="M126" i="3"/>
  <c r="N31" i="3"/>
  <c r="N70" i="3"/>
  <c r="O29" i="10" s="1"/>
  <c r="N55" i="3"/>
  <c r="N126" i="3" s="1"/>
  <c r="H66" i="3" l="1"/>
  <c r="I40" i="10"/>
  <c r="I41" i="10"/>
  <c r="H85" i="3"/>
  <c r="I32" i="10"/>
  <c r="N10" i="10"/>
  <c r="N15" i="10"/>
  <c r="I41" i="11"/>
  <c r="I43" i="11" s="1"/>
  <c r="I35" i="11"/>
  <c r="I11" i="11"/>
  <c r="J18" i="10"/>
  <c r="J12" i="10"/>
  <c r="P21" i="3"/>
  <c r="P37" i="10"/>
  <c r="P22" i="3"/>
  <c r="P36" i="10"/>
  <c r="N36" i="3"/>
  <c r="O14" i="10"/>
  <c r="O125" i="3"/>
  <c r="P28" i="10"/>
  <c r="O38" i="10"/>
  <c r="O30" i="10"/>
  <c r="I117" i="3"/>
  <c r="I119" i="3" s="1"/>
  <c r="I52" i="3" s="1"/>
  <c r="J97" i="3"/>
  <c r="E11" i="7"/>
  <c r="J38" i="3"/>
  <c r="I82" i="3"/>
  <c r="O142" i="3"/>
  <c r="P16" i="3"/>
  <c r="N114" i="3"/>
  <c r="N39" i="3"/>
  <c r="N98" i="3" s="1"/>
  <c r="J136" i="3"/>
  <c r="Q20" i="3"/>
  <c r="P54" i="3"/>
  <c r="Q17" i="3"/>
  <c r="Q40" i="3" s="1"/>
  <c r="Q107" i="3" s="1"/>
  <c r="Q108" i="3" s="1"/>
  <c r="P40" i="3"/>
  <c r="P107" i="3" s="1"/>
  <c r="P108" i="3" s="1"/>
  <c r="M129" i="3"/>
  <c r="P35" i="3"/>
  <c r="Q20" i="10" s="1"/>
  <c r="N72" i="3"/>
  <c r="N79" i="3" s="1"/>
  <c r="N127" i="3"/>
  <c r="N129" i="3" s="1"/>
  <c r="Q12" i="3"/>
  <c r="Q30" i="3" s="1"/>
  <c r="P30" i="3"/>
  <c r="O70" i="3"/>
  <c r="P29" i="10" s="1"/>
  <c r="O55" i="3"/>
  <c r="O126" i="3" s="1"/>
  <c r="O31" i="3"/>
  <c r="Q35" i="3"/>
  <c r="R20" i="10" s="1"/>
  <c r="P30" i="10" l="1"/>
  <c r="P125" i="3"/>
  <c r="Q28" i="10"/>
  <c r="K26" i="10"/>
  <c r="K22" i="10"/>
  <c r="K11" i="10"/>
  <c r="K16" i="10"/>
  <c r="H23" i="11"/>
  <c r="H36" i="11"/>
  <c r="I24" i="10"/>
  <c r="O36" i="3"/>
  <c r="P14" i="10"/>
  <c r="Q54" i="3"/>
  <c r="R28" i="10" s="1"/>
  <c r="R35" i="10"/>
  <c r="O15" i="10"/>
  <c r="O10" i="10"/>
  <c r="Q21" i="3"/>
  <c r="R37" i="10" s="1"/>
  <c r="Q37" i="10"/>
  <c r="Q22" i="3"/>
  <c r="R36" i="10" s="1"/>
  <c r="Q36" i="10"/>
  <c r="H87" i="3"/>
  <c r="H89" i="3" s="1"/>
  <c r="H12" i="11"/>
  <c r="I42" i="10"/>
  <c r="I25" i="10"/>
  <c r="P38" i="10"/>
  <c r="I18" i="11"/>
  <c r="I20" i="11" s="1"/>
  <c r="J60" i="3"/>
  <c r="K133" i="3"/>
  <c r="J118" i="3"/>
  <c r="I57" i="3"/>
  <c r="J41" i="3"/>
  <c r="E8" i="7"/>
  <c r="E9" i="7" s="1"/>
  <c r="E10" i="7" s="1"/>
  <c r="E14" i="7" s="1"/>
  <c r="M99" i="3"/>
  <c r="H13" i="7"/>
  <c r="Q16" i="3"/>
  <c r="Q142" i="3" s="1"/>
  <c r="P142" i="3"/>
  <c r="I83" i="3"/>
  <c r="N99" i="3"/>
  <c r="I13" i="7"/>
  <c r="O114" i="3"/>
  <c r="O39" i="3"/>
  <c r="O98" i="3" s="1"/>
  <c r="Q31" i="3"/>
  <c r="Q70" i="3"/>
  <c r="R29" i="10" s="1"/>
  <c r="P55" i="3"/>
  <c r="Q30" i="10" s="1"/>
  <c r="P70" i="3"/>
  <c r="Q29" i="10" s="1"/>
  <c r="P31" i="3"/>
  <c r="O127" i="3"/>
  <c r="O129" i="3" s="1"/>
  <c r="O72" i="3"/>
  <c r="O79" i="3" s="1"/>
  <c r="I66" i="3" l="1"/>
  <c r="J40" i="10"/>
  <c r="J41" i="10"/>
  <c r="H46" i="11"/>
  <c r="H47" i="11" s="1"/>
  <c r="H49" i="11" s="1"/>
  <c r="H37" i="11"/>
  <c r="I85" i="3"/>
  <c r="J32" i="10"/>
  <c r="H26" i="11"/>
  <c r="H24" i="11"/>
  <c r="Q55" i="3"/>
  <c r="R30" i="10" s="1"/>
  <c r="Q125" i="3"/>
  <c r="P15" i="10"/>
  <c r="P10" i="10"/>
  <c r="H27" i="11"/>
  <c r="H13" i="11"/>
  <c r="P36" i="3"/>
  <c r="Q14" i="10"/>
  <c r="Q36" i="3"/>
  <c r="R14" i="10"/>
  <c r="J42" i="3"/>
  <c r="J43" i="3" s="1"/>
  <c r="J113" i="3" s="1"/>
  <c r="K17" i="10"/>
  <c r="J64" i="3"/>
  <c r="K31" i="10"/>
  <c r="Q38" i="10"/>
  <c r="R38" i="10"/>
  <c r="P39" i="3"/>
  <c r="P98" i="3" s="1"/>
  <c r="P114" i="3"/>
  <c r="K135" i="3"/>
  <c r="K37" i="3" s="1"/>
  <c r="L21" i="10" s="1"/>
  <c r="O99" i="3"/>
  <c r="J13" i="7"/>
  <c r="Q114" i="3"/>
  <c r="Q39" i="3"/>
  <c r="Q98" i="3" s="1"/>
  <c r="P126" i="3"/>
  <c r="Q127" i="3"/>
  <c r="Q72" i="3"/>
  <c r="Q79" i="3" s="1"/>
  <c r="P72" i="3"/>
  <c r="P79" i="3" s="1"/>
  <c r="P127" i="3"/>
  <c r="P129" i="3" s="1"/>
  <c r="H28" i="11" l="1"/>
  <c r="J96" i="3"/>
  <c r="J100" i="3" s="1"/>
  <c r="I87" i="3"/>
  <c r="I89" i="3" s="1"/>
  <c r="I12" i="11"/>
  <c r="J42" i="10"/>
  <c r="J25" i="10"/>
  <c r="R15" i="10"/>
  <c r="R10" i="10"/>
  <c r="Q126" i="3"/>
  <c r="J41" i="11"/>
  <c r="J43" i="11" s="1"/>
  <c r="J35" i="11"/>
  <c r="J11" i="11"/>
  <c r="K12" i="10"/>
  <c r="K18" i="10"/>
  <c r="Q15" i="10"/>
  <c r="Q10" i="10"/>
  <c r="H30" i="11"/>
  <c r="I36" i="11"/>
  <c r="I23" i="11"/>
  <c r="J24" i="10"/>
  <c r="Q129" i="3"/>
  <c r="Q99" i="3" s="1"/>
  <c r="P99" i="3"/>
  <c r="K13" i="7"/>
  <c r="F11" i="7"/>
  <c r="K97" i="3"/>
  <c r="K38" i="3"/>
  <c r="J115" i="3"/>
  <c r="J117" i="3" s="1"/>
  <c r="J119" i="3" s="1"/>
  <c r="J52" i="3" s="1"/>
  <c r="J82" i="3"/>
  <c r="K136" i="3"/>
  <c r="L13" i="7" l="1"/>
  <c r="L22" i="10"/>
  <c r="L11" i="10"/>
  <c r="L26" i="10"/>
  <c r="L16" i="10"/>
  <c r="I26" i="11"/>
  <c r="I24" i="11"/>
  <c r="I27" i="11"/>
  <c r="I13" i="11"/>
  <c r="J18" i="11"/>
  <c r="J20" i="11" s="1"/>
  <c r="I46" i="11"/>
  <c r="I47" i="11" s="1"/>
  <c r="I49" i="11" s="1"/>
  <c r="I37" i="11"/>
  <c r="J57" i="3"/>
  <c r="K118" i="3"/>
  <c r="K41" i="3"/>
  <c r="F8" i="7"/>
  <c r="F9" i="7" s="1"/>
  <c r="F10" i="7" s="1"/>
  <c r="F14" i="7" s="1"/>
  <c r="J83" i="3"/>
  <c r="K60" i="3"/>
  <c r="L133" i="3"/>
  <c r="J66" i="3" l="1"/>
  <c r="K41" i="10"/>
  <c r="K40" i="10"/>
  <c r="I30" i="11"/>
  <c r="I28" i="11"/>
  <c r="K64" i="3"/>
  <c r="L31" i="10"/>
  <c r="J85" i="3"/>
  <c r="K32" i="10"/>
  <c r="K42" i="3"/>
  <c r="K43" i="3" s="1"/>
  <c r="K96" i="3" s="1"/>
  <c r="K100" i="3" s="1"/>
  <c r="L17" i="10"/>
  <c r="L135" i="3"/>
  <c r="L37" i="3" s="1"/>
  <c r="M21" i="10" s="1"/>
  <c r="J87" i="3" l="1"/>
  <c r="J89" i="3" s="1"/>
  <c r="J12" i="11"/>
  <c r="K42" i="10"/>
  <c r="K25" i="10"/>
  <c r="K35" i="11"/>
  <c r="K41" i="11"/>
  <c r="K43" i="11" s="1"/>
  <c r="K11" i="11"/>
  <c r="L18" i="10"/>
  <c r="L12" i="10"/>
  <c r="K113" i="3"/>
  <c r="K115" i="3" s="1"/>
  <c r="K117" i="3" s="1"/>
  <c r="K119" i="3" s="1"/>
  <c r="K52" i="3" s="1"/>
  <c r="J36" i="11"/>
  <c r="J23" i="11"/>
  <c r="K24" i="10"/>
  <c r="L136" i="3"/>
  <c r="L60" i="3" s="1"/>
  <c r="K82" i="3"/>
  <c r="G11" i="7"/>
  <c r="L97" i="3"/>
  <c r="L38" i="3"/>
  <c r="L64" i="3" l="1"/>
  <c r="M31" i="10"/>
  <c r="J27" i="11"/>
  <c r="J13" i="11"/>
  <c r="J46" i="11"/>
  <c r="J47" i="11" s="1"/>
  <c r="J49" i="11" s="1"/>
  <c r="J37" i="11"/>
  <c r="K18" i="11"/>
  <c r="K20" i="11" s="1"/>
  <c r="M16" i="10"/>
  <c r="M11" i="10"/>
  <c r="M26" i="10"/>
  <c r="M22" i="10"/>
  <c r="M133" i="3"/>
  <c r="M135" i="3" s="1"/>
  <c r="M37" i="3" s="1"/>
  <c r="N21" i="10" s="1"/>
  <c r="J26" i="11"/>
  <c r="J24" i="11"/>
  <c r="L118" i="3"/>
  <c r="K57" i="3"/>
  <c r="L41" i="3"/>
  <c r="G8" i="7"/>
  <c r="G9" i="7" s="1"/>
  <c r="G10" i="7" s="1"/>
  <c r="G14" i="7" s="1"/>
  <c r="K83" i="3"/>
  <c r="J28" i="11" l="1"/>
  <c r="J30" i="11" s="1"/>
  <c r="K85" i="3"/>
  <c r="L32" i="10"/>
  <c r="L42" i="3"/>
  <c r="L43" i="3" s="1"/>
  <c r="L113" i="3" s="1"/>
  <c r="M17" i="10"/>
  <c r="K66" i="3"/>
  <c r="L41" i="10"/>
  <c r="L40" i="10"/>
  <c r="M136" i="3"/>
  <c r="N133" i="3" s="1"/>
  <c r="M60" i="3"/>
  <c r="H11" i="7"/>
  <c r="M97" i="3"/>
  <c r="M38" i="3"/>
  <c r="N26" i="10" l="1"/>
  <c r="N16" i="10"/>
  <c r="N11" i="10"/>
  <c r="N22" i="10"/>
  <c r="L35" i="11"/>
  <c r="L11" i="11"/>
  <c r="L41" i="11"/>
  <c r="L43" i="11" s="1"/>
  <c r="M18" i="10"/>
  <c r="M12" i="10"/>
  <c r="L96" i="3"/>
  <c r="L100" i="3" s="1"/>
  <c r="K36" i="11"/>
  <c r="K23" i="11"/>
  <c r="L24" i="10"/>
  <c r="M64" i="3"/>
  <c r="N31" i="10"/>
  <c r="K87" i="3"/>
  <c r="K89" i="3" s="1"/>
  <c r="K12" i="11"/>
  <c r="L42" i="10"/>
  <c r="L25" i="10"/>
  <c r="M41" i="3"/>
  <c r="H8" i="7"/>
  <c r="H9" i="7" s="1"/>
  <c r="H10" i="7" s="1"/>
  <c r="H14" i="7" s="1"/>
  <c r="N135" i="3"/>
  <c r="N37" i="3" s="1"/>
  <c r="O21" i="10" s="1"/>
  <c r="L115" i="3"/>
  <c r="L82" i="3"/>
  <c r="L18" i="11" l="1"/>
  <c r="L20" i="11" s="1"/>
  <c r="M42" i="3"/>
  <c r="M43" i="3" s="1"/>
  <c r="N17" i="10"/>
  <c r="K27" i="11"/>
  <c r="K13" i="11"/>
  <c r="K26" i="11"/>
  <c r="K24" i="11"/>
  <c r="L117" i="3"/>
  <c r="L119" i="3" s="1"/>
  <c r="L52" i="3" s="1"/>
  <c r="M118" i="3" s="1"/>
  <c r="K46" i="11"/>
  <c r="K47" i="11" s="1"/>
  <c r="K49" i="11" s="1"/>
  <c r="K37" i="11"/>
  <c r="I11" i="7"/>
  <c r="N97" i="3"/>
  <c r="N38" i="3"/>
  <c r="N136" i="3"/>
  <c r="L83" i="3"/>
  <c r="M113" i="3"/>
  <c r="M115" i="3" s="1"/>
  <c r="L57" i="3" l="1"/>
  <c r="K28" i="11"/>
  <c r="K30" i="11" s="1"/>
  <c r="L66" i="3"/>
  <c r="M40" i="10"/>
  <c r="M41" i="10"/>
  <c r="O26" i="10"/>
  <c r="O16" i="10"/>
  <c r="O22" i="10"/>
  <c r="O11" i="10"/>
  <c r="M41" i="11"/>
  <c r="M43" i="11" s="1"/>
  <c r="M35" i="11"/>
  <c r="M11" i="11"/>
  <c r="N18" i="10"/>
  <c r="N12" i="10"/>
  <c r="M96" i="3"/>
  <c r="M100" i="3" s="1"/>
  <c r="M117" i="3" s="1"/>
  <c r="M119" i="3" s="1"/>
  <c r="M52" i="3" s="1"/>
  <c r="L85" i="3"/>
  <c r="M32" i="10"/>
  <c r="M82" i="3"/>
  <c r="M83" i="3" s="1"/>
  <c r="O133" i="3"/>
  <c r="N60" i="3"/>
  <c r="N41" i="3"/>
  <c r="I8" i="7"/>
  <c r="I9" i="7" s="1"/>
  <c r="I10" i="7" s="1"/>
  <c r="I14" i="7" s="1"/>
  <c r="M85" i="3" l="1"/>
  <c r="N32" i="10"/>
  <c r="M18" i="11"/>
  <c r="M20" i="11" s="1"/>
  <c r="N42" i="3"/>
  <c r="N43" i="3" s="1"/>
  <c r="N96" i="3" s="1"/>
  <c r="N100" i="3" s="1"/>
  <c r="O17" i="10"/>
  <c r="N64" i="3"/>
  <c r="O31" i="10"/>
  <c r="L87" i="3"/>
  <c r="L89" i="3" s="1"/>
  <c r="L12" i="11"/>
  <c r="M42" i="10"/>
  <c r="M25" i="10"/>
  <c r="L23" i="11"/>
  <c r="L36" i="11"/>
  <c r="M24" i="10"/>
  <c r="N118" i="3"/>
  <c r="M57" i="3"/>
  <c r="O135" i="3"/>
  <c r="O37" i="3" s="1"/>
  <c r="P21" i="10" s="1"/>
  <c r="N113" i="3" l="1"/>
  <c r="L26" i="11"/>
  <c r="L24" i="11"/>
  <c r="L46" i="11"/>
  <c r="L47" i="11" s="1"/>
  <c r="L49" i="11" s="1"/>
  <c r="L37" i="11"/>
  <c r="L27" i="11"/>
  <c r="L13" i="11"/>
  <c r="M66" i="3"/>
  <c r="N40" i="10"/>
  <c r="N41" i="10"/>
  <c r="N41" i="11"/>
  <c r="N43" i="11" s="1"/>
  <c r="N35" i="11"/>
  <c r="N11" i="11"/>
  <c r="O12" i="10"/>
  <c r="O18" i="10"/>
  <c r="M87" i="3"/>
  <c r="M12" i="11"/>
  <c r="N42" i="10"/>
  <c r="N25" i="10"/>
  <c r="J11" i="7"/>
  <c r="O97" i="3"/>
  <c r="O38" i="3"/>
  <c r="N115" i="3"/>
  <c r="N117" i="3" s="1"/>
  <c r="N119" i="3" s="1"/>
  <c r="N52" i="3" s="1"/>
  <c r="N82" i="3"/>
  <c r="O136" i="3"/>
  <c r="M27" i="11" l="1"/>
  <c r="M13" i="11"/>
  <c r="M36" i="11"/>
  <c r="M23" i="11"/>
  <c r="N24" i="10"/>
  <c r="P26" i="10"/>
  <c r="P22" i="10"/>
  <c r="P16" i="10"/>
  <c r="P11" i="10"/>
  <c r="M89" i="3"/>
  <c r="N18" i="11"/>
  <c r="N20" i="11" s="1"/>
  <c r="L28" i="11"/>
  <c r="L30" i="11" s="1"/>
  <c r="O60" i="3"/>
  <c r="P133" i="3"/>
  <c r="N57" i="3"/>
  <c r="O118" i="3"/>
  <c r="O41" i="3"/>
  <c r="J8" i="7"/>
  <c r="J9" i="7" s="1"/>
  <c r="J10" i="7" s="1"/>
  <c r="J14" i="7" s="1"/>
  <c r="N83" i="3"/>
  <c r="N66" i="3" l="1"/>
  <c r="O41" i="10"/>
  <c r="O40" i="10"/>
  <c r="N85" i="3"/>
  <c r="O32" i="10"/>
  <c r="M26" i="11"/>
  <c r="M28" i="11" s="1"/>
  <c r="M24" i="11"/>
  <c r="M30" i="11" s="1"/>
  <c r="O42" i="3"/>
  <c r="O43" i="3" s="1"/>
  <c r="O96" i="3" s="1"/>
  <c r="O100" i="3" s="1"/>
  <c r="P17" i="10"/>
  <c r="O64" i="3"/>
  <c r="P31" i="10"/>
  <c r="M46" i="11"/>
  <c r="M47" i="11" s="1"/>
  <c r="M49" i="11" s="1"/>
  <c r="M37" i="11"/>
  <c r="P135" i="3"/>
  <c r="P37" i="3" s="1"/>
  <c r="Q21" i="10" s="1"/>
  <c r="P136" i="3"/>
  <c r="O113" i="3" l="1"/>
  <c r="N87" i="3"/>
  <c r="N89" i="3" s="1"/>
  <c r="N12" i="11"/>
  <c r="O42" i="10"/>
  <c r="O25" i="10"/>
  <c r="O35" i="11"/>
  <c r="O41" i="11"/>
  <c r="O43" i="11" s="1"/>
  <c r="O11" i="11"/>
  <c r="P12" i="10"/>
  <c r="P18" i="10"/>
  <c r="N36" i="11"/>
  <c r="N23" i="11"/>
  <c r="O24" i="10"/>
  <c r="O115" i="3"/>
  <c r="O117" i="3" s="1"/>
  <c r="O119" i="3" s="1"/>
  <c r="O52" i="3" s="1"/>
  <c r="O82" i="3"/>
  <c r="Q133" i="3"/>
  <c r="P60" i="3"/>
  <c r="K11" i="7"/>
  <c r="P97" i="3"/>
  <c r="P38" i="3"/>
  <c r="N27" i="11" l="1"/>
  <c r="N13" i="11"/>
  <c r="N26" i="11"/>
  <c r="N28" i="11" s="1"/>
  <c r="N24" i="11"/>
  <c r="N30" i="11" s="1"/>
  <c r="N46" i="11"/>
  <c r="N47" i="11" s="1"/>
  <c r="N49" i="11" s="1"/>
  <c r="N37" i="11"/>
  <c r="O18" i="11"/>
  <c r="O20" i="11" s="1"/>
  <c r="Q16" i="10"/>
  <c r="Q22" i="10"/>
  <c r="Q11" i="10"/>
  <c r="Q26" i="10"/>
  <c r="P64" i="3"/>
  <c r="Q31" i="10"/>
  <c r="P41" i="3"/>
  <c r="K8" i="7"/>
  <c r="O83" i="3"/>
  <c r="Q135" i="3"/>
  <c r="Q37" i="3" s="1"/>
  <c r="R21" i="10" s="1"/>
  <c r="O57" i="3"/>
  <c r="P118" i="3"/>
  <c r="O85" i="3" l="1"/>
  <c r="P32" i="10"/>
  <c r="O66" i="3"/>
  <c r="P41" i="10"/>
  <c r="P40" i="10"/>
  <c r="P42" i="3"/>
  <c r="P43" i="3" s="1"/>
  <c r="P113" i="3" s="1"/>
  <c r="Q17" i="10"/>
  <c r="Q136" i="3"/>
  <c r="Q60" i="3" s="1"/>
  <c r="K9" i="7"/>
  <c r="K10" i="7" s="1"/>
  <c r="K14" i="7" s="1"/>
  <c r="L11" i="7"/>
  <c r="Q97" i="3"/>
  <c r="Q38" i="3"/>
  <c r="P96" i="3" l="1"/>
  <c r="P100" i="3" s="1"/>
  <c r="R11" i="10"/>
  <c r="R22" i="10"/>
  <c r="R26" i="10"/>
  <c r="R16" i="10"/>
  <c r="O36" i="11"/>
  <c r="O23" i="11"/>
  <c r="P24" i="10"/>
  <c r="P35" i="11"/>
  <c r="P11" i="11"/>
  <c r="P41" i="11"/>
  <c r="P43" i="11" s="1"/>
  <c r="Q18" i="10"/>
  <c r="Q12" i="10"/>
  <c r="O87" i="3"/>
  <c r="O89" i="3" s="1"/>
  <c r="O12" i="11"/>
  <c r="P42" i="10"/>
  <c r="P25" i="10"/>
  <c r="Q64" i="3"/>
  <c r="R31" i="10"/>
  <c r="Q41" i="3"/>
  <c r="L8" i="7"/>
  <c r="L9" i="7" s="1"/>
  <c r="L10" i="7" s="1"/>
  <c r="L14" i="7" s="1"/>
  <c r="P115" i="3"/>
  <c r="P117" i="3" s="1"/>
  <c r="P119" i="3" s="1"/>
  <c r="P52" i="3" s="1"/>
  <c r="P82" i="3"/>
  <c r="O46" i="11" l="1"/>
  <c r="O47" i="11" s="1"/>
  <c r="O49" i="11" s="1"/>
  <c r="O37" i="11"/>
  <c r="O27" i="11"/>
  <c r="O13" i="11"/>
  <c r="O26" i="11"/>
  <c r="O24" i="11"/>
  <c r="P18" i="11"/>
  <c r="P20" i="11" s="1"/>
  <c r="Q42" i="3"/>
  <c r="Q43" i="3" s="1"/>
  <c r="Q113" i="3" s="1"/>
  <c r="Q115" i="3" s="1"/>
  <c r="R17" i="10"/>
  <c r="Q118" i="3"/>
  <c r="P57" i="3"/>
  <c r="P83" i="3"/>
  <c r="C51" i="7"/>
  <c r="C56" i="7" s="1"/>
  <c r="C55" i="7"/>
  <c r="C57" i="7" l="1"/>
  <c r="C62" i="7" s="1"/>
  <c r="C65" i="7" s="1"/>
  <c r="E55" i="7" s="1"/>
  <c r="Q96" i="3"/>
  <c r="Q100" i="3" s="1"/>
  <c r="P85" i="3"/>
  <c r="Q32" i="10"/>
  <c r="P66" i="3"/>
  <c r="Q40" i="10"/>
  <c r="Q41" i="10"/>
  <c r="Q41" i="11"/>
  <c r="Q43" i="11" s="1"/>
  <c r="Q35" i="11"/>
  <c r="Q11" i="11"/>
  <c r="R18" i="10"/>
  <c r="R12" i="10"/>
  <c r="O28" i="11"/>
  <c r="O30" i="11" s="1"/>
  <c r="Q117" i="3"/>
  <c r="Q119" i="3" s="1"/>
  <c r="Q52" i="3" s="1"/>
  <c r="Q57" i="3" s="1"/>
  <c r="Q82" i="3"/>
  <c r="Q83" i="3" s="1"/>
  <c r="C67" i="7" l="1"/>
  <c r="Q66" i="3"/>
  <c r="R40" i="10"/>
  <c r="R41" i="10"/>
  <c r="Q85" i="3"/>
  <c r="R32" i="10"/>
  <c r="Q18" i="11"/>
  <c r="Q20" i="11" s="1"/>
  <c r="P87" i="3"/>
  <c r="P89" i="3" s="1"/>
  <c r="P12" i="11"/>
  <c r="Q42" i="10"/>
  <c r="Q25" i="10"/>
  <c r="P23" i="11"/>
  <c r="P36" i="11"/>
  <c r="Q24" i="10"/>
  <c r="Q87" i="3" l="1"/>
  <c r="Q89" i="3" s="1"/>
  <c r="Q12" i="11"/>
  <c r="R42" i="10"/>
  <c r="R25" i="10"/>
  <c r="P46" i="11"/>
  <c r="P47" i="11" s="1"/>
  <c r="P49" i="11" s="1"/>
  <c r="P37" i="11"/>
  <c r="P26" i="11"/>
  <c r="P24" i="11"/>
  <c r="P27" i="11"/>
  <c r="P13" i="11"/>
  <c r="Q36" i="11"/>
  <c r="Q23" i="11"/>
  <c r="R24" i="10"/>
  <c r="P28" i="11" l="1"/>
  <c r="Q46" i="11"/>
  <c r="Q47" i="11" s="1"/>
  <c r="Q49" i="11" s="1"/>
  <c r="Q37" i="11"/>
  <c r="Q27" i="11"/>
  <c r="Q13" i="11"/>
  <c r="Q26" i="11"/>
  <c r="Q24" i="11"/>
  <c r="P30" i="11"/>
  <c r="Q28" i="11" l="1"/>
  <c r="Q30" i="11" s="1"/>
</calcChain>
</file>

<file path=xl/sharedStrings.xml><?xml version="1.0" encoding="utf-8"?>
<sst xmlns="http://schemas.openxmlformats.org/spreadsheetml/2006/main" count="510" uniqueCount="405">
  <si>
    <t>Revenue from operations</t>
  </si>
  <si>
    <t>Other income</t>
  </si>
  <si>
    <t>Total Income</t>
  </si>
  <si>
    <t>Expenses</t>
  </si>
  <si>
    <t>Other expenses</t>
  </si>
  <si>
    <t xml:space="preserve">Cost of materials consumed </t>
  </si>
  <si>
    <t xml:space="preserve">Excise duty </t>
  </si>
  <si>
    <t xml:space="preserve">Purchases of stock-in-trade </t>
  </si>
  <si>
    <t>Changes in inventories of finished goods, stock-in-trade and work-in-progress</t>
  </si>
  <si>
    <t>Employee benefits expense</t>
  </si>
  <si>
    <t>Finance costs</t>
  </si>
  <si>
    <t>Depreciation and amortisation expense</t>
  </si>
  <si>
    <t>Total Expenses</t>
  </si>
  <si>
    <t>Profit before share of profit in associate, exceptional items and tax</t>
  </si>
  <si>
    <t>Share of profit in associate</t>
  </si>
  <si>
    <t>Profit before exceptional items and tax</t>
  </si>
  <si>
    <t>Exceptional items</t>
  </si>
  <si>
    <t>Profit before tax</t>
  </si>
  <si>
    <t>Tax expense</t>
  </si>
  <si>
    <t>Current tax</t>
  </si>
  <si>
    <t>Adjustment of tax relating to earlier periods</t>
  </si>
  <si>
    <t>Deferred tax (credit)/expense</t>
  </si>
  <si>
    <t>Total Tax</t>
  </si>
  <si>
    <t>Net profit for the year</t>
  </si>
  <si>
    <t>-</t>
  </si>
  <si>
    <t>Income Statement</t>
  </si>
  <si>
    <t>Balance Sheet</t>
  </si>
  <si>
    <t>#</t>
  </si>
  <si>
    <t>ASSETS</t>
  </si>
  <si>
    <t>Non-current assets</t>
  </si>
  <si>
    <t>Right of use assets</t>
  </si>
  <si>
    <t>Intangible assets under development</t>
  </si>
  <si>
    <t>(i) Investments</t>
  </si>
  <si>
    <t>(ii) Loans</t>
  </si>
  <si>
    <t>(iii) Other financial assets</t>
  </si>
  <si>
    <t>Property, plant and equipment</t>
  </si>
  <si>
    <t>Capital work in progress</t>
  </si>
  <si>
    <t>Goodwill</t>
  </si>
  <si>
    <t>Other intangible assets</t>
  </si>
  <si>
    <t>Investment in associate and joint venture</t>
  </si>
  <si>
    <t>Financial assets</t>
  </si>
  <si>
    <t>Deferred tax assets (net)</t>
  </si>
  <si>
    <t>Other non-current assets</t>
  </si>
  <si>
    <t>Total Non-current Assets</t>
  </si>
  <si>
    <t>Current assets</t>
  </si>
  <si>
    <t>(ii) Trade receivables</t>
  </si>
  <si>
    <t>(iii) Cash and cash equivalents</t>
  </si>
  <si>
    <t>(iv) Bank balances other than (iii) above</t>
  </si>
  <si>
    <t>Others</t>
  </si>
  <si>
    <t>Current Tax Assets</t>
  </si>
  <si>
    <t>Other current assets</t>
  </si>
  <si>
    <t>Inventories</t>
  </si>
  <si>
    <t>Loans</t>
  </si>
  <si>
    <t>Total Current Assets</t>
  </si>
  <si>
    <t>Total Assets</t>
  </si>
  <si>
    <t>Equity and liabilities</t>
  </si>
  <si>
    <t>Equity</t>
  </si>
  <si>
    <t>(a) Equity share capital</t>
  </si>
  <si>
    <t>(b) Other equity</t>
  </si>
  <si>
    <t>Equity attributable to owners of the Holding Company</t>
  </si>
  <si>
    <t>Non-controlling interest</t>
  </si>
  <si>
    <t>Total equity</t>
  </si>
  <si>
    <t>Liabilities</t>
  </si>
  <si>
    <t>Non-current liabilities</t>
  </si>
  <si>
    <t>(a) Financial liabilities</t>
  </si>
  <si>
    <t>(i) Borrowings</t>
  </si>
  <si>
    <t>(b) Provisions</t>
  </si>
  <si>
    <t>(c) Deferred tax liabilities (Net)</t>
  </si>
  <si>
    <t>(d) Other non-current liabilities</t>
  </si>
  <si>
    <t>Total non-current liabilities</t>
  </si>
  <si>
    <t>Current liabilities</t>
  </si>
  <si>
    <t>(ii) Trade payables</t>
  </si>
  <si>
    <t>(a) Total outstanding dues of micro enterprises and small enterprises</t>
  </si>
  <si>
    <t>(iii) Other financial liabilities</t>
  </si>
  <si>
    <t>(b) Other current liabilities</t>
  </si>
  <si>
    <t>(c) Provisions</t>
  </si>
  <si>
    <t>(d) Current tax liabilities (Net)</t>
  </si>
  <si>
    <t>Total current liabilities</t>
  </si>
  <si>
    <t>Total liabilities</t>
  </si>
  <si>
    <t>Total equity and liabilities</t>
  </si>
  <si>
    <t>(b) Total outstanding dues of creditors other than micro enterprises and small enterprises</t>
  </si>
  <si>
    <t>Lease liabilities</t>
  </si>
  <si>
    <t>Check</t>
  </si>
  <si>
    <t>(ii) Lease liabilities</t>
  </si>
  <si>
    <t>CashFlow Statement</t>
  </si>
  <si>
    <t>Operating activities</t>
  </si>
  <si>
    <t>Profit before tax and share of profit in associate</t>
  </si>
  <si>
    <t>Adjustments to reconcile profit before tax to net cash flows:</t>
  </si>
  <si>
    <t>Depreciation on property, plant and equipment</t>
  </si>
  <si>
    <t>Amortisation of intangible assets</t>
  </si>
  <si>
    <t>Interest expense at amortised cost</t>
  </si>
  <si>
    <t>Interest income at amortised cost</t>
  </si>
  <si>
    <t>Dividend income from current investment</t>
  </si>
  <si>
    <t>Gain on acquisition of control over existing associate (Refer note 52C)</t>
  </si>
  <si>
    <t>Profit on sale of current investments</t>
  </si>
  <si>
    <t>Excess provisions written back</t>
  </si>
  <si>
    <t>Loss/(Gain) on disposal of property, plant and equipment (Net)</t>
  </si>
  <si>
    <t>Bad debts and advances written off</t>
  </si>
  <si>
    <t>Allowance for expected credit loss</t>
  </si>
  <si>
    <t>Unrealised foreign exchange fluctuation</t>
  </si>
  <si>
    <t>Operating profit before working capital changes</t>
  </si>
  <si>
    <t>Working capital adjustments</t>
  </si>
  <si>
    <t>Increase in inventories</t>
  </si>
  <si>
    <t>Increase in trade receivables</t>
  </si>
  <si>
    <t>Total cash from operations</t>
  </si>
  <si>
    <t>Income tax paid</t>
  </si>
  <si>
    <t>Net cash flows from operating activities (A)</t>
  </si>
  <si>
    <t>Investing activities</t>
  </si>
  <si>
    <t>Change in advance received for capital assets</t>
  </si>
  <si>
    <t>Acquisition under business combination (Refer note 52)</t>
  </si>
  <si>
    <t>Purchase of investment in associate (Net of cash acquired)</t>
  </si>
  <si>
    <t>Interest received</t>
  </si>
  <si>
    <t>Purchase of current investments</t>
  </si>
  <si>
    <t>Proceeds from sale of current investments</t>
  </si>
  <si>
    <t>(Increase)/decrease in other bank balances</t>
  </si>
  <si>
    <t>Net cash used in investing activities (B)</t>
  </si>
  <si>
    <t>Financing activities</t>
  </si>
  <si>
    <t>Proceeds from long-term borrowings</t>
  </si>
  <si>
    <t>Repayment of long-term borrowings</t>
  </si>
  <si>
    <t>Repayment of lease liabilities</t>
  </si>
  <si>
    <t>Proceeds from short term borrowings (Net)</t>
  </si>
  <si>
    <t>Proceeds from issue of share capital (including share premium thereon)</t>
  </si>
  <si>
    <t>Share issue expenses paid</t>
  </si>
  <si>
    <t>Dividends paid</t>
  </si>
  <si>
    <t>Net cash (used in)/flows from financing activities (C)</t>
  </si>
  <si>
    <t>Net change in cash and cash equivalents (D=A+B+C)</t>
  </si>
  <si>
    <t>Cash and cash equivalents at the beginning of year (E)</t>
  </si>
  <si>
    <t>Cash and cash equivalents at the end of year (G= D+E+F) (Refer note 14)</t>
  </si>
  <si>
    <t>Unrealised exchange loss on translation of cash and cash equivalent in subsidiary (F)</t>
  </si>
  <si>
    <t>Interest paid (inclusive of interest paid on lease liabilities</t>
  </si>
  <si>
    <t>Proceeds from disposal of property, plant and equipment and intangible assets</t>
  </si>
  <si>
    <t>Decrease/(Increase) in current and non-current financial assets and other current and non-current assets</t>
  </si>
  <si>
    <t>(Decrease)/Increase in current financial liabilities and other current and noncurrent liabilities and provisions</t>
  </si>
  <si>
    <t xml:space="preserve">Purchase of property, plant and equipment and intangible assets </t>
  </si>
  <si>
    <t>Share based payment to employees</t>
  </si>
  <si>
    <t>Purchase of additional stake from minority of a subsidiary</t>
  </si>
  <si>
    <t>Proceeds from share application money pending allotment</t>
  </si>
  <si>
    <t>SCENARIO</t>
  </si>
  <si>
    <t>Revenue Growth</t>
  </si>
  <si>
    <t>Cost of Goods Sold (%  of Revenue)</t>
  </si>
  <si>
    <t>Salaries and Benefits (% of Revenue)</t>
  </si>
  <si>
    <t>Others SG&amp;A Expenses % of Revenue)</t>
  </si>
  <si>
    <t>Interest(% of Debt)</t>
  </si>
  <si>
    <t>Other Income (Expenses) (% of Revenue)</t>
  </si>
  <si>
    <t>Taxe Rate ( % of PBT)</t>
  </si>
  <si>
    <t>Dividends Payout ratio</t>
  </si>
  <si>
    <t>Capital Assets Turnover ratio</t>
  </si>
  <si>
    <t>Ratios &amp; Assumptions</t>
  </si>
  <si>
    <t xml:space="preserve"> INR In million</t>
  </si>
  <si>
    <t>Cost of Goods Sold (COGS)</t>
  </si>
  <si>
    <t>Gross Profit</t>
  </si>
  <si>
    <t>Salaries &amp; Benefits</t>
  </si>
  <si>
    <t>other SA &amp; G expesnes</t>
  </si>
  <si>
    <t>EBITDA</t>
  </si>
  <si>
    <t>Depreciation</t>
  </si>
  <si>
    <t>EBIT</t>
  </si>
  <si>
    <t xml:space="preserve">Interest </t>
  </si>
  <si>
    <t>Other Income</t>
  </si>
  <si>
    <t>EBT</t>
  </si>
  <si>
    <t>Taxes</t>
  </si>
  <si>
    <t>Net Income</t>
  </si>
  <si>
    <t>Cash</t>
  </si>
  <si>
    <t>Bank Deposit</t>
  </si>
  <si>
    <t>Account Receivable</t>
  </si>
  <si>
    <t>other current assets</t>
  </si>
  <si>
    <t>Property, plant, equipment</t>
  </si>
  <si>
    <t>Financial Assets</t>
  </si>
  <si>
    <t>other Non-Current Assets</t>
  </si>
  <si>
    <t>Current Assets</t>
  </si>
  <si>
    <t>Non-Current Assets</t>
  </si>
  <si>
    <t>Account Payables</t>
  </si>
  <si>
    <t>Debt</t>
  </si>
  <si>
    <t>Other Non current Liabilities</t>
  </si>
  <si>
    <t>Total Liabilities</t>
  </si>
  <si>
    <t>Equity Capital</t>
  </si>
  <si>
    <t>Retained earning</t>
  </si>
  <si>
    <t>Shareholder's Equity</t>
  </si>
  <si>
    <t>Non-controlling Interest</t>
  </si>
  <si>
    <t>Total Liabilities and shareholder's equity</t>
  </si>
  <si>
    <t>Current Laibilities</t>
  </si>
  <si>
    <t>Laibilities</t>
  </si>
  <si>
    <t>Assets</t>
  </si>
  <si>
    <t>Non-Current Laibilites</t>
  </si>
  <si>
    <t>Total  Non-Current Assets</t>
  </si>
  <si>
    <t>Total Current Laibilities</t>
  </si>
  <si>
    <t>Total Non-Current Laibilities</t>
  </si>
  <si>
    <t>Total Equity</t>
  </si>
  <si>
    <t>Operating Cashflow</t>
  </si>
  <si>
    <t>Net Earning</t>
  </si>
  <si>
    <t>Plus- Dep &amp; Amotization</t>
  </si>
  <si>
    <t>Plus/Less- Adjustment for non-operating items</t>
  </si>
  <si>
    <t>Plus/less- adjustment For Operating Assets and Liabilities</t>
  </si>
  <si>
    <t>cashflow From Operation</t>
  </si>
  <si>
    <t>Investing cashflow</t>
  </si>
  <si>
    <t>Investment in Property and Equipment</t>
  </si>
  <si>
    <t>Sale OF property, Plant and Equipment</t>
  </si>
  <si>
    <t>Purchase/sales of Investment</t>
  </si>
  <si>
    <t>Dividend received</t>
  </si>
  <si>
    <t>CashFlow From Investing</t>
  </si>
  <si>
    <t>Financing CashFlow</t>
  </si>
  <si>
    <t>Issuance(Repayment) of Debt</t>
  </si>
  <si>
    <t>Issuance(Repayment) of Pref. shares (NCI)</t>
  </si>
  <si>
    <t>Interest paid</t>
  </si>
  <si>
    <t>CashFlow From Financing</t>
  </si>
  <si>
    <t xml:space="preserve">Net Increase (Decrease) in Cash </t>
  </si>
  <si>
    <t>Opening Cash Balance</t>
  </si>
  <si>
    <t>Closing Cash Balance</t>
  </si>
  <si>
    <t>Supporting Schedules</t>
  </si>
  <si>
    <t>Working Capital</t>
  </si>
  <si>
    <t>Account Receivables</t>
  </si>
  <si>
    <t>Inventory</t>
  </si>
  <si>
    <t>Total</t>
  </si>
  <si>
    <t>PPE Opening</t>
  </si>
  <si>
    <t>Plus -Capex</t>
  </si>
  <si>
    <t>Less-Dep</t>
  </si>
  <si>
    <t>PPE Closing</t>
  </si>
  <si>
    <t>Depreciation Schedules</t>
  </si>
  <si>
    <t>Opening Debt</t>
  </si>
  <si>
    <t>Issuance (Repayment)</t>
  </si>
  <si>
    <t>Debt Closing</t>
  </si>
  <si>
    <t>Interest Expenses</t>
  </si>
  <si>
    <t>Debt Schedules</t>
  </si>
  <si>
    <t>Accounts Recievable (Days)</t>
  </si>
  <si>
    <t>Inventories (Days)</t>
  </si>
  <si>
    <t>Accounts Payables (Days)</t>
  </si>
  <si>
    <t>Scenarios</t>
  </si>
  <si>
    <t>Base</t>
  </si>
  <si>
    <t>Bull</t>
  </si>
  <si>
    <t>Bear</t>
  </si>
  <si>
    <t>Annual Growth Tapering</t>
  </si>
  <si>
    <t>Growth</t>
  </si>
  <si>
    <t>Deperciation &amp; Amotisartion Exp. (%of opening PPE)</t>
  </si>
  <si>
    <t>other Current laibilities</t>
  </si>
  <si>
    <t>Date</t>
  </si>
  <si>
    <t>Index</t>
  </si>
  <si>
    <t>Nifty 50</t>
  </si>
  <si>
    <t>YearFrac</t>
  </si>
  <si>
    <t>Market Return</t>
  </si>
  <si>
    <t>Close Price</t>
  </si>
  <si>
    <t>Index close Price</t>
  </si>
  <si>
    <t>% Change Monthly</t>
  </si>
  <si>
    <t>Stock Close Price</t>
  </si>
  <si>
    <t>SUMMARY OUTPUT</t>
  </si>
  <si>
    <t>Regression Statistics</t>
  </si>
  <si>
    <t>Multiple R</t>
  </si>
  <si>
    <t>R Square</t>
  </si>
  <si>
    <t>Adjusted R Square</t>
  </si>
  <si>
    <t>Standard Error</t>
  </si>
  <si>
    <t>Observations</t>
  </si>
  <si>
    <t>ANOVA</t>
  </si>
  <si>
    <t>Regression</t>
  </si>
  <si>
    <t>Residual</t>
  </si>
  <si>
    <t>Intercept</t>
  </si>
  <si>
    <t>df</t>
  </si>
  <si>
    <t>SS</t>
  </si>
  <si>
    <t>MS</t>
  </si>
  <si>
    <t>F</t>
  </si>
  <si>
    <t>Significance F</t>
  </si>
  <si>
    <t>Coefficients</t>
  </si>
  <si>
    <t>t Stat</t>
  </si>
  <si>
    <t>P-value</t>
  </si>
  <si>
    <t>Lower 95%</t>
  </si>
  <si>
    <t>Upper 95%</t>
  </si>
  <si>
    <t>Lower 95.0%</t>
  </si>
  <si>
    <t>Upper 95.0%</t>
  </si>
  <si>
    <t>X Variable 1</t>
  </si>
  <si>
    <t>Beta1</t>
  </si>
  <si>
    <t>Beta2</t>
  </si>
  <si>
    <t>Beta3</t>
  </si>
  <si>
    <t>Slope Formula Method</t>
  </si>
  <si>
    <t>Cov/Var. Formula Method</t>
  </si>
  <si>
    <t>Regression Method</t>
  </si>
  <si>
    <t>Regression Beta- 5 years Monthly</t>
  </si>
  <si>
    <t>Beta Drifting</t>
  </si>
  <si>
    <t>Levered Raw Beta</t>
  </si>
  <si>
    <t>Raw Beta Weight</t>
  </si>
  <si>
    <t>Market Beta</t>
  </si>
  <si>
    <t>Market Beta Weight</t>
  </si>
  <si>
    <t>Adjusted Beta</t>
  </si>
  <si>
    <t>Total No of shares (mn)</t>
  </si>
  <si>
    <t>Market Capital (INR mn)</t>
  </si>
  <si>
    <t>Market Capital (INR Cr)</t>
  </si>
  <si>
    <t>Price</t>
  </si>
  <si>
    <t>Share</t>
  </si>
  <si>
    <t>Market Cap</t>
  </si>
  <si>
    <t xml:space="preserve">Cash </t>
  </si>
  <si>
    <t>EV</t>
  </si>
  <si>
    <t>WACC Calculation</t>
  </si>
  <si>
    <t>Current Capital structure</t>
  </si>
  <si>
    <t>Market cap</t>
  </si>
  <si>
    <t>Total Debt</t>
  </si>
  <si>
    <t>Cost of debt</t>
  </si>
  <si>
    <t>Pre-tax cost of debt</t>
  </si>
  <si>
    <t>tax rate</t>
  </si>
  <si>
    <t>After -Tax cost of debt</t>
  </si>
  <si>
    <t>Cost of equity</t>
  </si>
  <si>
    <t>Risk free Rate</t>
  </si>
  <si>
    <t>Equity Market Return</t>
  </si>
  <si>
    <t>Equity risk premium</t>
  </si>
  <si>
    <t>Levered Equity Beta</t>
  </si>
  <si>
    <t>WACC</t>
  </si>
  <si>
    <t>Tax Rate</t>
  </si>
  <si>
    <t>Perpetual Growth Rate</t>
  </si>
  <si>
    <t>RiskFree Rate</t>
  </si>
  <si>
    <t>Varun Berverages</t>
  </si>
  <si>
    <t>Cost Of Capital</t>
  </si>
  <si>
    <t>proportion of Market</t>
  </si>
  <si>
    <t>Debt (After-tax)</t>
  </si>
  <si>
    <t>Debt/Equity Ratio</t>
  </si>
  <si>
    <t>Cureent Market Price (Rs)</t>
  </si>
  <si>
    <t>Less-Taxes on EBIT</t>
  </si>
  <si>
    <t>ADD-Dep</t>
  </si>
  <si>
    <t>Less-Capex</t>
  </si>
  <si>
    <t>Change in Working Capital</t>
  </si>
  <si>
    <t>Unlevered FCFF</t>
  </si>
  <si>
    <t>NOPAT</t>
  </si>
  <si>
    <t>Terminal Value</t>
  </si>
  <si>
    <t>Intrinsic Value</t>
  </si>
  <si>
    <t>Sum of PV of CashFlows</t>
  </si>
  <si>
    <t>Add-PV of Terminal Value</t>
  </si>
  <si>
    <t>Enterprise Value</t>
  </si>
  <si>
    <t>Plus- Cash &amp; Cash Equivalent</t>
  </si>
  <si>
    <t>Less- Debt</t>
  </si>
  <si>
    <t>Less- Pref. stocks</t>
  </si>
  <si>
    <t>Less- Noncontrolling Interest</t>
  </si>
  <si>
    <t>Equity Value</t>
  </si>
  <si>
    <t>Outstanding Shares (MN)</t>
  </si>
  <si>
    <t>Equity value/Share</t>
  </si>
  <si>
    <t>Upside/downside Potentail</t>
  </si>
  <si>
    <t>Pariculars</t>
  </si>
  <si>
    <t>Discount Rate</t>
  </si>
  <si>
    <t>Terminal Growth Rate</t>
  </si>
  <si>
    <t>Sensitivity Analysis</t>
  </si>
  <si>
    <t>Inputs</t>
  </si>
  <si>
    <t>Sales Growth</t>
  </si>
  <si>
    <t>EBITA Growth</t>
  </si>
  <si>
    <t>EBIT Growth</t>
  </si>
  <si>
    <t xml:space="preserve">Net Profit Growth </t>
  </si>
  <si>
    <t>Gross Margin</t>
  </si>
  <si>
    <t>EBITDA Margin</t>
  </si>
  <si>
    <t>EBIT Margin</t>
  </si>
  <si>
    <t>EBT Margin</t>
  </si>
  <si>
    <t>Net Profit Margin</t>
  </si>
  <si>
    <t>SalesExpense%Sales</t>
  </si>
  <si>
    <t>Dep%Sales</t>
  </si>
  <si>
    <t>OperatingIncome%Sales</t>
  </si>
  <si>
    <t>Return on Capital Employed</t>
  </si>
  <si>
    <t>Return on Equity%</t>
  </si>
  <si>
    <t>Interest Coverage Ratio</t>
  </si>
  <si>
    <t>Debtor Turnover ratio</t>
  </si>
  <si>
    <t>Creditor Turnover Ratio</t>
  </si>
  <si>
    <t>Inventory Turnover</t>
  </si>
  <si>
    <t>Fixed Asset Turnover</t>
  </si>
  <si>
    <t>Capital Turnover Ratio</t>
  </si>
  <si>
    <t>Debtor Days</t>
  </si>
  <si>
    <t>Payable Days</t>
  </si>
  <si>
    <t>Inventory Days</t>
  </si>
  <si>
    <t>Cash Conversion Cycle</t>
  </si>
  <si>
    <t>Current Ratio</t>
  </si>
  <si>
    <t>Quick Ratio</t>
  </si>
  <si>
    <t>Trend</t>
  </si>
  <si>
    <t>Ratios</t>
  </si>
  <si>
    <t>Dupont Analysis - Return on Equity &amp; Return on Asset</t>
  </si>
  <si>
    <t>Return on Equity (ROE)</t>
  </si>
  <si>
    <t>Net Profit</t>
  </si>
  <si>
    <t>Year</t>
  </si>
  <si>
    <t>ROE - Dupont Equation</t>
  </si>
  <si>
    <t>Revenue</t>
  </si>
  <si>
    <t>Net Profit Margin (A)</t>
  </si>
  <si>
    <t>Average Total Assets</t>
  </si>
  <si>
    <t>Asset Turnover Ratio (B)</t>
  </si>
  <si>
    <t xml:space="preserve"> Total Assets</t>
  </si>
  <si>
    <t>Equity Multipler (C)</t>
  </si>
  <si>
    <t>Return on Equity (A*B*C)</t>
  </si>
  <si>
    <t>Return on Asset</t>
  </si>
  <si>
    <t>Return on Asset (ROA)</t>
  </si>
  <si>
    <t>ROA - Dupont Equation</t>
  </si>
  <si>
    <t>Return on Asset (A*B)</t>
  </si>
  <si>
    <t>Varun Beverages Ltd</t>
  </si>
  <si>
    <t>INR</t>
  </si>
  <si>
    <t>INR 475.80</t>
  </si>
  <si>
    <t>52 Week Range -  (INR-419.55 - 681.12)</t>
  </si>
  <si>
    <t>BSE: 540180 / NSE: VBL</t>
  </si>
  <si>
    <t>Years</t>
  </si>
  <si>
    <t>CHARTS</t>
  </si>
  <si>
    <t>Company Description</t>
  </si>
  <si>
    <t>ISIN Code</t>
  </si>
  <si>
    <t>Sector Name</t>
  </si>
  <si>
    <t>Industry</t>
  </si>
  <si>
    <t>Exchange Name</t>
  </si>
  <si>
    <t>Website</t>
  </si>
  <si>
    <t>Current Market Price</t>
  </si>
  <si>
    <t>INE200M01039</t>
  </si>
  <si>
    <t>Varun Beverages Limited</t>
  </si>
  <si>
    <t>FMCG</t>
  </si>
  <si>
    <t>www.varunbeverages.com</t>
  </si>
  <si>
    <t>Varun Beverages Ltd has been associated with PepsiCo since the 1990s and is a key player in beverage industry and one of the largest franchisee of PepsiCo in the world. The company produces and distributes a wide range of carbonated soft drinks, non-carbonated drinks and packaged water sold under trademarks owned by PepsiCo.</t>
  </si>
  <si>
    <t xml:space="preserve">Food - Processing </t>
  </si>
  <si>
    <t>ASSUMPTIONS</t>
  </si>
  <si>
    <t>%</t>
  </si>
  <si>
    <t>10-year bond yield</t>
  </si>
  <si>
    <t>Nos.</t>
  </si>
  <si>
    <t>Shares Outstanding (mn)</t>
  </si>
  <si>
    <t>Market cap (INR mn)</t>
  </si>
  <si>
    <t>INR 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</si>
</sst>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8" formatCode="&quot;₹&quot;\ #,##0.00;[Red]&quot;₹&quot;\ \-#,##0.00"/>
    <numFmt numFmtId="164" formatCode="0&quot;x&quot;"/>
    <numFmt numFmtId="165" formatCode="0&quot;A&quot;"/>
    <numFmt numFmtId="166" formatCode="0&quot;F&quot;"/>
    <numFmt numFmtId="167" formatCode="#,##0;\(#,##0\);\-"/>
    <numFmt numFmtId="168" formatCode="0.0%"/>
    <numFmt numFmtId="169" formatCode="0.00&quot;x&quot;"/>
    <numFmt numFmtId="170" formatCode="0&quot; Days&quot;"/>
  </numFmts>
  <fonts count="35" x14ac:knownFonts="1">
    <font>
      <sz val="11"/>
      <color theme="1"/>
      <name val="Calibri"/>
      <family val="2"/>
      <scheme val="minor"/>
    </font>
    <font>
      <b/>
      <sz val="11"/>
      <color theme="0"/>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sz val="11"/>
      <color theme="1"/>
      <name val="Times New Roman"/>
      <family val="1"/>
    </font>
    <font>
      <b/>
      <sz val="12"/>
      <color theme="1"/>
      <name val="Times New Roman"/>
      <family val="1"/>
    </font>
    <font>
      <b/>
      <sz val="11"/>
      <color theme="1"/>
      <name val="Times New Roman"/>
      <family val="1"/>
    </font>
    <font>
      <sz val="11"/>
      <color theme="0"/>
      <name val="Calibri"/>
      <family val="2"/>
      <scheme val="minor"/>
    </font>
    <font>
      <b/>
      <u/>
      <sz val="11"/>
      <color theme="1"/>
      <name val="Calibri"/>
      <family val="2"/>
      <scheme val="minor"/>
    </font>
    <font>
      <b/>
      <i/>
      <u/>
      <sz val="11"/>
      <color theme="1"/>
      <name val="Calibri"/>
      <family val="2"/>
      <scheme val="minor"/>
    </font>
    <font>
      <b/>
      <sz val="12"/>
      <color theme="0"/>
      <name val="Times New Roman"/>
      <family val="1"/>
    </font>
    <font>
      <sz val="11"/>
      <color rgb="FF000000"/>
      <name val="Times New Roman"/>
      <family val="1"/>
    </font>
    <font>
      <b/>
      <sz val="11"/>
      <color theme="0"/>
      <name val="Times New Roman"/>
      <family val="1"/>
    </font>
    <font>
      <sz val="10"/>
      <color theme="1"/>
      <name val="Arial"/>
      <family val="2"/>
    </font>
    <font>
      <sz val="10"/>
      <color rgb="FF232A31"/>
      <name val="Arial"/>
      <family val="2"/>
    </font>
    <font>
      <b/>
      <u/>
      <sz val="11"/>
      <color theme="0"/>
      <name val="Calibri"/>
      <family val="2"/>
      <scheme val="minor"/>
    </font>
    <font>
      <b/>
      <sz val="14"/>
      <color theme="0"/>
      <name val="Calibri"/>
      <family val="2"/>
      <scheme val="minor"/>
    </font>
    <font>
      <b/>
      <sz val="10"/>
      <color theme="1"/>
      <name val="Calibri"/>
      <family val="2"/>
      <scheme val="minor"/>
    </font>
    <font>
      <b/>
      <sz val="10"/>
      <color theme="4" tint="-0.499984740745262"/>
      <name val="Arial"/>
      <family val="2"/>
    </font>
    <font>
      <b/>
      <sz val="20"/>
      <color rgb="FF22222F"/>
      <name val="Arial"/>
      <family val="2"/>
    </font>
    <font>
      <b/>
      <sz val="10"/>
      <color theme="0"/>
      <name val="Calibri"/>
      <family val="2"/>
      <scheme val="minor"/>
    </font>
    <font>
      <u/>
      <sz val="11"/>
      <color theme="10"/>
      <name val="Calibri"/>
      <family val="2"/>
      <scheme val="minor"/>
    </font>
    <font>
      <sz val="12"/>
      <color theme="1"/>
      <name val="Calibri"/>
      <family val="2"/>
      <scheme val="minor"/>
    </font>
    <font>
      <sz val="11"/>
      <color rgb="FF22222F"/>
      <name val="Arial"/>
      <family val="2"/>
    </font>
    <font>
      <b/>
      <sz val="12"/>
      <color theme="4" tint="-0.499984740745262"/>
      <name val="Arial"/>
      <family val="2"/>
    </font>
    <font>
      <sz val="12"/>
      <color theme="1"/>
      <name val="Arial"/>
      <family val="2"/>
    </font>
    <font>
      <sz val="10"/>
      <color rgb="FF000000"/>
      <name val="Times New Roman"/>
      <family val="1"/>
    </font>
    <font>
      <b/>
      <sz val="12"/>
      <color theme="1"/>
      <name val="Arial"/>
      <family val="2"/>
    </font>
    <font>
      <u/>
      <sz val="12"/>
      <color theme="1"/>
      <name val="Arial"/>
      <family val="2"/>
    </font>
    <font>
      <b/>
      <sz val="12"/>
      <color theme="0"/>
      <name val="Book Antiqua"/>
      <family val="1"/>
    </font>
    <font>
      <sz val="12"/>
      <color theme="0"/>
      <name val="Book Antiqua"/>
      <family val="1"/>
    </font>
    <font>
      <sz val="12"/>
      <color theme="1"/>
      <name val="Book Antiqua"/>
      <family val="1"/>
    </font>
    <font>
      <u/>
      <sz val="12"/>
      <color rgb="FF0070C0"/>
      <name val="Book Antiqua"/>
      <family val="1"/>
    </font>
    <font>
      <sz val="12"/>
      <color rgb="FF000000"/>
      <name val="Book Antiqua"/>
      <family val="1"/>
    </font>
  </fonts>
  <fills count="13">
    <fill>
      <patternFill patternType="none"/>
    </fill>
    <fill>
      <patternFill patternType="gray125"/>
    </fill>
    <fill>
      <patternFill patternType="solid">
        <fgColor rgb="FF002060"/>
        <bgColor indexed="64"/>
      </patternFill>
    </fill>
    <fill>
      <patternFill patternType="solid">
        <fgColor theme="0"/>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rgb="FF003399"/>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7" tint="0.39997558519241921"/>
        <bgColor indexed="64"/>
      </patternFill>
    </fill>
    <fill>
      <patternFill patternType="solid">
        <fgColor theme="8" tint="-0.499984740745262"/>
        <bgColor indexed="64"/>
      </patternFill>
    </fill>
  </fills>
  <borders count="45">
    <border>
      <left/>
      <right/>
      <top/>
      <bottom/>
      <diagonal/>
    </border>
    <border>
      <left/>
      <right/>
      <top style="thin">
        <color indexed="64"/>
      </top>
      <bottom/>
      <diagonal/>
    </border>
    <border>
      <left/>
      <right/>
      <top/>
      <bottom style="thin">
        <color indexed="64"/>
      </bottom>
      <diagonal/>
    </border>
    <border>
      <left/>
      <right/>
      <top style="thin">
        <color indexed="64"/>
      </top>
      <bottom style="medium">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right/>
      <top/>
      <bottom style="medium">
        <color indexed="64"/>
      </bottom>
      <diagonal/>
    </border>
    <border>
      <left style="hair">
        <color indexed="64"/>
      </left>
      <right style="hair">
        <color indexed="64"/>
      </right>
      <top/>
      <bottom/>
      <diagonal/>
    </border>
    <border>
      <left/>
      <right/>
      <top style="medium">
        <color indexed="64"/>
      </top>
      <bottom/>
      <diagonal/>
    </border>
    <border>
      <left/>
      <right/>
      <top style="thin">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thin">
        <color indexed="64"/>
      </bottom>
      <diagonal/>
    </border>
    <border>
      <left style="medium">
        <color indexed="64"/>
      </left>
      <right/>
      <top/>
      <bottom style="medium">
        <color indexed="64"/>
      </bottom>
      <diagonal/>
    </border>
    <border>
      <left/>
      <right style="medium">
        <color indexed="64"/>
      </right>
      <top style="medium">
        <color indexed="64"/>
      </top>
      <bottom style="thin">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top style="medium">
        <color indexed="64"/>
      </top>
      <bottom style="thin">
        <color indexed="64"/>
      </bottom>
      <diagonal/>
    </border>
    <border>
      <left/>
      <right/>
      <top style="medium">
        <color indexed="64"/>
      </top>
      <bottom style="medium">
        <color indexed="64"/>
      </bottom>
      <diagonal/>
    </border>
    <border>
      <left/>
      <right/>
      <top style="hair">
        <color auto="1"/>
      </top>
      <bottom style="hair">
        <color auto="1"/>
      </bottom>
      <diagonal/>
    </border>
    <border>
      <left/>
      <right/>
      <top style="thin">
        <color indexed="64"/>
      </top>
      <bottom style="hair">
        <color indexed="64"/>
      </bottom>
      <diagonal/>
    </border>
    <border>
      <left/>
      <right/>
      <top style="hair">
        <color indexed="64"/>
      </top>
      <bottom style="thin">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bottom/>
      <diagonal/>
    </border>
    <border>
      <left/>
      <right style="thin">
        <color indexed="64"/>
      </right>
      <top/>
      <bottom/>
      <diagonal/>
    </border>
    <border>
      <left/>
      <right style="thin">
        <color indexed="64"/>
      </right>
      <top style="medium">
        <color indexed="64"/>
      </top>
      <bottom style="thin">
        <color indexed="64"/>
      </bottom>
      <diagonal/>
    </border>
  </borders>
  <cellStyleXfs count="4">
    <xf numFmtId="0" fontId="0" fillId="0" borderId="0"/>
    <xf numFmtId="9" fontId="4" fillId="0" borderId="0" applyFont="0" applyFill="0" applyBorder="0" applyAlignment="0" applyProtection="0"/>
    <xf numFmtId="0" fontId="22" fillId="0" borderId="0" applyNumberFormat="0" applyFill="0" applyBorder="0" applyAlignment="0" applyProtection="0"/>
    <xf numFmtId="0" fontId="27" fillId="0" borderId="0"/>
  </cellStyleXfs>
  <cellXfs count="233">
    <xf numFmtId="0" fontId="0" fillId="0" borderId="0" xfId="0"/>
    <xf numFmtId="0" fontId="2" fillId="0" borderId="0" xfId="0" applyFont="1"/>
    <xf numFmtId="4" fontId="0" fillId="0" borderId="0" xfId="0" applyNumberFormat="1"/>
    <xf numFmtId="4" fontId="2" fillId="0" borderId="0" xfId="0" applyNumberFormat="1" applyFont="1"/>
    <xf numFmtId="0" fontId="1" fillId="2" borderId="0" xfId="0" applyFont="1" applyFill="1"/>
    <xf numFmtId="0" fontId="3" fillId="0" borderId="0" xfId="0" applyFont="1"/>
    <xf numFmtId="0" fontId="0" fillId="0" borderId="0" xfId="0" applyFont="1"/>
    <xf numFmtId="0" fontId="5" fillId="0" borderId="0" xfId="0" applyFont="1"/>
    <xf numFmtId="0" fontId="6" fillId="0" borderId="0" xfId="0" applyFont="1" applyBorder="1"/>
    <xf numFmtId="0" fontId="7" fillId="0" borderId="0" xfId="0" applyFont="1"/>
    <xf numFmtId="0" fontId="2" fillId="0" borderId="1" xfId="0" applyFont="1" applyBorder="1"/>
    <xf numFmtId="0" fontId="3" fillId="3" borderId="0" xfId="0" applyFont="1" applyFill="1"/>
    <xf numFmtId="0" fontId="1" fillId="3" borderId="0" xfId="0" applyFont="1" applyFill="1"/>
    <xf numFmtId="0" fontId="0" fillId="3" borderId="0" xfId="0" applyFill="1"/>
    <xf numFmtId="1" fontId="0" fillId="0" borderId="0" xfId="0" applyNumberFormat="1"/>
    <xf numFmtId="9" fontId="0" fillId="0" borderId="0" xfId="0" applyNumberFormat="1"/>
    <xf numFmtId="9" fontId="3" fillId="0" borderId="0" xfId="1" applyFont="1"/>
    <xf numFmtId="0" fontId="0" fillId="0" borderId="2" xfId="0" applyBorder="1"/>
    <xf numFmtId="0" fontId="2" fillId="0" borderId="2" xfId="0" applyFont="1" applyBorder="1"/>
    <xf numFmtId="0" fontId="8" fillId="0" borderId="2" xfId="0" applyFont="1" applyBorder="1"/>
    <xf numFmtId="165" fontId="1" fillId="7" borderId="0" xfId="0" applyNumberFormat="1" applyFont="1" applyFill="1"/>
    <xf numFmtId="166" fontId="1" fillId="7" borderId="0" xfId="0" applyNumberFormat="1" applyFont="1" applyFill="1"/>
    <xf numFmtId="0" fontId="9" fillId="9" borderId="2" xfId="0" applyFont="1" applyFill="1" applyBorder="1"/>
    <xf numFmtId="0" fontId="2" fillId="0" borderId="3" xfId="0" applyFont="1" applyBorder="1"/>
    <xf numFmtId="0" fontId="7" fillId="0" borderId="1" xfId="0" applyFont="1" applyBorder="1"/>
    <xf numFmtId="167" fontId="0" fillId="0" borderId="0" xfId="0" applyNumberFormat="1"/>
    <xf numFmtId="167" fontId="2" fillId="0" borderId="1" xfId="0" applyNumberFormat="1" applyFont="1" applyBorder="1"/>
    <xf numFmtId="167" fontId="2" fillId="0" borderId="3" xfId="0" applyNumberFormat="1" applyFont="1" applyBorder="1"/>
    <xf numFmtId="167" fontId="2" fillId="0" borderId="0" xfId="0" applyNumberFormat="1" applyFont="1"/>
    <xf numFmtId="167" fontId="0" fillId="0" borderId="0" xfId="0" applyNumberFormat="1" applyFont="1"/>
    <xf numFmtId="9" fontId="2" fillId="9" borderId="0" xfId="0" applyNumberFormat="1" applyFont="1" applyFill="1"/>
    <xf numFmtId="0" fontId="0" fillId="0" borderId="0" xfId="0" applyBorder="1"/>
    <xf numFmtId="9" fontId="0" fillId="0" borderId="4" xfId="0" applyNumberFormat="1" applyBorder="1"/>
    <xf numFmtId="0" fontId="0" fillId="0" borderId="4" xfId="0" applyBorder="1"/>
    <xf numFmtId="9" fontId="0" fillId="0" borderId="4" xfId="1" applyFont="1" applyBorder="1"/>
    <xf numFmtId="0" fontId="0" fillId="0" borderId="0" xfId="0" applyFont="1" applyBorder="1"/>
    <xf numFmtId="0" fontId="7" fillId="9" borderId="4" xfId="0" applyFont="1" applyFill="1" applyBorder="1"/>
    <xf numFmtId="0" fontId="7" fillId="9" borderId="5" xfId="0" applyFont="1" applyFill="1" applyBorder="1"/>
    <xf numFmtId="0" fontId="7" fillId="0" borderId="3" xfId="0" applyFont="1" applyBorder="1"/>
    <xf numFmtId="9" fontId="10" fillId="0" borderId="4" xfId="0" applyNumberFormat="1" applyFont="1" applyBorder="1"/>
    <xf numFmtId="0" fontId="11" fillId="2" borderId="0" xfId="0" applyFont="1" applyFill="1" applyBorder="1"/>
    <xf numFmtId="0" fontId="1" fillId="2" borderId="0" xfId="0" applyFont="1" applyFill="1" applyBorder="1"/>
    <xf numFmtId="15" fontId="0" fillId="0" borderId="0" xfId="0" applyNumberFormat="1"/>
    <xf numFmtId="0" fontId="2" fillId="9" borderId="1" xfId="0" applyFont="1" applyFill="1" applyBorder="1"/>
    <xf numFmtId="0" fontId="2" fillId="9" borderId="6" xfId="0" applyFont="1" applyFill="1" applyBorder="1"/>
    <xf numFmtId="9" fontId="2" fillId="9" borderId="6" xfId="1" applyFont="1" applyFill="1" applyBorder="1"/>
    <xf numFmtId="0" fontId="1" fillId="9" borderId="0" xfId="0" applyFont="1" applyFill="1"/>
    <xf numFmtId="0" fontId="0" fillId="0" borderId="3" xfId="0" applyBorder="1"/>
    <xf numFmtId="1" fontId="0" fillId="0" borderId="7" xfId="0" applyNumberFormat="1" applyBorder="1"/>
    <xf numFmtId="0" fontId="0" fillId="0" borderId="0" xfId="0" applyFill="1" applyBorder="1" applyAlignment="1"/>
    <xf numFmtId="0" fontId="0" fillId="0" borderId="6" xfId="0" applyFill="1" applyBorder="1" applyAlignment="1"/>
    <xf numFmtId="0" fontId="3" fillId="0" borderId="10" xfId="0" applyFont="1" applyFill="1" applyBorder="1" applyAlignment="1">
      <alignment horizontal="center"/>
    </xf>
    <xf numFmtId="0" fontId="3" fillId="0" borderId="10" xfId="0" applyFont="1" applyFill="1" applyBorder="1" applyAlignment="1">
      <alignment horizontal="centerContinuous"/>
    </xf>
    <xf numFmtId="0" fontId="9" fillId="9" borderId="6" xfId="0" applyFont="1" applyFill="1" applyBorder="1" applyAlignment="1"/>
    <xf numFmtId="14" fontId="12" fillId="0" borderId="7" xfId="0" applyNumberFormat="1" applyFont="1" applyBorder="1" applyAlignment="1">
      <alignment vertical="center" wrapText="1"/>
    </xf>
    <xf numFmtId="1" fontId="12" fillId="0" borderId="7" xfId="0" applyNumberFormat="1" applyFont="1" applyBorder="1" applyAlignment="1">
      <alignment vertical="center" wrapText="1"/>
    </xf>
    <xf numFmtId="0" fontId="0" fillId="0" borderId="7" xfId="0" applyBorder="1"/>
    <xf numFmtId="9" fontId="0" fillId="0" borderId="7" xfId="1" applyFont="1" applyBorder="1"/>
    <xf numFmtId="0" fontId="2" fillId="9" borderId="3" xfId="0" applyFont="1" applyFill="1" applyBorder="1" applyAlignment="1">
      <alignment wrapText="1"/>
    </xf>
    <xf numFmtId="2" fontId="0" fillId="0" borderId="0" xfId="0" applyNumberFormat="1"/>
    <xf numFmtId="0" fontId="0" fillId="0" borderId="8" xfId="0" applyBorder="1"/>
    <xf numFmtId="0" fontId="0" fillId="0" borderId="12" xfId="0" applyBorder="1"/>
    <xf numFmtId="0" fontId="0" fillId="0" borderId="13" xfId="0" applyBorder="1"/>
    <xf numFmtId="0" fontId="0" fillId="0" borderId="14" xfId="0" applyBorder="1"/>
    <xf numFmtId="0" fontId="3" fillId="0" borderId="15" xfId="0" applyFont="1" applyFill="1" applyBorder="1" applyAlignment="1">
      <alignment horizontal="centerContinuous"/>
    </xf>
    <xf numFmtId="0" fontId="0" fillId="0" borderId="13" xfId="0" applyFill="1" applyBorder="1" applyAlignment="1"/>
    <xf numFmtId="0" fontId="0" fillId="0" borderId="16" xfId="0" applyFill="1" applyBorder="1" applyAlignment="1"/>
    <xf numFmtId="0" fontId="3" fillId="0" borderId="15" xfId="0" applyFont="1" applyFill="1" applyBorder="1" applyAlignment="1">
      <alignment horizontal="center"/>
    </xf>
    <xf numFmtId="0" fontId="3" fillId="0" borderId="17" xfId="0" applyFont="1" applyFill="1" applyBorder="1" applyAlignment="1">
      <alignment horizontal="center"/>
    </xf>
    <xf numFmtId="0" fontId="0" fillId="0" borderId="14" xfId="0" applyFill="1" applyBorder="1" applyAlignment="1"/>
    <xf numFmtId="0" fontId="0" fillId="0" borderId="18" xfId="0" applyFill="1" applyBorder="1" applyAlignment="1"/>
    <xf numFmtId="0" fontId="0" fillId="0" borderId="16" xfId="0" applyBorder="1"/>
    <xf numFmtId="0" fontId="0" fillId="0" borderId="6" xfId="0" applyBorder="1"/>
    <xf numFmtId="0" fontId="0" fillId="0" borderId="18" xfId="0" applyBorder="1"/>
    <xf numFmtId="0" fontId="0" fillId="11" borderId="8" xfId="0" applyFill="1" applyBorder="1"/>
    <xf numFmtId="9" fontId="0" fillId="0" borderId="0" xfId="1" applyFont="1" applyBorder="1"/>
    <xf numFmtId="0" fontId="2" fillId="3" borderId="0" xfId="0" applyFont="1" applyFill="1" applyBorder="1" applyAlignment="1">
      <alignment wrapText="1"/>
    </xf>
    <xf numFmtId="9" fontId="0" fillId="0" borderId="13" xfId="1" applyFont="1" applyBorder="1"/>
    <xf numFmtId="2" fontId="0" fillId="0" borderId="14" xfId="1" applyNumberFormat="1" applyFont="1" applyBorder="1"/>
    <xf numFmtId="9" fontId="0" fillId="0" borderId="21" xfId="1" applyFont="1" applyBorder="1"/>
    <xf numFmtId="9" fontId="0" fillId="0" borderId="22" xfId="1" applyFont="1" applyBorder="1"/>
    <xf numFmtId="9" fontId="0" fillId="0" borderId="14" xfId="1" applyFont="1" applyBorder="1"/>
    <xf numFmtId="0" fontId="6" fillId="0" borderId="0" xfId="0" applyFont="1" applyFill="1" applyBorder="1"/>
    <xf numFmtId="0" fontId="0" fillId="3" borderId="0" xfId="0" applyFont="1" applyFill="1" applyBorder="1"/>
    <xf numFmtId="0" fontId="5" fillId="3" borderId="0" xfId="0" applyFont="1" applyFill="1" applyBorder="1"/>
    <xf numFmtId="3" fontId="5" fillId="3" borderId="0" xfId="0" applyNumberFormat="1" applyFont="1" applyFill="1" applyBorder="1"/>
    <xf numFmtId="0" fontId="0" fillId="0" borderId="25" xfId="0" applyBorder="1"/>
    <xf numFmtId="0" fontId="2" fillId="0" borderId="25" xfId="0" applyFont="1" applyBorder="1"/>
    <xf numFmtId="168" fontId="0" fillId="0" borderId="25" xfId="1" applyNumberFormat="1" applyFont="1" applyBorder="1"/>
    <xf numFmtId="10" fontId="0" fillId="0" borderId="25" xfId="0" applyNumberFormat="1" applyBorder="1"/>
    <xf numFmtId="10" fontId="0" fillId="0" borderId="25" xfId="1" applyNumberFormat="1" applyFont="1" applyBorder="1"/>
    <xf numFmtId="2" fontId="0" fillId="0" borderId="25" xfId="1" applyNumberFormat="1" applyFont="1" applyBorder="1"/>
    <xf numFmtId="0" fontId="0" fillId="0" borderId="11" xfId="0" applyBorder="1"/>
    <xf numFmtId="0" fontId="15" fillId="0" borderId="12" xfId="0" applyFont="1" applyBorder="1"/>
    <xf numFmtId="9" fontId="0" fillId="0" borderId="14" xfId="0" applyNumberFormat="1" applyBorder="1"/>
    <xf numFmtId="9" fontId="0" fillId="0" borderId="18" xfId="0" applyNumberFormat="1" applyBorder="1"/>
    <xf numFmtId="10" fontId="1" fillId="10" borderId="9" xfId="1" applyNumberFormat="1" applyFont="1" applyFill="1" applyBorder="1"/>
    <xf numFmtId="0" fontId="14" fillId="0" borderId="13" xfId="0" applyFont="1" applyFill="1" applyBorder="1"/>
    <xf numFmtId="3" fontId="14" fillId="0" borderId="14" xfId="0" applyNumberFormat="1" applyFont="1" applyFill="1" applyBorder="1"/>
    <xf numFmtId="0" fontId="14" fillId="0" borderId="13" xfId="0" applyFont="1" applyBorder="1"/>
    <xf numFmtId="3" fontId="14" fillId="0" borderId="14" xfId="0" applyNumberFormat="1" applyFont="1" applyBorder="1"/>
    <xf numFmtId="0" fontId="14" fillId="0" borderId="16" xfId="0" applyFont="1" applyBorder="1"/>
    <xf numFmtId="3" fontId="14" fillId="0" borderId="18" xfId="0" applyNumberFormat="1" applyFont="1" applyBorder="1"/>
    <xf numFmtId="0" fontId="0" fillId="0" borderId="13" xfId="0" applyFont="1" applyBorder="1"/>
    <xf numFmtId="168" fontId="0" fillId="0" borderId="14" xfId="1" applyNumberFormat="1" applyFont="1" applyBorder="1"/>
    <xf numFmtId="0" fontId="0" fillId="0" borderId="13" xfId="0" applyFont="1" applyFill="1" applyBorder="1"/>
    <xf numFmtId="0" fontId="2" fillId="0" borderId="23" xfId="0" applyFont="1" applyBorder="1"/>
    <xf numFmtId="168" fontId="0" fillId="0" borderId="24" xfId="1" applyNumberFormat="1" applyFont="1" applyBorder="1"/>
    <xf numFmtId="10" fontId="0" fillId="0" borderId="14" xfId="1" applyNumberFormat="1" applyFont="1" applyBorder="1"/>
    <xf numFmtId="4" fontId="0" fillId="0" borderId="14" xfId="0" applyNumberFormat="1" applyFont="1" applyBorder="1"/>
    <xf numFmtId="0" fontId="2" fillId="0" borderId="23" xfId="0" applyFont="1" applyFill="1" applyBorder="1"/>
    <xf numFmtId="0" fontId="2" fillId="0" borderId="11" xfId="0" applyFont="1" applyBorder="1"/>
    <xf numFmtId="9" fontId="0" fillId="0" borderId="8" xfId="0" applyNumberFormat="1" applyBorder="1"/>
    <xf numFmtId="0" fontId="0" fillId="0" borderId="13" xfId="0" applyBorder="1" applyAlignment="1">
      <alignment horizontal="left"/>
    </xf>
    <xf numFmtId="0" fontId="0" fillId="0" borderId="0" xfId="0" applyBorder="1" applyAlignment="1">
      <alignment horizontal="left"/>
    </xf>
    <xf numFmtId="0" fontId="0" fillId="0" borderId="14" xfId="0" applyBorder="1" applyAlignment="1">
      <alignment horizontal="left"/>
    </xf>
    <xf numFmtId="0" fontId="1" fillId="3" borderId="13" xfId="0" applyFont="1" applyFill="1" applyBorder="1"/>
    <xf numFmtId="0" fontId="0" fillId="0" borderId="26" xfId="0" applyBorder="1"/>
    <xf numFmtId="0" fontId="2" fillId="0" borderId="13" xfId="0" applyFont="1" applyBorder="1"/>
    <xf numFmtId="0" fontId="0" fillId="0" borderId="16" xfId="0" applyFont="1" applyBorder="1"/>
    <xf numFmtId="3" fontId="0" fillId="0" borderId="6" xfId="0" applyNumberFormat="1" applyFont="1" applyBorder="1"/>
    <xf numFmtId="0" fontId="0" fillId="0" borderId="6" xfId="0" applyFont="1" applyBorder="1"/>
    <xf numFmtId="0" fontId="0" fillId="0" borderId="9" xfId="0" applyBorder="1"/>
    <xf numFmtId="8" fontId="0" fillId="0" borderId="9" xfId="0" applyNumberFormat="1" applyBorder="1"/>
    <xf numFmtId="0" fontId="2" fillId="4" borderId="9" xfId="0" applyFont="1" applyFill="1" applyBorder="1"/>
    <xf numFmtId="168" fontId="2" fillId="4" borderId="9" xfId="1" applyNumberFormat="1" applyFont="1" applyFill="1" applyBorder="1"/>
    <xf numFmtId="8" fontId="8" fillId="0" borderId="0" xfId="0" applyNumberFormat="1" applyFont="1" applyBorder="1"/>
    <xf numFmtId="8" fontId="0" fillId="0" borderId="14" xfId="0" applyNumberFormat="1" applyBorder="1"/>
    <xf numFmtId="0" fontId="2" fillId="0" borderId="27" xfId="0" applyFont="1" applyBorder="1"/>
    <xf numFmtId="8" fontId="2" fillId="0" borderId="28" xfId="0" applyNumberFormat="1" applyFont="1" applyBorder="1"/>
    <xf numFmtId="3" fontId="0" fillId="0" borderId="14" xfId="0" applyNumberFormat="1" applyBorder="1"/>
    <xf numFmtId="8" fontId="2" fillId="0" borderId="24" xfId="0" applyNumberFormat="1" applyFont="1" applyBorder="1"/>
    <xf numFmtId="1" fontId="0" fillId="0" borderId="0" xfId="0" applyNumberFormat="1" applyBorder="1"/>
    <xf numFmtId="1" fontId="0" fillId="0" borderId="14" xfId="0" applyNumberFormat="1" applyBorder="1"/>
    <xf numFmtId="1" fontId="0" fillId="0" borderId="6" xfId="0" applyNumberFormat="1" applyBorder="1"/>
    <xf numFmtId="1" fontId="0" fillId="0" borderId="18" xfId="0" applyNumberFormat="1" applyBorder="1"/>
    <xf numFmtId="1" fontId="0" fillId="8" borderId="0" xfId="0" applyNumberFormat="1" applyFill="1" applyBorder="1"/>
    <xf numFmtId="1" fontId="0" fillId="5" borderId="0" xfId="0" applyNumberFormat="1" applyFill="1" applyBorder="1"/>
    <xf numFmtId="8" fontId="1" fillId="6" borderId="9" xfId="0" applyNumberFormat="1" applyFont="1" applyFill="1" applyBorder="1"/>
    <xf numFmtId="9" fontId="1" fillId="10" borderId="23" xfId="1" applyFont="1" applyFill="1" applyBorder="1"/>
    <xf numFmtId="2" fontId="1" fillId="10" borderId="24" xfId="1" applyNumberFormat="1" applyFont="1" applyFill="1" applyBorder="1"/>
    <xf numFmtId="0" fontId="0" fillId="0" borderId="0" xfId="0" applyFill="1"/>
    <xf numFmtId="0" fontId="0" fillId="0" borderId="0" xfId="0" applyFill="1" applyBorder="1"/>
    <xf numFmtId="0" fontId="0" fillId="0" borderId="1" xfId="0" applyBorder="1"/>
    <xf numFmtId="9" fontId="0" fillId="0" borderId="1" xfId="1" applyFont="1" applyBorder="1"/>
    <xf numFmtId="9" fontId="0" fillId="0" borderId="2" xfId="1" applyFont="1" applyBorder="1"/>
    <xf numFmtId="2" fontId="0" fillId="0" borderId="2" xfId="0" applyNumberFormat="1" applyBorder="1"/>
    <xf numFmtId="169" fontId="0" fillId="0" borderId="1" xfId="0" applyNumberFormat="1" applyBorder="1"/>
    <xf numFmtId="169" fontId="0" fillId="0" borderId="0" xfId="0" applyNumberFormat="1" applyBorder="1"/>
    <xf numFmtId="169" fontId="0" fillId="0" borderId="2" xfId="0" applyNumberFormat="1" applyBorder="1"/>
    <xf numFmtId="170" fontId="0" fillId="0" borderId="1" xfId="0" applyNumberFormat="1" applyBorder="1"/>
    <xf numFmtId="170" fontId="0" fillId="0" borderId="0" xfId="0" applyNumberFormat="1" applyBorder="1"/>
    <xf numFmtId="170" fontId="0" fillId="0" borderId="2" xfId="0" applyNumberFormat="1" applyBorder="1"/>
    <xf numFmtId="0" fontId="2" fillId="3" borderId="9" xfId="0" applyFont="1" applyFill="1" applyBorder="1"/>
    <xf numFmtId="0" fontId="2" fillId="0" borderId="9" xfId="0" applyFont="1" applyBorder="1"/>
    <xf numFmtId="9" fontId="2" fillId="0" borderId="9" xfId="1" applyFont="1" applyBorder="1"/>
    <xf numFmtId="9" fontId="2" fillId="3" borderId="9" xfId="1" applyFont="1" applyFill="1" applyBorder="1"/>
    <xf numFmtId="2" fontId="2" fillId="0" borderId="9" xfId="0" applyNumberFormat="1" applyFont="1" applyBorder="1"/>
    <xf numFmtId="9" fontId="2" fillId="0" borderId="3" xfId="1" applyFont="1" applyBorder="1"/>
    <xf numFmtId="0" fontId="18" fillId="0" borderId="0" xfId="0" applyFont="1"/>
    <xf numFmtId="0" fontId="19" fillId="0" borderId="0" xfId="0" applyFont="1"/>
    <xf numFmtId="0" fontId="20" fillId="0" borderId="0" xfId="0" applyFont="1" applyAlignment="1">
      <alignment vertical="center"/>
    </xf>
    <xf numFmtId="0" fontId="0" fillId="12" borderId="0" xfId="0" applyFill="1"/>
    <xf numFmtId="0" fontId="1" fillId="12" borderId="0" xfId="0" applyFont="1" applyFill="1"/>
    <xf numFmtId="165" fontId="1" fillId="12" borderId="0" xfId="0" applyNumberFormat="1" applyFont="1" applyFill="1"/>
    <xf numFmtId="166" fontId="1" fillId="12" borderId="0" xfId="0" applyNumberFormat="1" applyFont="1" applyFill="1"/>
    <xf numFmtId="0" fontId="3" fillId="12" borderId="0" xfId="0" applyFont="1" applyFill="1"/>
    <xf numFmtId="3" fontId="13" fillId="12" borderId="13" xfId="0" applyNumberFormat="1" applyFont="1" applyFill="1" applyBorder="1" applyAlignment="1">
      <alignment horizontal="left"/>
    </xf>
    <xf numFmtId="9" fontId="13" fillId="12" borderId="0" xfId="0" applyNumberFormat="1" applyFont="1" applyFill="1" applyBorder="1" applyAlignment="1">
      <alignment horizontal="left"/>
    </xf>
    <xf numFmtId="168" fontId="13" fillId="12" borderId="0" xfId="1" applyNumberFormat="1" applyFont="1" applyFill="1" applyBorder="1" applyAlignment="1">
      <alignment horizontal="left"/>
    </xf>
    <xf numFmtId="168" fontId="13" fillId="12" borderId="14" xfId="1" applyNumberFormat="1" applyFont="1" applyFill="1" applyBorder="1" applyAlignment="1">
      <alignment horizontal="left"/>
    </xf>
    <xf numFmtId="10" fontId="16" fillId="12" borderId="25" xfId="0" applyNumberFormat="1" applyFont="1" applyFill="1" applyBorder="1"/>
    <xf numFmtId="0" fontId="1" fillId="12" borderId="9" xfId="0" applyFont="1" applyFill="1" applyBorder="1"/>
    <xf numFmtId="9" fontId="1" fillId="12" borderId="0" xfId="0" applyNumberFormat="1" applyFont="1" applyFill="1" applyBorder="1"/>
    <xf numFmtId="9" fontId="1" fillId="12" borderId="0" xfId="1" applyFont="1" applyFill="1" applyBorder="1"/>
    <xf numFmtId="9" fontId="1" fillId="12" borderId="14" xfId="0" applyNumberFormat="1" applyFont="1" applyFill="1" applyBorder="1"/>
    <xf numFmtId="9" fontId="1" fillId="12" borderId="6" xfId="0" applyNumberFormat="1" applyFont="1" applyFill="1" applyBorder="1"/>
    <xf numFmtId="0" fontId="8" fillId="12" borderId="0" xfId="0" applyFont="1" applyFill="1"/>
    <xf numFmtId="0" fontId="3" fillId="0" borderId="34" xfId="0" applyFont="1" applyBorder="1"/>
    <xf numFmtId="9" fontId="3" fillId="0" borderId="34" xfId="1" applyFont="1" applyBorder="1"/>
    <xf numFmtId="9" fontId="3" fillId="0" borderId="34" xfId="0" applyNumberFormat="1" applyFont="1" applyBorder="1"/>
    <xf numFmtId="1" fontId="3" fillId="0" borderId="34" xfId="0" applyNumberFormat="1" applyFont="1" applyBorder="1"/>
    <xf numFmtId="164" fontId="3" fillId="0" borderId="34" xfId="0" applyNumberFormat="1" applyFont="1" applyBorder="1"/>
    <xf numFmtId="0" fontId="32" fillId="0" borderId="25" xfId="0" applyFont="1" applyBorder="1"/>
    <xf numFmtId="0" fontId="32" fillId="0" borderId="25" xfId="0" applyFont="1" applyBorder="1" applyAlignment="1">
      <alignment horizontal="center"/>
    </xf>
    <xf numFmtId="10" fontId="32" fillId="0" borderId="25" xfId="0" applyNumberFormat="1" applyFont="1" applyBorder="1" applyAlignment="1">
      <alignment horizontal="center"/>
    </xf>
    <xf numFmtId="0" fontId="33" fillId="0" borderId="25" xfId="0" applyFont="1" applyBorder="1"/>
    <xf numFmtId="3" fontId="32" fillId="0" borderId="25" xfId="0" applyNumberFormat="1" applyFont="1" applyBorder="1" applyAlignment="1">
      <alignment horizontal="center"/>
    </xf>
    <xf numFmtId="3" fontId="32" fillId="3" borderId="25" xfId="3" applyNumberFormat="1" applyFont="1" applyFill="1" applyBorder="1" applyAlignment="1">
      <alignment horizontal="center" vertical="center"/>
    </xf>
    <xf numFmtId="8" fontId="34" fillId="0" borderId="25" xfId="0" applyNumberFormat="1" applyFont="1" applyBorder="1" applyAlignment="1">
      <alignment horizontal="center" vertical="top"/>
    </xf>
    <xf numFmtId="0" fontId="30" fillId="12" borderId="0" xfId="0" applyFont="1" applyFill="1" applyAlignment="1">
      <alignment horizontal="centerContinuous"/>
    </xf>
    <xf numFmtId="0" fontId="31" fillId="12" borderId="0" xfId="0" applyFont="1" applyFill="1" applyAlignment="1">
      <alignment horizontal="centerContinuous"/>
    </xf>
    <xf numFmtId="0" fontId="28" fillId="0" borderId="35" xfId="0" applyNumberFormat="1" applyFont="1" applyBorder="1" applyAlignment="1">
      <alignment vertical="center" wrapText="1"/>
    </xf>
    <xf numFmtId="0" fontId="28" fillId="0" borderId="34" xfId="0" applyNumberFormat="1" applyFont="1" applyBorder="1" applyAlignment="1">
      <alignment vertical="center" wrapText="1"/>
    </xf>
    <xf numFmtId="0" fontId="26" fillId="0" borderId="34" xfId="0" applyNumberFormat="1" applyFont="1" applyBorder="1"/>
    <xf numFmtId="0" fontId="29" fillId="0" borderId="34" xfId="2" applyNumberFormat="1" applyFont="1" applyBorder="1"/>
    <xf numFmtId="0" fontId="25" fillId="0" borderId="34" xfId="0" applyNumberFormat="1" applyFont="1" applyBorder="1"/>
    <xf numFmtId="0" fontId="26" fillId="0" borderId="34" xfId="0" applyNumberFormat="1" applyFont="1" applyBorder="1" applyAlignment="1">
      <alignment vertical="top" wrapText="1"/>
    </xf>
    <xf numFmtId="0" fontId="24" fillId="0" borderId="36" xfId="0" applyNumberFormat="1" applyFont="1" applyBorder="1"/>
    <xf numFmtId="0" fontId="23" fillId="0" borderId="37" xfId="0" applyNumberFormat="1" applyFont="1" applyBorder="1"/>
    <xf numFmtId="0" fontId="23" fillId="0" borderId="38" xfId="0" applyNumberFormat="1" applyFont="1" applyBorder="1"/>
    <xf numFmtId="0" fontId="23" fillId="0" borderId="38" xfId="0" applyNumberFormat="1" applyFont="1" applyBorder="1" applyAlignment="1">
      <alignment vertical="top"/>
    </xf>
    <xf numFmtId="0" fontId="23" fillId="0" borderId="39" xfId="0" applyNumberFormat="1" applyFont="1" applyBorder="1"/>
    <xf numFmtId="0" fontId="0" fillId="11" borderId="12" xfId="0" applyFill="1" applyBorder="1"/>
    <xf numFmtId="0" fontId="0" fillId="11" borderId="18" xfId="0" applyFill="1" applyBorder="1"/>
    <xf numFmtId="0" fontId="2" fillId="9" borderId="40" xfId="0" applyFont="1" applyFill="1" applyBorder="1"/>
    <xf numFmtId="2" fontId="2" fillId="9" borderId="41" xfId="0" applyNumberFormat="1" applyFont="1" applyFill="1" applyBorder="1"/>
    <xf numFmtId="0" fontId="2" fillId="9" borderId="42" xfId="0" applyFont="1" applyFill="1" applyBorder="1"/>
    <xf numFmtId="2" fontId="2" fillId="9" borderId="43" xfId="0" applyNumberFormat="1" applyFont="1" applyFill="1" applyBorder="1"/>
    <xf numFmtId="0" fontId="2" fillId="9" borderId="32" xfId="0" applyFont="1" applyFill="1" applyBorder="1"/>
    <xf numFmtId="2" fontId="2" fillId="9" borderId="44" xfId="0" applyNumberFormat="1" applyFont="1" applyFill="1" applyBorder="1"/>
    <xf numFmtId="9" fontId="0" fillId="0" borderId="0" xfId="1" applyNumberFormat="1" applyFont="1" applyBorder="1"/>
    <xf numFmtId="0" fontId="2" fillId="9" borderId="11" xfId="0" applyFont="1" applyFill="1" applyBorder="1" applyAlignment="1">
      <alignment horizontal="center" wrapText="1"/>
    </xf>
    <xf numFmtId="0" fontId="2" fillId="9" borderId="12" xfId="0" applyFont="1" applyFill="1" applyBorder="1" applyAlignment="1">
      <alignment horizontal="center" wrapText="1"/>
    </xf>
    <xf numFmtId="0" fontId="1" fillId="12" borderId="3" xfId="0" applyFont="1" applyFill="1" applyBorder="1" applyAlignment="1">
      <alignment horizontal="center"/>
    </xf>
    <xf numFmtId="0" fontId="2" fillId="0" borderId="29" xfId="0" applyFont="1" applyBorder="1" applyAlignment="1">
      <alignment horizontal="center" textRotation="90" wrapText="1"/>
    </xf>
    <xf numFmtId="0" fontId="2" fillId="0" borderId="30" xfId="0" applyFont="1" applyBorder="1" applyAlignment="1">
      <alignment horizontal="center" textRotation="90" wrapText="1"/>
    </xf>
    <xf numFmtId="0" fontId="2" fillId="0" borderId="31" xfId="0" applyFont="1" applyBorder="1" applyAlignment="1">
      <alignment horizontal="center" textRotation="90" wrapText="1"/>
    </xf>
    <xf numFmtId="0" fontId="2" fillId="0" borderId="32" xfId="0" applyFont="1" applyBorder="1" applyAlignment="1">
      <alignment horizontal="center"/>
    </xf>
    <xf numFmtId="0" fontId="2" fillId="0" borderId="10" xfId="0" applyFont="1" applyBorder="1" applyAlignment="1">
      <alignment horizontal="center"/>
    </xf>
    <xf numFmtId="0" fontId="2" fillId="0" borderId="17" xfId="0" applyFont="1" applyBorder="1" applyAlignment="1">
      <alignment horizontal="center"/>
    </xf>
    <xf numFmtId="0" fontId="1" fillId="12" borderId="19" xfId="0" applyFont="1" applyFill="1" applyBorder="1" applyAlignment="1">
      <alignment horizontal="center"/>
    </xf>
    <xf numFmtId="0" fontId="1" fillId="12" borderId="33" xfId="0" applyFont="1" applyFill="1" applyBorder="1" applyAlignment="1">
      <alignment horizontal="center"/>
    </xf>
    <xf numFmtId="0" fontId="1" fillId="12" borderId="20" xfId="0" applyFont="1" applyFill="1" applyBorder="1" applyAlignment="1">
      <alignment horizontal="center"/>
    </xf>
    <xf numFmtId="0" fontId="1" fillId="12" borderId="11" xfId="0" applyFont="1" applyFill="1" applyBorder="1" applyAlignment="1">
      <alignment horizontal="center"/>
    </xf>
    <xf numFmtId="0" fontId="1" fillId="12" borderId="12" xfId="0" applyFont="1" applyFill="1" applyBorder="1" applyAlignment="1">
      <alignment horizontal="center"/>
    </xf>
    <xf numFmtId="0" fontId="1" fillId="12" borderId="0" xfId="0" applyFont="1" applyFill="1" applyAlignment="1">
      <alignment horizontal="center"/>
    </xf>
    <xf numFmtId="0" fontId="1" fillId="12" borderId="13" xfId="0" applyFont="1" applyFill="1" applyBorder="1" applyAlignment="1">
      <alignment horizontal="center"/>
    </xf>
    <xf numFmtId="0" fontId="1" fillId="12" borderId="0" xfId="0" applyFont="1" applyFill="1" applyBorder="1" applyAlignment="1">
      <alignment horizontal="center"/>
    </xf>
    <xf numFmtId="0" fontId="1" fillId="12" borderId="14" xfId="0" applyFont="1" applyFill="1" applyBorder="1" applyAlignment="1">
      <alignment horizontal="center"/>
    </xf>
    <xf numFmtId="0" fontId="1" fillId="2" borderId="0" xfId="0" applyFont="1" applyFill="1" applyAlignment="1">
      <alignment horizontal="center"/>
    </xf>
    <xf numFmtId="0" fontId="17" fillId="2" borderId="0" xfId="0" applyFont="1" applyFill="1" applyAlignment="1">
      <alignment horizontal="center"/>
    </xf>
    <xf numFmtId="0" fontId="21" fillId="12" borderId="0" xfId="0" applyFont="1" applyFill="1" applyAlignment="1">
      <alignment horizontal="center"/>
    </xf>
  </cellXfs>
  <cellStyles count="4">
    <cellStyle name="Hyperlink" xfId="2" builtinId="8"/>
    <cellStyle name="Normal" xfId="0" builtinId="0"/>
    <cellStyle name="Normal 2" xfId="3"/>
    <cellStyle name="Percent" xfId="1" builtinId="5"/>
  </cellStyles>
  <dxfs count="0"/>
  <tableStyles count="0" defaultTableStyle="TableStyleMedium2" defaultPivotStyle="PivotStyleLight16"/>
  <colors>
    <mruColors>
      <color rgb="FF00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Sales Growth(Y-O-Y)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'Ratio Analysis'!$B$9</c:f>
              <c:strCache>
                <c:ptCount val="1"/>
                <c:pt idx="0">
                  <c:v>Sales Growth</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'Ratio Analysis'!$C$7:$R$7</c:f>
              <c:numCache>
                <c:formatCode>0"A"</c:formatCode>
                <c:ptCount val="16"/>
                <c:pt idx="1">
                  <c:v>2020</c:v>
                </c:pt>
                <c:pt idx="2">
                  <c:v>2021</c:v>
                </c:pt>
                <c:pt idx="3">
                  <c:v>2022</c:v>
                </c:pt>
                <c:pt idx="4">
                  <c:v>2023</c:v>
                </c:pt>
                <c:pt idx="5">
                  <c:v>2024</c:v>
                </c:pt>
                <c:pt idx="6" formatCode="0&quot;F&quot;">
                  <c:v>2025</c:v>
                </c:pt>
                <c:pt idx="7" formatCode="0&quot;F&quot;">
                  <c:v>2026</c:v>
                </c:pt>
                <c:pt idx="8" formatCode="0&quot;F&quot;">
                  <c:v>2027</c:v>
                </c:pt>
                <c:pt idx="9" formatCode="0&quot;F&quot;">
                  <c:v>2028</c:v>
                </c:pt>
                <c:pt idx="10" formatCode="0&quot;F&quot;">
                  <c:v>2029</c:v>
                </c:pt>
                <c:pt idx="11" formatCode="0&quot;F&quot;">
                  <c:v>2030</c:v>
                </c:pt>
                <c:pt idx="12" formatCode="0&quot;F&quot;">
                  <c:v>2031</c:v>
                </c:pt>
                <c:pt idx="13" formatCode="0&quot;F&quot;">
                  <c:v>2032</c:v>
                </c:pt>
                <c:pt idx="14" formatCode="0&quot;F&quot;">
                  <c:v>2033</c:v>
                </c:pt>
                <c:pt idx="15" formatCode="0&quot;F&quot;">
                  <c:v>2034</c:v>
                </c:pt>
              </c:numCache>
            </c:numRef>
          </c:cat>
          <c:val>
            <c:numRef>
              <c:f>'Ratio Analysis'!$C$9:$R$9</c:f>
              <c:numCache>
                <c:formatCode>General</c:formatCode>
                <c:ptCount val="16"/>
                <c:pt idx="2" formatCode="0%">
                  <c:v>0.3664698889882243</c:v>
                </c:pt>
                <c:pt idx="3" formatCode="0%">
                  <c:v>0.49476702643394788</c:v>
                </c:pt>
                <c:pt idx="4" formatCode="0%">
                  <c:v>0.21884860959491026</c:v>
                </c:pt>
                <c:pt idx="5" formatCode="0%">
                  <c:v>0.2549015955639653</c:v>
                </c:pt>
                <c:pt idx="6" formatCode="0%">
                  <c:v>0.33374678014526182</c:v>
                </c:pt>
                <c:pt idx="7" formatCode="0%">
                  <c:v>0.30037210213073573</c:v>
                </c:pt>
                <c:pt idx="8" formatCode="0%">
                  <c:v>0.27033489191766225</c:v>
                </c:pt>
                <c:pt idx="9" formatCode="0%">
                  <c:v>0.24330140272589595</c:v>
                </c:pt>
                <c:pt idx="10" formatCode="0%">
                  <c:v>0.21897126245330645</c:v>
                </c:pt>
                <c:pt idx="11" formatCode="0%">
                  <c:v>0.19707413620797576</c:v>
                </c:pt>
                <c:pt idx="12" formatCode="0%">
                  <c:v>0.17736672258717823</c:v>
                </c:pt>
                <c:pt idx="13" formatCode="0%">
                  <c:v>0.15963005032846023</c:v>
                </c:pt>
                <c:pt idx="14" formatCode="0%">
                  <c:v>0.14366704529561436</c:v>
                </c:pt>
                <c:pt idx="15" formatCode="0%">
                  <c:v>0.1293003407660529</c:v>
                </c:pt>
              </c:numCache>
            </c:numRef>
          </c:val>
          <c:extLst>
            <c:ext xmlns:c16="http://schemas.microsoft.com/office/drawing/2014/chart" uri="{C3380CC4-5D6E-409C-BE32-E72D297353CC}">
              <c16:uniqueId val="{00000000-DBBC-41D6-BCD4-01F0D359E7F2}"/>
            </c:ext>
          </c:extLst>
        </c:ser>
        <c:dLbls>
          <c:showLegendKey val="0"/>
          <c:showVal val="0"/>
          <c:showCatName val="0"/>
          <c:showSerName val="0"/>
          <c:showPercent val="0"/>
          <c:showBubbleSize val="0"/>
        </c:dLbls>
        <c:gapWidth val="219"/>
        <c:overlap val="-27"/>
        <c:axId val="759204952"/>
        <c:axId val="759205608"/>
        <c:extLst>
          <c:ext xmlns:c15="http://schemas.microsoft.com/office/drawing/2012/chart" uri="{02D57815-91ED-43cb-92C2-25804820EDAC}">
            <c15:filteredBarSeries>
              <c15:ser>
                <c:idx val="0"/>
                <c:order val="0"/>
                <c:tx>
                  <c:strRef>
                    <c:extLst>
                      <c:ext uri="{02D57815-91ED-43cb-92C2-25804820EDAC}">
                        <c15:formulaRef>
                          <c15:sqref>'Ratio Analysis'!$B$8</c15:sqref>
                        </c15:formulaRef>
                      </c:ext>
                    </c:extLst>
                    <c:strCache>
                      <c:ptCount val="1"/>
                    </c:strCache>
                  </c:strRef>
                </c:tx>
                <c:spPr>
                  <a:solidFill>
                    <a:schemeClr val="accent1"/>
                  </a:solidFill>
                  <a:ln>
                    <a:noFill/>
                  </a:ln>
                  <a:effectLst/>
                </c:spPr>
                <c:invertIfNegative val="0"/>
                <c:cat>
                  <c:numRef>
                    <c:extLst>
                      <c:ext uri="{02D57815-91ED-43cb-92C2-25804820EDAC}">
                        <c15:formulaRef>
                          <c15:sqref>'Ratio Analysis'!$C$7:$R$7</c15:sqref>
                        </c15:formulaRef>
                      </c:ext>
                    </c:extLst>
                    <c:numCache>
                      <c:formatCode>0"A"</c:formatCode>
                      <c:ptCount val="16"/>
                      <c:pt idx="1">
                        <c:v>2020</c:v>
                      </c:pt>
                      <c:pt idx="2">
                        <c:v>2021</c:v>
                      </c:pt>
                      <c:pt idx="3">
                        <c:v>2022</c:v>
                      </c:pt>
                      <c:pt idx="4">
                        <c:v>2023</c:v>
                      </c:pt>
                      <c:pt idx="5">
                        <c:v>2024</c:v>
                      </c:pt>
                      <c:pt idx="6" formatCode="0&quot;F&quot;">
                        <c:v>2025</c:v>
                      </c:pt>
                      <c:pt idx="7" formatCode="0&quot;F&quot;">
                        <c:v>2026</c:v>
                      </c:pt>
                      <c:pt idx="8" formatCode="0&quot;F&quot;">
                        <c:v>2027</c:v>
                      </c:pt>
                      <c:pt idx="9" formatCode="0&quot;F&quot;">
                        <c:v>2028</c:v>
                      </c:pt>
                      <c:pt idx="10" formatCode="0&quot;F&quot;">
                        <c:v>2029</c:v>
                      </c:pt>
                      <c:pt idx="11" formatCode="0&quot;F&quot;">
                        <c:v>2030</c:v>
                      </c:pt>
                      <c:pt idx="12" formatCode="0&quot;F&quot;">
                        <c:v>2031</c:v>
                      </c:pt>
                      <c:pt idx="13" formatCode="0&quot;F&quot;">
                        <c:v>2032</c:v>
                      </c:pt>
                      <c:pt idx="14" formatCode="0&quot;F&quot;">
                        <c:v>2033</c:v>
                      </c:pt>
                      <c:pt idx="15" formatCode="0&quot;F&quot;">
                        <c:v>2034</c:v>
                      </c:pt>
                    </c:numCache>
                  </c:numRef>
                </c:cat>
                <c:val>
                  <c:numRef>
                    <c:extLst>
                      <c:ext uri="{02D57815-91ED-43cb-92C2-25804820EDAC}">
                        <c15:formulaRef>
                          <c15:sqref>'Ratio Analysis'!$C$8:$R$8</c15:sqref>
                        </c15:formulaRef>
                      </c:ext>
                    </c:extLst>
                    <c:numCache>
                      <c:formatCode>General</c:formatCode>
                      <c:ptCount val="16"/>
                    </c:numCache>
                  </c:numRef>
                </c:val>
                <c:extLst>
                  <c:ext xmlns:c16="http://schemas.microsoft.com/office/drawing/2014/chart" uri="{C3380CC4-5D6E-409C-BE32-E72D297353CC}">
                    <c16:uniqueId val="{00000001-DBBC-41D6-BCD4-01F0D359E7F2}"/>
                  </c:ext>
                </c:extLst>
              </c15:ser>
            </c15:filteredBarSeries>
          </c:ext>
        </c:extLst>
      </c:barChart>
      <c:catAx>
        <c:axId val="759204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9205608"/>
        <c:crosses val="autoZero"/>
        <c:auto val="1"/>
        <c:lblAlgn val="ctr"/>
        <c:lblOffset val="100"/>
        <c:noMultiLvlLbl val="0"/>
      </c:catAx>
      <c:valAx>
        <c:axId val="7592056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92049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Net Profit Growth (Y-O-Y)</a:t>
            </a:r>
            <a:r>
              <a:rPr lang="en-IN"/>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'Ratio Analysis'!$B$12</c:f>
              <c:strCache>
                <c:ptCount val="1"/>
                <c:pt idx="0">
                  <c:v>Net Profit Growth </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'Ratio Analysis'!$C$7:$R$7</c:f>
              <c:numCache>
                <c:formatCode>0"A"</c:formatCode>
                <c:ptCount val="16"/>
                <c:pt idx="1">
                  <c:v>2020</c:v>
                </c:pt>
                <c:pt idx="2">
                  <c:v>2021</c:v>
                </c:pt>
                <c:pt idx="3">
                  <c:v>2022</c:v>
                </c:pt>
                <c:pt idx="4">
                  <c:v>2023</c:v>
                </c:pt>
                <c:pt idx="5">
                  <c:v>2024</c:v>
                </c:pt>
                <c:pt idx="6" formatCode="0&quot;F&quot;">
                  <c:v>2025</c:v>
                </c:pt>
                <c:pt idx="7" formatCode="0&quot;F&quot;">
                  <c:v>2026</c:v>
                </c:pt>
                <c:pt idx="8" formatCode="0&quot;F&quot;">
                  <c:v>2027</c:v>
                </c:pt>
                <c:pt idx="9" formatCode="0&quot;F&quot;">
                  <c:v>2028</c:v>
                </c:pt>
                <c:pt idx="10" formatCode="0&quot;F&quot;">
                  <c:v>2029</c:v>
                </c:pt>
                <c:pt idx="11" formatCode="0&quot;F&quot;">
                  <c:v>2030</c:v>
                </c:pt>
                <c:pt idx="12" formatCode="0&quot;F&quot;">
                  <c:v>2031</c:v>
                </c:pt>
                <c:pt idx="13" formatCode="0&quot;F&quot;">
                  <c:v>2032</c:v>
                </c:pt>
                <c:pt idx="14" formatCode="0&quot;F&quot;">
                  <c:v>2033</c:v>
                </c:pt>
                <c:pt idx="15" formatCode="0&quot;F&quot;">
                  <c:v>2034</c:v>
                </c:pt>
              </c:numCache>
            </c:numRef>
          </c:cat>
          <c:val>
            <c:numRef>
              <c:f>'Ratio Analysis'!$C$12:$R$12</c:f>
              <c:numCache>
                <c:formatCode>General</c:formatCode>
                <c:ptCount val="16"/>
                <c:pt idx="2" formatCode="0%">
                  <c:v>1.0881963551477747</c:v>
                </c:pt>
                <c:pt idx="3" formatCode="0%">
                  <c:v>1.0777559741144018</c:v>
                </c:pt>
                <c:pt idx="4" formatCode="0%">
                  <c:v>0.35590866220161876</c:v>
                </c:pt>
                <c:pt idx="5" formatCode="0%">
                  <c:v>0.2533393789076388</c:v>
                </c:pt>
                <c:pt idx="6" formatCode="0%">
                  <c:v>0.29668220550236168</c:v>
                </c:pt>
                <c:pt idx="7" formatCode="0%">
                  <c:v>0.3429697231965827</c:v>
                </c:pt>
                <c:pt idx="8" formatCode="0%">
                  <c:v>0.30612693197021046</c:v>
                </c:pt>
                <c:pt idx="9" formatCode="0%">
                  <c:v>0.27317795074792661</c:v>
                </c:pt>
                <c:pt idx="10" formatCode="0%">
                  <c:v>0.24399169009477517</c:v>
                </c:pt>
                <c:pt idx="11" formatCode="0%">
                  <c:v>0.21819026405802555</c:v>
                </c:pt>
                <c:pt idx="12" formatCode="0%">
                  <c:v>0.19535945120707265</c:v>
                </c:pt>
                <c:pt idx="13" formatCode="0%">
                  <c:v>0.17511718116857766</c:v>
                </c:pt>
                <c:pt idx="14" formatCode="0%">
                  <c:v>0.15713047182487738</c:v>
                </c:pt>
                <c:pt idx="15" formatCode="0%">
                  <c:v>0.14111461345737641</c:v>
                </c:pt>
              </c:numCache>
            </c:numRef>
          </c:val>
          <c:extLst>
            <c:ext xmlns:c16="http://schemas.microsoft.com/office/drawing/2014/chart" uri="{C3380CC4-5D6E-409C-BE32-E72D297353CC}">
              <c16:uniqueId val="{00000000-93CF-4572-8CCC-B8542597B2F1}"/>
            </c:ext>
          </c:extLst>
        </c:ser>
        <c:dLbls>
          <c:dLblPos val="outEnd"/>
          <c:showLegendKey val="0"/>
          <c:showVal val="1"/>
          <c:showCatName val="0"/>
          <c:showSerName val="0"/>
          <c:showPercent val="0"/>
          <c:showBubbleSize val="0"/>
        </c:dLbls>
        <c:gapWidth val="219"/>
        <c:overlap val="-27"/>
        <c:axId val="657734520"/>
        <c:axId val="759207576"/>
      </c:barChart>
      <c:catAx>
        <c:axId val="657734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9207576"/>
        <c:crosses val="autoZero"/>
        <c:auto val="1"/>
        <c:lblAlgn val="ctr"/>
        <c:lblOffset val="100"/>
        <c:noMultiLvlLbl val="0"/>
      </c:catAx>
      <c:valAx>
        <c:axId val="7592075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773452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EBITDA GROWTH</a:t>
            </a:r>
            <a:r>
              <a:rPr lang="en-IN" b="1" baseline="0"/>
              <a:t> &amp; EBITDA MARGIN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'Ratio Analysis'!$B$10</c:f>
              <c:strCache>
                <c:ptCount val="1"/>
                <c:pt idx="0">
                  <c:v>EBITA Growth</c:v>
                </c:pt>
              </c:strCache>
            </c:strRef>
          </c:tx>
          <c:spPr>
            <a:solidFill>
              <a:schemeClr val="accent1"/>
            </a:solidFill>
            <a:ln>
              <a:noFill/>
            </a:ln>
            <a:effectLst/>
          </c:spPr>
          <c:invertIfNegative val="0"/>
          <c:cat>
            <c:numRef>
              <c:f>'Ratio Analysis'!$C$7:$R$7</c:f>
              <c:numCache>
                <c:formatCode>0"A"</c:formatCode>
                <c:ptCount val="16"/>
                <c:pt idx="1">
                  <c:v>2020</c:v>
                </c:pt>
                <c:pt idx="2">
                  <c:v>2021</c:v>
                </c:pt>
                <c:pt idx="3">
                  <c:v>2022</c:v>
                </c:pt>
                <c:pt idx="4">
                  <c:v>2023</c:v>
                </c:pt>
                <c:pt idx="5">
                  <c:v>2024</c:v>
                </c:pt>
                <c:pt idx="6" formatCode="0&quot;F&quot;">
                  <c:v>2025</c:v>
                </c:pt>
                <c:pt idx="7" formatCode="0&quot;F&quot;">
                  <c:v>2026</c:v>
                </c:pt>
                <c:pt idx="8" formatCode="0&quot;F&quot;">
                  <c:v>2027</c:v>
                </c:pt>
                <c:pt idx="9" formatCode="0&quot;F&quot;">
                  <c:v>2028</c:v>
                </c:pt>
                <c:pt idx="10" formatCode="0&quot;F&quot;">
                  <c:v>2029</c:v>
                </c:pt>
                <c:pt idx="11" formatCode="0&quot;F&quot;">
                  <c:v>2030</c:v>
                </c:pt>
                <c:pt idx="12" formatCode="0&quot;F&quot;">
                  <c:v>2031</c:v>
                </c:pt>
                <c:pt idx="13" formatCode="0&quot;F&quot;">
                  <c:v>2032</c:v>
                </c:pt>
                <c:pt idx="14" formatCode="0&quot;F&quot;">
                  <c:v>2033</c:v>
                </c:pt>
                <c:pt idx="15" formatCode="0&quot;F&quot;">
                  <c:v>2034</c:v>
                </c:pt>
              </c:numCache>
            </c:numRef>
          </c:cat>
          <c:val>
            <c:numRef>
              <c:f>'Ratio Analysis'!$C$10:$R$10</c:f>
              <c:numCache>
                <c:formatCode>General</c:formatCode>
                <c:ptCount val="16"/>
                <c:pt idx="2" formatCode="0%">
                  <c:v>0.37672772717137026</c:v>
                </c:pt>
                <c:pt idx="3" formatCode="0%">
                  <c:v>0.68501702782167651</c:v>
                </c:pt>
                <c:pt idx="4" formatCode="0%">
                  <c:v>0.29460153043016701</c:v>
                </c:pt>
                <c:pt idx="5" formatCode="0%">
                  <c:v>0.30519201492733727</c:v>
                </c:pt>
                <c:pt idx="6" formatCode="0%">
                  <c:v>0.19149055215377198</c:v>
                </c:pt>
                <c:pt idx="7" formatCode="0%">
                  <c:v>0.30037210213073529</c:v>
                </c:pt>
                <c:pt idx="8" formatCode="0%">
                  <c:v>0.27033489191766269</c:v>
                </c:pt>
                <c:pt idx="9" formatCode="0%">
                  <c:v>0.24330140272589573</c:v>
                </c:pt>
                <c:pt idx="10" formatCode="0%">
                  <c:v>0.218971262453306</c:v>
                </c:pt>
                <c:pt idx="11" formatCode="0%">
                  <c:v>0.19707413620797576</c:v>
                </c:pt>
                <c:pt idx="12" formatCode="0%">
                  <c:v>0.17736672258717823</c:v>
                </c:pt>
                <c:pt idx="13" formatCode="0%">
                  <c:v>0.15963005032846067</c:v>
                </c:pt>
                <c:pt idx="14" formatCode="0%">
                  <c:v>0.14366704529561369</c:v>
                </c:pt>
                <c:pt idx="15" formatCode="0%">
                  <c:v>0.12930034076605335</c:v>
                </c:pt>
              </c:numCache>
            </c:numRef>
          </c:val>
          <c:extLst>
            <c:ext xmlns:c16="http://schemas.microsoft.com/office/drawing/2014/chart" uri="{C3380CC4-5D6E-409C-BE32-E72D297353CC}">
              <c16:uniqueId val="{00000000-749E-4F56-9071-DB24E5B41270}"/>
            </c:ext>
          </c:extLst>
        </c:ser>
        <c:dLbls>
          <c:showLegendKey val="0"/>
          <c:showVal val="0"/>
          <c:showCatName val="0"/>
          <c:showSerName val="0"/>
          <c:showPercent val="0"/>
          <c:showBubbleSize val="0"/>
        </c:dLbls>
        <c:gapWidth val="150"/>
        <c:axId val="782398000"/>
        <c:axId val="782405872"/>
      </c:barChart>
      <c:lineChart>
        <c:grouping val="standard"/>
        <c:varyColors val="0"/>
        <c:ser>
          <c:idx val="1"/>
          <c:order val="1"/>
          <c:tx>
            <c:strRef>
              <c:f>'Ratio Analysis'!$B$15</c:f>
              <c:strCache>
                <c:ptCount val="1"/>
                <c:pt idx="0">
                  <c:v>EBITDA Margin</c:v>
                </c:pt>
              </c:strCache>
            </c:strRef>
          </c:tx>
          <c:spPr>
            <a:ln w="28575" cap="rnd">
              <a:solidFill>
                <a:schemeClr val="accent2"/>
              </a:solidFill>
              <a:round/>
            </a:ln>
            <a:effectLst/>
          </c:spPr>
          <c:marker>
            <c:symbol val="none"/>
          </c:marker>
          <c:cat>
            <c:numRef>
              <c:f>'Ratio Analysis'!$C$7:$R$7</c:f>
              <c:numCache>
                <c:formatCode>0"A"</c:formatCode>
                <c:ptCount val="16"/>
                <c:pt idx="1">
                  <c:v>2020</c:v>
                </c:pt>
                <c:pt idx="2">
                  <c:v>2021</c:v>
                </c:pt>
                <c:pt idx="3">
                  <c:v>2022</c:v>
                </c:pt>
                <c:pt idx="4">
                  <c:v>2023</c:v>
                </c:pt>
                <c:pt idx="5">
                  <c:v>2024</c:v>
                </c:pt>
                <c:pt idx="6" formatCode="0&quot;F&quot;">
                  <c:v>2025</c:v>
                </c:pt>
                <c:pt idx="7" formatCode="0&quot;F&quot;">
                  <c:v>2026</c:v>
                </c:pt>
                <c:pt idx="8" formatCode="0&quot;F&quot;">
                  <c:v>2027</c:v>
                </c:pt>
                <c:pt idx="9" formatCode="0&quot;F&quot;">
                  <c:v>2028</c:v>
                </c:pt>
                <c:pt idx="10" formatCode="0&quot;F&quot;">
                  <c:v>2029</c:v>
                </c:pt>
                <c:pt idx="11" formatCode="0&quot;F&quot;">
                  <c:v>2030</c:v>
                </c:pt>
                <c:pt idx="12" formatCode="0&quot;F&quot;">
                  <c:v>2031</c:v>
                </c:pt>
                <c:pt idx="13" formatCode="0&quot;F&quot;">
                  <c:v>2032</c:v>
                </c:pt>
                <c:pt idx="14" formatCode="0&quot;F&quot;">
                  <c:v>2033</c:v>
                </c:pt>
                <c:pt idx="15" formatCode="0&quot;F&quot;">
                  <c:v>2034</c:v>
                </c:pt>
              </c:numCache>
            </c:numRef>
          </c:cat>
          <c:val>
            <c:numRef>
              <c:f>'Ratio Analysis'!$C$15:$R$15</c:f>
              <c:numCache>
                <c:formatCode>0%</c:formatCode>
                <c:ptCount val="16"/>
                <c:pt idx="1">
                  <c:v>0.18332921229490079</c:v>
                </c:pt>
                <c:pt idx="2">
                  <c:v>0.18470543098008319</c:v>
                </c:pt>
                <c:pt idx="3">
                  <c:v>0.20821425066826932</c:v>
                </c:pt>
                <c:pt idx="4">
                  <c:v>0.22115501913080043</c:v>
                </c:pt>
                <c:pt idx="5">
                  <c:v>0.2300178484520144</c:v>
                </c:pt>
                <c:pt idx="6">
                  <c:v>0.20548435230521364</c:v>
                </c:pt>
                <c:pt idx="7">
                  <c:v>0.20548435230521359</c:v>
                </c:pt>
                <c:pt idx="8">
                  <c:v>0.20548435230521367</c:v>
                </c:pt>
                <c:pt idx="9">
                  <c:v>0.20548435230521361</c:v>
                </c:pt>
                <c:pt idx="10">
                  <c:v>0.20548435230521356</c:v>
                </c:pt>
                <c:pt idx="11">
                  <c:v>0.20548435230521359</c:v>
                </c:pt>
                <c:pt idx="12">
                  <c:v>0.20548435230521361</c:v>
                </c:pt>
                <c:pt idx="13">
                  <c:v>0.20548435230521367</c:v>
                </c:pt>
                <c:pt idx="14">
                  <c:v>0.20548435230521353</c:v>
                </c:pt>
                <c:pt idx="15">
                  <c:v>0.20548435230521359</c:v>
                </c:pt>
              </c:numCache>
            </c:numRef>
          </c:val>
          <c:smooth val="0"/>
          <c:extLst>
            <c:ext xmlns:c16="http://schemas.microsoft.com/office/drawing/2014/chart" uri="{C3380CC4-5D6E-409C-BE32-E72D297353CC}">
              <c16:uniqueId val="{00000001-749E-4F56-9071-DB24E5B41270}"/>
            </c:ext>
          </c:extLst>
        </c:ser>
        <c:dLbls>
          <c:showLegendKey val="0"/>
          <c:showVal val="0"/>
          <c:showCatName val="0"/>
          <c:showSerName val="0"/>
          <c:showPercent val="0"/>
          <c:showBubbleSize val="0"/>
        </c:dLbls>
        <c:marker val="1"/>
        <c:smooth val="0"/>
        <c:axId val="782398000"/>
        <c:axId val="782405872"/>
      </c:lineChart>
      <c:catAx>
        <c:axId val="782398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405872"/>
        <c:crosses val="autoZero"/>
        <c:auto val="1"/>
        <c:lblAlgn val="ctr"/>
        <c:lblOffset val="100"/>
        <c:noMultiLvlLbl val="0"/>
      </c:catAx>
      <c:valAx>
        <c:axId val="7824058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3980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NET PROFIT GROWTH &amp;</a:t>
            </a:r>
            <a:r>
              <a:rPr lang="en-IN" b="1" baseline="0"/>
              <a:t> NET PROFIT MARGIN</a:t>
            </a:r>
          </a:p>
        </c:rich>
      </c:tx>
      <c:layout>
        <c:manualLayout>
          <c:xMode val="edge"/>
          <c:yMode val="edge"/>
          <c:x val="0.17593292641698477"/>
          <c:y val="2.389486260454002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'Ratio Analysis'!$B$12</c:f>
              <c:strCache>
                <c:ptCount val="1"/>
                <c:pt idx="0">
                  <c:v>Net Profit Growth </c:v>
                </c:pt>
              </c:strCache>
            </c:strRef>
          </c:tx>
          <c:spPr>
            <a:solidFill>
              <a:schemeClr val="accent1"/>
            </a:solidFill>
            <a:ln>
              <a:noFill/>
            </a:ln>
            <a:effectLst/>
          </c:spPr>
          <c:invertIfNegative val="0"/>
          <c:cat>
            <c:numRef>
              <c:f>'Ratio Analysis'!$C$7:$R$7</c:f>
              <c:numCache>
                <c:formatCode>0"A"</c:formatCode>
                <c:ptCount val="16"/>
                <c:pt idx="1">
                  <c:v>2020</c:v>
                </c:pt>
                <c:pt idx="2">
                  <c:v>2021</c:v>
                </c:pt>
                <c:pt idx="3">
                  <c:v>2022</c:v>
                </c:pt>
                <c:pt idx="4">
                  <c:v>2023</c:v>
                </c:pt>
                <c:pt idx="5">
                  <c:v>2024</c:v>
                </c:pt>
                <c:pt idx="6" formatCode="0&quot;F&quot;">
                  <c:v>2025</c:v>
                </c:pt>
                <c:pt idx="7" formatCode="0&quot;F&quot;">
                  <c:v>2026</c:v>
                </c:pt>
                <c:pt idx="8" formatCode="0&quot;F&quot;">
                  <c:v>2027</c:v>
                </c:pt>
                <c:pt idx="9" formatCode="0&quot;F&quot;">
                  <c:v>2028</c:v>
                </c:pt>
                <c:pt idx="10" formatCode="0&quot;F&quot;">
                  <c:v>2029</c:v>
                </c:pt>
                <c:pt idx="11" formatCode="0&quot;F&quot;">
                  <c:v>2030</c:v>
                </c:pt>
                <c:pt idx="12" formatCode="0&quot;F&quot;">
                  <c:v>2031</c:v>
                </c:pt>
                <c:pt idx="13" formatCode="0&quot;F&quot;">
                  <c:v>2032</c:v>
                </c:pt>
                <c:pt idx="14" formatCode="0&quot;F&quot;">
                  <c:v>2033</c:v>
                </c:pt>
                <c:pt idx="15" formatCode="0&quot;F&quot;">
                  <c:v>2034</c:v>
                </c:pt>
              </c:numCache>
            </c:numRef>
          </c:cat>
          <c:val>
            <c:numRef>
              <c:f>'Ratio Analysis'!$C$12:$R$12</c:f>
              <c:numCache>
                <c:formatCode>General</c:formatCode>
                <c:ptCount val="16"/>
                <c:pt idx="2" formatCode="0%">
                  <c:v>1.0881963551477747</c:v>
                </c:pt>
                <c:pt idx="3" formatCode="0%">
                  <c:v>1.0777559741144018</c:v>
                </c:pt>
                <c:pt idx="4" formatCode="0%">
                  <c:v>0.35590866220161876</c:v>
                </c:pt>
                <c:pt idx="5" formatCode="0%">
                  <c:v>0.2533393789076388</c:v>
                </c:pt>
                <c:pt idx="6" formatCode="0%">
                  <c:v>0.29668220550236168</c:v>
                </c:pt>
                <c:pt idx="7" formatCode="0%">
                  <c:v>0.3429697231965827</c:v>
                </c:pt>
                <c:pt idx="8" formatCode="0%">
                  <c:v>0.30612693197021046</c:v>
                </c:pt>
                <c:pt idx="9" formatCode="0%">
                  <c:v>0.27317795074792661</c:v>
                </c:pt>
                <c:pt idx="10" formatCode="0%">
                  <c:v>0.24399169009477517</c:v>
                </c:pt>
                <c:pt idx="11" formatCode="0%">
                  <c:v>0.21819026405802555</c:v>
                </c:pt>
                <c:pt idx="12" formatCode="0%">
                  <c:v>0.19535945120707265</c:v>
                </c:pt>
                <c:pt idx="13" formatCode="0%">
                  <c:v>0.17511718116857766</c:v>
                </c:pt>
                <c:pt idx="14" formatCode="0%">
                  <c:v>0.15713047182487738</c:v>
                </c:pt>
                <c:pt idx="15" formatCode="0%">
                  <c:v>0.14111461345737641</c:v>
                </c:pt>
              </c:numCache>
            </c:numRef>
          </c:val>
          <c:extLst>
            <c:ext xmlns:c16="http://schemas.microsoft.com/office/drawing/2014/chart" uri="{C3380CC4-5D6E-409C-BE32-E72D297353CC}">
              <c16:uniqueId val="{00000000-E0B7-4750-9429-0836EC9D51DA}"/>
            </c:ext>
          </c:extLst>
        </c:ser>
        <c:dLbls>
          <c:showLegendKey val="0"/>
          <c:showVal val="0"/>
          <c:showCatName val="0"/>
          <c:showSerName val="0"/>
          <c:showPercent val="0"/>
          <c:showBubbleSize val="0"/>
        </c:dLbls>
        <c:gapWidth val="150"/>
        <c:axId val="485096120"/>
        <c:axId val="485102352"/>
      </c:barChart>
      <c:lineChart>
        <c:grouping val="standard"/>
        <c:varyColors val="0"/>
        <c:ser>
          <c:idx val="1"/>
          <c:order val="1"/>
          <c:tx>
            <c:strRef>
              <c:f>'Ratio Analysis'!$B$18</c:f>
              <c:strCache>
                <c:ptCount val="1"/>
                <c:pt idx="0">
                  <c:v>Net Profit Margin</c:v>
                </c:pt>
              </c:strCache>
            </c:strRef>
          </c:tx>
          <c:spPr>
            <a:ln w="28575" cap="rnd">
              <a:solidFill>
                <a:schemeClr val="accent2"/>
              </a:solidFill>
              <a:round/>
            </a:ln>
            <a:effectLst/>
          </c:spPr>
          <c:marker>
            <c:symbol val="none"/>
          </c:marker>
          <c:cat>
            <c:numRef>
              <c:f>'Ratio Analysis'!$C$7:$R$7</c:f>
              <c:numCache>
                <c:formatCode>0"A"</c:formatCode>
                <c:ptCount val="16"/>
                <c:pt idx="1">
                  <c:v>2020</c:v>
                </c:pt>
                <c:pt idx="2">
                  <c:v>2021</c:v>
                </c:pt>
                <c:pt idx="3">
                  <c:v>2022</c:v>
                </c:pt>
                <c:pt idx="4">
                  <c:v>2023</c:v>
                </c:pt>
                <c:pt idx="5">
                  <c:v>2024</c:v>
                </c:pt>
                <c:pt idx="6" formatCode="0&quot;F&quot;">
                  <c:v>2025</c:v>
                </c:pt>
                <c:pt idx="7" formatCode="0&quot;F&quot;">
                  <c:v>2026</c:v>
                </c:pt>
                <c:pt idx="8" formatCode="0&quot;F&quot;">
                  <c:v>2027</c:v>
                </c:pt>
                <c:pt idx="9" formatCode="0&quot;F&quot;">
                  <c:v>2028</c:v>
                </c:pt>
                <c:pt idx="10" formatCode="0&quot;F&quot;">
                  <c:v>2029</c:v>
                </c:pt>
                <c:pt idx="11" formatCode="0&quot;F&quot;">
                  <c:v>2030</c:v>
                </c:pt>
                <c:pt idx="12" formatCode="0&quot;F&quot;">
                  <c:v>2031</c:v>
                </c:pt>
                <c:pt idx="13" formatCode="0&quot;F&quot;">
                  <c:v>2032</c:v>
                </c:pt>
                <c:pt idx="14" formatCode="0&quot;F&quot;">
                  <c:v>2033</c:v>
                </c:pt>
                <c:pt idx="15" formatCode="0&quot;F&quot;">
                  <c:v>2034</c:v>
                </c:pt>
              </c:numCache>
            </c:numRef>
          </c:cat>
          <c:val>
            <c:numRef>
              <c:f>'Ratio Analysis'!$C$18:$R$18</c:f>
              <c:numCache>
                <c:formatCode>0%</c:formatCode>
                <c:ptCount val="16"/>
                <c:pt idx="1">
                  <c:v>5.4497008827767694E-2</c:v>
                </c:pt>
                <c:pt idx="2">
                  <c:v>8.3280616805147381E-2</c:v>
                </c:pt>
                <c:pt idx="3">
                  <c:v>0.1157617180702999</c:v>
                </c:pt>
                <c:pt idx="4">
                  <c:v>0.1287791732683097</c:v>
                </c:pt>
                <c:pt idx="5">
                  <c:v>0.12861885713660751</c:v>
                </c:pt>
                <c:pt idx="6">
                  <c:v>0.12504456304886089</c:v>
                </c:pt>
                <c:pt idx="7">
                  <c:v>0.12914077589776146</c:v>
                </c:pt>
                <c:pt idx="8">
                  <c:v>0.13277935329397256</c:v>
                </c:pt>
                <c:pt idx="9">
                  <c:v>0.13597004278915376</c:v>
                </c:pt>
                <c:pt idx="10">
                  <c:v>0.13876094420069851</c:v>
                </c:pt>
                <c:pt idx="11">
                  <c:v>0.14120865712816794</c:v>
                </c:pt>
                <c:pt idx="12">
                  <c:v>0.14336663305677566</c:v>
                </c:pt>
                <c:pt idx="13">
                  <c:v>0.14528132800938443</c:v>
                </c:pt>
                <c:pt idx="14">
                  <c:v>0.14699160242340545</c:v>
                </c:pt>
                <c:pt idx="15">
                  <c:v>0.14852936772079897</c:v>
                </c:pt>
              </c:numCache>
            </c:numRef>
          </c:val>
          <c:smooth val="0"/>
          <c:extLst>
            <c:ext xmlns:c16="http://schemas.microsoft.com/office/drawing/2014/chart" uri="{C3380CC4-5D6E-409C-BE32-E72D297353CC}">
              <c16:uniqueId val="{00000001-E0B7-4750-9429-0836EC9D51DA}"/>
            </c:ext>
          </c:extLst>
        </c:ser>
        <c:dLbls>
          <c:showLegendKey val="0"/>
          <c:showVal val="0"/>
          <c:showCatName val="0"/>
          <c:showSerName val="0"/>
          <c:showPercent val="0"/>
          <c:showBubbleSize val="0"/>
        </c:dLbls>
        <c:marker val="1"/>
        <c:smooth val="0"/>
        <c:axId val="485096120"/>
        <c:axId val="485102352"/>
      </c:lineChart>
      <c:catAx>
        <c:axId val="485096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102352"/>
        <c:crosses val="autoZero"/>
        <c:auto val="1"/>
        <c:lblAlgn val="ctr"/>
        <c:lblOffset val="100"/>
        <c:noMultiLvlLbl val="0"/>
      </c:catAx>
      <c:valAx>
        <c:axId val="48510235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0961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image" Target="../media/image2.png"/><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4</xdr:col>
      <xdr:colOff>250031</xdr:colOff>
      <xdr:row>4</xdr:row>
      <xdr:rowOff>0</xdr:rowOff>
    </xdr:from>
    <xdr:to>
      <xdr:col>19</xdr:col>
      <xdr:colOff>511968</xdr:colOff>
      <xdr:row>17</xdr:row>
      <xdr:rowOff>28125</xdr:rowOff>
    </xdr:to>
    <xdr:pic>
      <xdr:nvPicPr>
        <xdr:cNvPr id="2" name="Picture 1"/>
        <xdr:cNvPicPr>
          <a:picLocks noChangeAspect="1"/>
        </xdr:cNvPicPr>
      </xdr:nvPicPr>
      <xdr:blipFill>
        <a:blip xmlns:r="http://schemas.openxmlformats.org/officeDocument/2006/relationships" r:embed="rId1"/>
        <a:stretch>
          <a:fillRect/>
        </a:stretch>
      </xdr:blipFill>
      <xdr:spPr>
        <a:xfrm>
          <a:off x="4595812" y="762000"/>
          <a:ext cx="8096249" cy="3600000"/>
        </a:xfrm>
        <a:prstGeom prst="rect">
          <a:avLst/>
        </a:prstGeom>
      </xdr:spPr>
    </xdr:pic>
    <xdr:clientData/>
  </xdr:twoCellAnchor>
  <xdr:twoCellAnchor editAs="oneCell">
    <xdr:from>
      <xdr:col>1</xdr:col>
      <xdr:colOff>71439</xdr:colOff>
      <xdr:row>1</xdr:row>
      <xdr:rowOff>71437</xdr:rowOff>
    </xdr:from>
    <xdr:to>
      <xdr:col>1</xdr:col>
      <xdr:colOff>1452563</xdr:colOff>
      <xdr:row>6</xdr:row>
      <xdr:rowOff>2379</xdr:rowOff>
    </xdr:to>
    <xdr:pic>
      <xdr:nvPicPr>
        <xdr:cNvPr id="3" name="Picture 2"/>
        <xdr:cNvPicPr>
          <a:picLocks noChangeAspect="1"/>
        </xdr:cNvPicPr>
      </xdr:nvPicPr>
      <xdr:blipFill>
        <a:blip xmlns:r="http://schemas.openxmlformats.org/officeDocument/2006/relationships" r:embed="rId2"/>
        <a:stretch>
          <a:fillRect/>
        </a:stretch>
      </xdr:blipFill>
      <xdr:spPr>
        <a:xfrm>
          <a:off x="190502" y="166687"/>
          <a:ext cx="1381124" cy="88344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704850</xdr:colOff>
      <xdr:row>1</xdr:row>
      <xdr:rowOff>28576</xdr:rowOff>
    </xdr:from>
    <xdr:to>
      <xdr:col>7</xdr:col>
      <xdr:colOff>57150</xdr:colOff>
      <xdr:row>5</xdr:row>
      <xdr:rowOff>104775</xdr:rowOff>
    </xdr:to>
    <xdr:pic>
      <xdr:nvPicPr>
        <xdr:cNvPr id="2" name="Picture 1"/>
        <xdr:cNvPicPr>
          <a:picLocks noChangeAspect="1"/>
        </xdr:cNvPicPr>
      </xdr:nvPicPr>
      <xdr:blipFill>
        <a:blip xmlns:r="http://schemas.openxmlformats.org/officeDocument/2006/relationships" r:embed="rId1"/>
        <a:stretch>
          <a:fillRect/>
        </a:stretch>
      </xdr:blipFill>
      <xdr:spPr>
        <a:xfrm>
          <a:off x="8867775" y="76201"/>
          <a:ext cx="1495425" cy="98107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15</xdr:col>
      <xdr:colOff>228600</xdr:colOff>
      <xdr:row>1</xdr:row>
      <xdr:rowOff>9525</xdr:rowOff>
    </xdr:from>
    <xdr:to>
      <xdr:col>17</xdr:col>
      <xdr:colOff>28575</xdr:colOff>
      <xdr:row>5</xdr:row>
      <xdr:rowOff>85724</xdr:rowOff>
    </xdr:to>
    <xdr:pic>
      <xdr:nvPicPr>
        <xdr:cNvPr id="2" name="Picture 1"/>
        <xdr:cNvPicPr>
          <a:picLocks noChangeAspect="1"/>
        </xdr:cNvPicPr>
      </xdr:nvPicPr>
      <xdr:blipFill>
        <a:blip xmlns:r="http://schemas.openxmlformats.org/officeDocument/2006/relationships" r:embed="rId1"/>
        <a:stretch>
          <a:fillRect/>
        </a:stretch>
      </xdr:blipFill>
      <xdr:spPr>
        <a:xfrm>
          <a:off x="12563475" y="104775"/>
          <a:ext cx="1495425" cy="981074"/>
        </a:xfrm>
        <a:prstGeom prst="rect">
          <a:avLst/>
        </a:prstGeom>
      </xdr:spPr>
    </xdr:pic>
    <xdr:clientData/>
  </xdr:twoCellAnchor>
  <xdr:oneCellAnchor>
    <xdr:from>
      <xdr:col>0</xdr:col>
      <xdr:colOff>0</xdr:colOff>
      <xdr:row>144</xdr:row>
      <xdr:rowOff>76200</xdr:rowOff>
    </xdr:from>
    <xdr:ext cx="6826250" cy="899583"/>
    <xdr:sp macro="" textlink="">
      <xdr:nvSpPr>
        <xdr:cNvPr id="3" name="TextBox 2"/>
        <xdr:cNvSpPr txBox="1"/>
      </xdr:nvSpPr>
      <xdr:spPr>
        <a:xfrm>
          <a:off x="0" y="27603450"/>
          <a:ext cx="6826250" cy="8995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i="1">
              <a:solidFill>
                <a:srgbClr val="002060"/>
              </a:solidFill>
            </a:rPr>
            <a:t>Disclaimer : </a:t>
          </a:r>
          <a:r>
            <a:rPr lang="en-IN" sz="1100" i="1">
              <a:solidFill>
                <a:schemeClr val="tx1"/>
              </a:solidFill>
            </a:rPr>
            <a:t>This report is</a:t>
          </a:r>
          <a:r>
            <a:rPr lang="en-IN" sz="1100" i="1" baseline="0">
              <a:solidFill>
                <a:schemeClr val="tx1"/>
              </a:solidFill>
            </a:rPr>
            <a:t> made as part of educational assignment and is meant for educational purpose only. The author of the report is not liable for any losses due to action taken basis this report. it is advisable to consult SEBI registered research analyst before making any investments.</a:t>
          </a:r>
          <a:endParaRPr lang="en-IN" sz="1100" i="1">
            <a:solidFill>
              <a:schemeClr val="tx1"/>
            </a:solidFill>
          </a:endParaRPr>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11</xdr:col>
      <xdr:colOff>333375</xdr:colOff>
      <xdr:row>1</xdr:row>
      <xdr:rowOff>0</xdr:rowOff>
    </xdr:from>
    <xdr:to>
      <xdr:col>14</xdr:col>
      <xdr:colOff>0</xdr:colOff>
      <xdr:row>5</xdr:row>
      <xdr:rowOff>76199</xdr:rowOff>
    </xdr:to>
    <xdr:pic>
      <xdr:nvPicPr>
        <xdr:cNvPr id="2" name="Picture 1"/>
        <xdr:cNvPicPr>
          <a:picLocks noChangeAspect="1"/>
        </xdr:cNvPicPr>
      </xdr:nvPicPr>
      <xdr:blipFill>
        <a:blip xmlns:r="http://schemas.openxmlformats.org/officeDocument/2006/relationships" r:embed="rId1"/>
        <a:stretch>
          <a:fillRect/>
        </a:stretch>
      </xdr:blipFill>
      <xdr:spPr>
        <a:xfrm>
          <a:off x="7591425" y="66675"/>
          <a:ext cx="1495425" cy="981074"/>
        </a:xfrm>
        <a:prstGeom prst="rect">
          <a:avLst/>
        </a:prstGeom>
      </xdr:spPr>
    </xdr:pic>
    <xdr:clientData/>
  </xdr:twoCellAnchor>
  <xdr:oneCellAnchor>
    <xdr:from>
      <xdr:col>1</xdr:col>
      <xdr:colOff>0</xdr:colOff>
      <xdr:row>12</xdr:row>
      <xdr:rowOff>0</xdr:rowOff>
    </xdr:from>
    <xdr:ext cx="6826250" cy="899583"/>
    <xdr:sp macro="" textlink="">
      <xdr:nvSpPr>
        <xdr:cNvPr id="3" name="TextBox 2"/>
        <xdr:cNvSpPr txBox="1"/>
      </xdr:nvSpPr>
      <xdr:spPr>
        <a:xfrm>
          <a:off x="142875" y="2228850"/>
          <a:ext cx="6826250" cy="8995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i="1">
              <a:solidFill>
                <a:srgbClr val="002060"/>
              </a:solidFill>
            </a:rPr>
            <a:t>Disclaimer : </a:t>
          </a:r>
          <a:r>
            <a:rPr lang="en-IN" sz="1100" i="1">
              <a:solidFill>
                <a:schemeClr val="tx1"/>
              </a:solidFill>
            </a:rPr>
            <a:t>This report is</a:t>
          </a:r>
          <a:r>
            <a:rPr lang="en-IN" sz="1100" i="1" baseline="0">
              <a:solidFill>
                <a:schemeClr val="tx1"/>
              </a:solidFill>
            </a:rPr>
            <a:t> made as part of educational assignment and is meant for educational purpose only. The author of the report is not liable for any losses due to action taken basis this report. it is advisable to consult SEBI registered research analyst before making any investments.</a:t>
          </a:r>
          <a:endParaRPr lang="en-IN" sz="1100" i="1">
            <a:solidFill>
              <a:schemeClr val="tx1"/>
            </a:solidFill>
          </a:endParaRPr>
        </a:p>
      </xdr:txBody>
    </xdr:sp>
    <xdr:clientData/>
  </xdr:oneCellAnchor>
</xdr:wsDr>
</file>

<file path=xl/drawings/drawing5.xml><?xml version="1.0" encoding="utf-8"?>
<xdr:wsDr xmlns:xdr="http://schemas.openxmlformats.org/drawingml/2006/spreadsheetDrawing" xmlns:a="http://schemas.openxmlformats.org/drawingml/2006/main">
  <xdr:twoCellAnchor editAs="oneCell">
    <xdr:from>
      <xdr:col>5</xdr:col>
      <xdr:colOff>695325</xdr:colOff>
      <xdr:row>0</xdr:row>
      <xdr:rowOff>75896</xdr:rowOff>
    </xdr:from>
    <xdr:to>
      <xdr:col>8</xdr:col>
      <xdr:colOff>19050</xdr:colOff>
      <xdr:row>5</xdr:row>
      <xdr:rowOff>57148</xdr:rowOff>
    </xdr:to>
    <xdr:pic>
      <xdr:nvPicPr>
        <xdr:cNvPr id="2" name="Picture 1"/>
        <xdr:cNvPicPr>
          <a:picLocks noChangeAspect="1"/>
        </xdr:cNvPicPr>
      </xdr:nvPicPr>
      <xdr:blipFill>
        <a:blip xmlns:r="http://schemas.openxmlformats.org/officeDocument/2006/relationships" r:embed="rId1"/>
        <a:stretch>
          <a:fillRect/>
        </a:stretch>
      </xdr:blipFill>
      <xdr:spPr>
        <a:xfrm>
          <a:off x="3362325" y="75896"/>
          <a:ext cx="1466850" cy="96232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12</xdr:col>
      <xdr:colOff>238125</xdr:colOff>
      <xdr:row>1</xdr:row>
      <xdr:rowOff>19050</xdr:rowOff>
    </xdr:from>
    <xdr:to>
      <xdr:col>13</xdr:col>
      <xdr:colOff>114300</xdr:colOff>
      <xdr:row>5</xdr:row>
      <xdr:rowOff>95249</xdr:rowOff>
    </xdr:to>
    <xdr:pic>
      <xdr:nvPicPr>
        <xdr:cNvPr id="2" name="Picture 1"/>
        <xdr:cNvPicPr>
          <a:picLocks noChangeAspect="1"/>
        </xdr:cNvPicPr>
      </xdr:nvPicPr>
      <xdr:blipFill>
        <a:blip xmlns:r="http://schemas.openxmlformats.org/officeDocument/2006/relationships" r:embed="rId1"/>
        <a:stretch>
          <a:fillRect/>
        </a:stretch>
      </xdr:blipFill>
      <xdr:spPr>
        <a:xfrm>
          <a:off x="10467975" y="114300"/>
          <a:ext cx="1495425" cy="98107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9</xdr:col>
      <xdr:colOff>400050</xdr:colOff>
      <xdr:row>1</xdr:row>
      <xdr:rowOff>47625</xdr:rowOff>
    </xdr:from>
    <xdr:to>
      <xdr:col>12</xdr:col>
      <xdr:colOff>28575</xdr:colOff>
      <xdr:row>5</xdr:row>
      <xdr:rowOff>123824</xdr:rowOff>
    </xdr:to>
    <xdr:pic>
      <xdr:nvPicPr>
        <xdr:cNvPr id="2" name="Picture 1"/>
        <xdr:cNvPicPr>
          <a:picLocks noChangeAspect="1"/>
        </xdr:cNvPicPr>
      </xdr:nvPicPr>
      <xdr:blipFill>
        <a:blip xmlns:r="http://schemas.openxmlformats.org/officeDocument/2006/relationships" r:embed="rId1"/>
        <a:stretch>
          <a:fillRect/>
        </a:stretch>
      </xdr:blipFill>
      <xdr:spPr>
        <a:xfrm>
          <a:off x="7686675" y="238125"/>
          <a:ext cx="1495425" cy="981074"/>
        </a:xfrm>
        <a:prstGeom prst="rect">
          <a:avLst/>
        </a:prstGeom>
      </xdr:spPr>
    </xdr:pic>
    <xdr:clientData/>
  </xdr:twoCellAnchor>
  <xdr:oneCellAnchor>
    <xdr:from>
      <xdr:col>1</xdr:col>
      <xdr:colOff>0</xdr:colOff>
      <xdr:row>69</xdr:row>
      <xdr:rowOff>0</xdr:rowOff>
    </xdr:from>
    <xdr:ext cx="6826250" cy="899583"/>
    <xdr:sp macro="" textlink="">
      <xdr:nvSpPr>
        <xdr:cNvPr id="3" name="TextBox 2"/>
        <xdr:cNvSpPr txBox="1"/>
      </xdr:nvSpPr>
      <xdr:spPr>
        <a:xfrm>
          <a:off x="190500" y="13335000"/>
          <a:ext cx="6826250" cy="8995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i="1">
              <a:solidFill>
                <a:srgbClr val="002060"/>
              </a:solidFill>
            </a:rPr>
            <a:t>Disclaimer : </a:t>
          </a:r>
          <a:r>
            <a:rPr lang="en-IN" sz="1100" i="1">
              <a:solidFill>
                <a:schemeClr val="tx1"/>
              </a:solidFill>
            </a:rPr>
            <a:t>This report is</a:t>
          </a:r>
          <a:r>
            <a:rPr lang="en-IN" sz="1100" i="1" baseline="0">
              <a:solidFill>
                <a:schemeClr val="tx1"/>
              </a:solidFill>
            </a:rPr>
            <a:t> made as part of educational assignment and is meant for educational purpose only. The author of the report is not liable for any losses due to action taken basis this report. it is advisable to consult SEBI registered research analyst before making any investments.</a:t>
          </a:r>
          <a:endParaRPr lang="en-IN" sz="1100" i="1">
            <a:solidFill>
              <a:schemeClr val="tx1"/>
            </a:solidFill>
          </a:endParaRPr>
        </a:p>
      </xdr:txBody>
    </xdr:sp>
    <xdr:clientData/>
  </xdr:oneCellAnchor>
</xdr:wsDr>
</file>

<file path=xl/drawings/drawing8.xml><?xml version="1.0" encoding="utf-8"?>
<xdr:wsDr xmlns:xdr="http://schemas.openxmlformats.org/drawingml/2006/spreadsheetDrawing" xmlns:a="http://schemas.openxmlformats.org/drawingml/2006/main">
  <xdr:twoCellAnchor editAs="oneCell">
    <xdr:from>
      <xdr:col>16</xdr:col>
      <xdr:colOff>371475</xdr:colOff>
      <xdr:row>1</xdr:row>
      <xdr:rowOff>104775</xdr:rowOff>
    </xdr:from>
    <xdr:to>
      <xdr:col>19</xdr:col>
      <xdr:colOff>38100</xdr:colOff>
      <xdr:row>5</xdr:row>
      <xdr:rowOff>180974</xdr:rowOff>
    </xdr:to>
    <xdr:pic>
      <xdr:nvPicPr>
        <xdr:cNvPr id="2" name="Picture 1"/>
        <xdr:cNvPicPr>
          <a:picLocks noChangeAspect="1"/>
        </xdr:cNvPicPr>
      </xdr:nvPicPr>
      <xdr:blipFill>
        <a:blip xmlns:r="http://schemas.openxmlformats.org/officeDocument/2006/relationships" r:embed="rId1"/>
        <a:stretch>
          <a:fillRect/>
        </a:stretch>
      </xdr:blipFill>
      <xdr:spPr>
        <a:xfrm>
          <a:off x="10829925" y="295275"/>
          <a:ext cx="1495425" cy="981074"/>
        </a:xfrm>
        <a:prstGeom prst="rect">
          <a:avLst/>
        </a:prstGeom>
      </xdr:spPr>
    </xdr:pic>
    <xdr:clientData/>
  </xdr:twoCellAnchor>
  <xdr:oneCellAnchor>
    <xdr:from>
      <xdr:col>1</xdr:col>
      <xdr:colOff>0</xdr:colOff>
      <xdr:row>44</xdr:row>
      <xdr:rowOff>0</xdr:rowOff>
    </xdr:from>
    <xdr:ext cx="6826250" cy="899583"/>
    <xdr:sp macro="" textlink="">
      <xdr:nvSpPr>
        <xdr:cNvPr id="3" name="TextBox 2"/>
        <xdr:cNvSpPr txBox="1"/>
      </xdr:nvSpPr>
      <xdr:spPr>
        <a:xfrm>
          <a:off x="180975" y="8410575"/>
          <a:ext cx="6826250" cy="8995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i="1">
              <a:solidFill>
                <a:srgbClr val="002060"/>
              </a:solidFill>
            </a:rPr>
            <a:t>Disclaimer : </a:t>
          </a:r>
          <a:r>
            <a:rPr lang="en-IN" sz="1100" i="1">
              <a:solidFill>
                <a:schemeClr val="tx1"/>
              </a:solidFill>
            </a:rPr>
            <a:t>This report is</a:t>
          </a:r>
          <a:r>
            <a:rPr lang="en-IN" sz="1100" i="1" baseline="0">
              <a:solidFill>
                <a:schemeClr val="tx1"/>
              </a:solidFill>
            </a:rPr>
            <a:t> made as part of educational assignment and is meant for educational purpose only. The author of the report is not liable for any losses due to action taken basis this report. it is advisable to consult SEBI registered research analyst before making any investments.</a:t>
          </a:r>
          <a:endParaRPr lang="en-IN" sz="1100" i="1">
            <a:solidFill>
              <a:schemeClr val="tx1"/>
            </a:solidFill>
          </a:endParaRPr>
        </a:p>
      </xdr:txBody>
    </xdr:sp>
    <xdr:clientData/>
  </xdr:oneCellAnchor>
</xdr:wsDr>
</file>

<file path=xl/drawings/drawing9.xml><?xml version="1.0" encoding="utf-8"?>
<xdr:wsDr xmlns:xdr="http://schemas.openxmlformats.org/drawingml/2006/spreadsheetDrawing" xmlns:a="http://schemas.openxmlformats.org/drawingml/2006/main">
  <xdr:twoCellAnchor editAs="oneCell">
    <xdr:from>
      <xdr:col>15</xdr:col>
      <xdr:colOff>200025</xdr:colOff>
      <xdr:row>1</xdr:row>
      <xdr:rowOff>0</xdr:rowOff>
    </xdr:from>
    <xdr:to>
      <xdr:col>17</xdr:col>
      <xdr:colOff>152400</xdr:colOff>
      <xdr:row>5</xdr:row>
      <xdr:rowOff>76199</xdr:rowOff>
    </xdr:to>
    <xdr:pic>
      <xdr:nvPicPr>
        <xdr:cNvPr id="2" name="Picture 1"/>
        <xdr:cNvPicPr>
          <a:picLocks noChangeAspect="1"/>
        </xdr:cNvPicPr>
      </xdr:nvPicPr>
      <xdr:blipFill>
        <a:blip xmlns:r="http://schemas.openxmlformats.org/officeDocument/2006/relationships" r:embed="rId1"/>
        <a:stretch>
          <a:fillRect/>
        </a:stretch>
      </xdr:blipFill>
      <xdr:spPr>
        <a:xfrm>
          <a:off x="10982325" y="190500"/>
          <a:ext cx="1495425" cy="981074"/>
        </a:xfrm>
        <a:prstGeom prst="rect">
          <a:avLst/>
        </a:prstGeom>
      </xdr:spPr>
    </xdr:pic>
    <xdr:clientData/>
  </xdr:twoCellAnchor>
  <xdr:oneCellAnchor>
    <xdr:from>
      <xdr:col>1</xdr:col>
      <xdr:colOff>0</xdr:colOff>
      <xdr:row>50</xdr:row>
      <xdr:rowOff>9525</xdr:rowOff>
    </xdr:from>
    <xdr:ext cx="6826250" cy="899583"/>
    <xdr:sp macro="" textlink="">
      <xdr:nvSpPr>
        <xdr:cNvPr id="3" name="TextBox 2"/>
        <xdr:cNvSpPr txBox="1"/>
      </xdr:nvSpPr>
      <xdr:spPr>
        <a:xfrm>
          <a:off x="114300" y="9563100"/>
          <a:ext cx="6826250" cy="8995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i="1">
              <a:solidFill>
                <a:srgbClr val="002060"/>
              </a:solidFill>
            </a:rPr>
            <a:t>Disclaimer : </a:t>
          </a:r>
          <a:r>
            <a:rPr lang="en-IN" sz="1100" i="1">
              <a:solidFill>
                <a:schemeClr val="tx1"/>
              </a:solidFill>
            </a:rPr>
            <a:t>This report is</a:t>
          </a:r>
          <a:r>
            <a:rPr lang="en-IN" sz="1100" i="1" baseline="0">
              <a:solidFill>
                <a:schemeClr val="tx1"/>
              </a:solidFill>
            </a:rPr>
            <a:t> made as part of educational assignment and is meant for educational purpose only. The author of the report is not liable for any losses due to action taken basis this report. it is advisable to consult SEBI registered research analyst before making any investments.</a:t>
          </a:r>
          <a:endParaRPr lang="en-IN" sz="1100" i="1">
            <a:solidFill>
              <a:schemeClr val="tx1"/>
            </a:solidFill>
          </a:endParaRPr>
        </a:p>
      </xdr:txBody>
    </xdr:sp>
    <xdr:clientData/>
  </xdr:oneCellAnchor>
</xdr:wsDr>
</file>

<file path=xl/drawings/drawing10.xml><?xml version="1.0" encoding="utf-8"?>
<xdr:wsDr xmlns:xdr="http://schemas.openxmlformats.org/drawingml/2006/spreadsheetDrawing" xmlns:a="http://schemas.openxmlformats.org/drawingml/2006/main">
  <xdr:twoCellAnchor>
    <xdr:from>
      <xdr:col>0</xdr:col>
      <xdr:colOff>600075</xdr:colOff>
      <xdr:row>7</xdr:row>
      <xdr:rowOff>180975</xdr:rowOff>
    </xdr:from>
    <xdr:to>
      <xdr:col>7</xdr:col>
      <xdr:colOff>400050</xdr:colOff>
      <xdr:row>21</xdr:row>
      <xdr:rowOff>171450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495300</xdr:colOff>
      <xdr:row>8</xdr:row>
      <xdr:rowOff>9525</xdr:rowOff>
    </xdr:from>
    <xdr:to>
      <xdr:col>14</xdr:col>
      <xdr:colOff>381000</xdr:colOff>
      <xdr:row>21</xdr:row>
      <xdr:rowOff>161925</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23</xdr:row>
      <xdr:rowOff>0</xdr:rowOff>
    </xdr:from>
    <xdr:to>
      <xdr:col>7</xdr:col>
      <xdr:colOff>447675</xdr:colOff>
      <xdr:row>36</xdr:row>
      <xdr:rowOff>142875</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581025</xdr:colOff>
      <xdr:row>23</xdr:row>
      <xdr:rowOff>38100</xdr:rowOff>
    </xdr:from>
    <xdr:to>
      <xdr:col>14</xdr:col>
      <xdr:colOff>381000</xdr:colOff>
      <xdr:row>37</xdr:row>
      <xdr:rowOff>28575</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12</xdr:col>
      <xdr:colOff>419100</xdr:colOff>
      <xdr:row>1</xdr:row>
      <xdr:rowOff>38100</xdr:rowOff>
    </xdr:from>
    <xdr:to>
      <xdr:col>14</xdr:col>
      <xdr:colOff>581025</xdr:colOff>
      <xdr:row>5</xdr:row>
      <xdr:rowOff>66675</xdr:rowOff>
    </xdr:to>
    <xdr:pic>
      <xdr:nvPicPr>
        <xdr:cNvPr id="6" name="Picture 5"/>
        <xdr:cNvPicPr>
          <a:picLocks noChangeAspect="1"/>
        </xdr:cNvPicPr>
      </xdr:nvPicPr>
      <xdr:blipFill>
        <a:blip xmlns:r="http://schemas.openxmlformats.org/officeDocument/2006/relationships" r:embed="rId5"/>
        <a:stretch>
          <a:fillRect/>
        </a:stretch>
      </xdr:blipFill>
      <xdr:spPr>
        <a:xfrm>
          <a:off x="7734300" y="123825"/>
          <a:ext cx="1381125" cy="9334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worldgovernmentbonds.com/bond-historical-data/india/10-year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1:T27"/>
  <sheetViews>
    <sheetView showGridLines="0" tabSelected="1" topLeftCell="A4" zoomScale="80" zoomScaleNormal="80" workbookViewId="0">
      <selection activeCell="D23" sqref="D23"/>
    </sheetView>
  </sheetViews>
  <sheetFormatPr defaultRowHeight="15" x14ac:dyDescent="0.25"/>
  <cols>
    <col min="1" max="1" width="1.7109375" customWidth="1"/>
    <col min="2" max="2" width="27.28515625" customWidth="1"/>
    <col min="3" max="3" width="63.85546875" customWidth="1"/>
    <col min="4" max="4" width="11" bestFit="1" customWidth="1"/>
    <col min="6" max="6" width="4.140625" customWidth="1"/>
    <col min="7" max="7" width="1.5703125" customWidth="1"/>
    <col min="8" max="8" width="2.5703125" customWidth="1"/>
  </cols>
  <sheetData>
    <row r="1" spans="2:20" ht="7.5" customHeight="1" x14ac:dyDescent="0.25">
      <c r="B1" s="162"/>
      <c r="C1" s="162"/>
      <c r="D1" s="162"/>
      <c r="E1" s="162"/>
      <c r="F1" s="162"/>
      <c r="G1" s="162"/>
      <c r="H1" s="162"/>
      <c r="I1" s="162"/>
      <c r="J1" s="162"/>
      <c r="K1" s="162"/>
      <c r="L1" s="162"/>
      <c r="M1" s="162"/>
      <c r="N1" s="162"/>
      <c r="O1" s="162"/>
      <c r="P1" s="162"/>
      <c r="Q1" s="162"/>
      <c r="R1" s="162"/>
      <c r="S1" s="162"/>
      <c r="T1" s="162"/>
    </row>
    <row r="7" spans="2:20" ht="15.75" x14ac:dyDescent="0.25">
      <c r="B7" s="199" t="s">
        <v>385</v>
      </c>
      <c r="C7" s="192" t="s">
        <v>393</v>
      </c>
    </row>
    <row r="8" spans="2:20" ht="15.75" x14ac:dyDescent="0.25">
      <c r="B8" s="200" t="s">
        <v>386</v>
      </c>
      <c r="C8" s="193" t="s">
        <v>392</v>
      </c>
    </row>
    <row r="9" spans="2:20" ht="15.75" x14ac:dyDescent="0.25">
      <c r="B9" s="200" t="s">
        <v>387</v>
      </c>
      <c r="C9" s="194" t="s">
        <v>394</v>
      </c>
    </row>
    <row r="10" spans="2:20" ht="15.75" x14ac:dyDescent="0.25">
      <c r="B10" s="200" t="s">
        <v>388</v>
      </c>
      <c r="C10" s="195" t="s">
        <v>397</v>
      </c>
    </row>
    <row r="11" spans="2:20" ht="15.75" x14ac:dyDescent="0.25">
      <c r="B11" s="200" t="s">
        <v>389</v>
      </c>
      <c r="C11" s="196" t="s">
        <v>382</v>
      </c>
    </row>
    <row r="12" spans="2:20" ht="15.75" x14ac:dyDescent="0.25">
      <c r="B12" s="200" t="s">
        <v>390</v>
      </c>
      <c r="C12" s="194" t="s">
        <v>395</v>
      </c>
    </row>
    <row r="13" spans="2:20" ht="94.5" customHeight="1" x14ac:dyDescent="0.25">
      <c r="B13" s="201" t="s">
        <v>385</v>
      </c>
      <c r="C13" s="197" t="s">
        <v>396</v>
      </c>
    </row>
    <row r="14" spans="2:20" ht="15.75" x14ac:dyDescent="0.25">
      <c r="B14" s="202" t="s">
        <v>391</v>
      </c>
      <c r="C14" s="198">
        <v>478.6</v>
      </c>
    </row>
    <row r="18" spans="2:20" ht="16.5" x14ac:dyDescent="0.3">
      <c r="B18" s="190" t="s">
        <v>398</v>
      </c>
      <c r="C18" s="191"/>
      <c r="D18" s="191"/>
    </row>
    <row r="19" spans="2:20" ht="15.75" x14ac:dyDescent="0.25">
      <c r="B19" s="183" t="s">
        <v>301</v>
      </c>
      <c r="C19" s="184" t="s">
        <v>399</v>
      </c>
      <c r="D19" s="185">
        <v>0.25</v>
      </c>
    </row>
    <row r="20" spans="2:20" ht="15.75" x14ac:dyDescent="0.25">
      <c r="B20" s="183" t="s">
        <v>302</v>
      </c>
      <c r="C20" s="184" t="s">
        <v>399</v>
      </c>
      <c r="D20" s="185">
        <v>0.05</v>
      </c>
    </row>
    <row r="21" spans="2:20" ht="15.75" x14ac:dyDescent="0.25">
      <c r="B21" s="186" t="s">
        <v>400</v>
      </c>
      <c r="C21" s="184" t="s">
        <v>399</v>
      </c>
      <c r="D21" s="185">
        <v>6.1760000000000002E-2</v>
      </c>
    </row>
    <row r="22" spans="2:20" ht="15.75" x14ac:dyDescent="0.25">
      <c r="B22" s="183" t="s">
        <v>403</v>
      </c>
      <c r="C22" s="184" t="s">
        <v>404</v>
      </c>
      <c r="D22" s="187">
        <v>1617668</v>
      </c>
    </row>
    <row r="23" spans="2:20" ht="15.75" x14ac:dyDescent="0.25">
      <c r="B23" s="183" t="s">
        <v>402</v>
      </c>
      <c r="C23" s="184" t="s">
        <v>401</v>
      </c>
      <c r="D23" s="188">
        <v>3380</v>
      </c>
    </row>
    <row r="24" spans="2:20" ht="15.75" x14ac:dyDescent="0.25">
      <c r="B24" s="183" t="s">
        <v>391</v>
      </c>
      <c r="C24" s="184" t="s">
        <v>379</v>
      </c>
      <c r="D24" s="189">
        <f>C14</f>
        <v>478.6</v>
      </c>
    </row>
    <row r="27" spans="2:20" x14ac:dyDescent="0.25">
      <c r="B27" s="162"/>
      <c r="C27" s="162"/>
      <c r="D27" s="162"/>
      <c r="E27" s="162"/>
      <c r="F27" s="162"/>
      <c r="G27" s="162"/>
      <c r="H27" s="162"/>
      <c r="I27" s="162"/>
      <c r="J27" s="162"/>
      <c r="K27" s="162"/>
      <c r="L27" s="162"/>
      <c r="M27" s="162"/>
      <c r="N27" s="162"/>
      <c r="O27" s="162"/>
      <c r="P27" s="162"/>
      <c r="Q27" s="162"/>
      <c r="R27" s="162"/>
      <c r="S27" s="162"/>
      <c r="T27" s="162"/>
    </row>
  </sheetData>
  <hyperlinks>
    <hyperlink ref="B21" r:id="rId1"/>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XFD162"/>
  <sheetViews>
    <sheetView showGridLines="0" workbookViewId="0">
      <pane ySplit="7" topLeftCell="A25" activePane="bottomLeft" state="frozen"/>
      <selection pane="bottomLeft" activeCell="G34" sqref="G34"/>
    </sheetView>
  </sheetViews>
  <sheetFormatPr defaultRowHeight="15" x14ac:dyDescent="0.25"/>
  <cols>
    <col min="1" max="1" width="3.28515625" customWidth="1"/>
    <col min="2" max="2" width="99.42578125" bestFit="1" customWidth="1"/>
    <col min="3" max="4" width="9.85546875" bestFit="1" customWidth="1"/>
    <col min="5" max="7" width="10.7109375" bestFit="1" customWidth="1"/>
  </cols>
  <sheetData>
    <row r="1" spans="1:7" ht="3.75" customHeight="1" x14ac:dyDescent="0.25">
      <c r="B1" s="162"/>
      <c r="C1" s="162"/>
      <c r="D1" s="162"/>
      <c r="E1" s="162"/>
      <c r="F1" s="162"/>
      <c r="G1" s="162"/>
    </row>
    <row r="2" spans="1:7" ht="26.25" x14ac:dyDescent="0.25">
      <c r="B2" s="161" t="s">
        <v>378</v>
      </c>
    </row>
    <row r="3" spans="1:7" x14ac:dyDescent="0.25">
      <c r="B3" s="160" t="s">
        <v>382</v>
      </c>
    </row>
    <row r="4" spans="1:7" x14ac:dyDescent="0.25">
      <c r="B4" s="159" t="s">
        <v>380</v>
      </c>
    </row>
    <row r="5" spans="1:7" x14ac:dyDescent="0.25">
      <c r="B5" s="159" t="s">
        <v>381</v>
      </c>
    </row>
    <row r="6" spans="1:7" ht="9" customHeight="1" x14ac:dyDescent="0.25">
      <c r="B6" s="159"/>
    </row>
    <row r="7" spans="1:7" ht="14.25" customHeight="1" x14ac:dyDescent="0.25">
      <c r="B7" s="4" t="s">
        <v>365</v>
      </c>
      <c r="C7" s="4">
        <v>2020</v>
      </c>
      <c r="D7" s="4">
        <f>C7+1</f>
        <v>2021</v>
      </c>
      <c r="E7" s="4">
        <f t="shared" ref="E7" si="0">D7+1</f>
        <v>2022</v>
      </c>
      <c r="F7" s="4">
        <f t="shared" ref="F7" si="1">E7+1</f>
        <v>2023</v>
      </c>
      <c r="G7" s="4">
        <f t="shared" ref="G7" si="2">F7+1</f>
        <v>2024</v>
      </c>
    </row>
    <row r="8" spans="1:7" x14ac:dyDescent="0.25">
      <c r="A8" s="5" t="s">
        <v>27</v>
      </c>
      <c r="B8" s="4" t="s">
        <v>25</v>
      </c>
      <c r="C8" s="4"/>
      <c r="D8" s="4"/>
      <c r="E8" s="4"/>
      <c r="F8" s="4"/>
      <c r="G8" s="4"/>
    </row>
    <row r="10" spans="1:7" x14ac:dyDescent="0.25">
      <c r="B10" t="s">
        <v>0</v>
      </c>
      <c r="C10" s="25">
        <v>65557.91</v>
      </c>
      <c r="D10" s="25">
        <v>89582.91</v>
      </c>
      <c r="E10" s="25">
        <v>133905.57999999999</v>
      </c>
      <c r="F10" s="25">
        <v>163210.63</v>
      </c>
      <c r="G10" s="25">
        <v>204813.28</v>
      </c>
    </row>
    <row r="11" spans="1:7" x14ac:dyDescent="0.25">
      <c r="B11" t="s">
        <v>1</v>
      </c>
      <c r="C11" s="25">
        <v>369.72</v>
      </c>
      <c r="D11" s="25">
        <v>679.25</v>
      </c>
      <c r="E11" s="25">
        <v>388.49</v>
      </c>
      <c r="F11" s="25">
        <v>793.59</v>
      </c>
      <c r="G11" s="25">
        <v>1212.68</v>
      </c>
    </row>
    <row r="12" spans="1:7" x14ac:dyDescent="0.25">
      <c r="C12" s="25"/>
      <c r="D12" s="25"/>
      <c r="E12" s="25"/>
      <c r="F12" s="25"/>
      <c r="G12" s="25"/>
    </row>
    <row r="13" spans="1:7" x14ac:dyDescent="0.25">
      <c r="B13" s="10" t="s">
        <v>2</v>
      </c>
      <c r="C13" s="26">
        <f>SUM(C10:C11)</f>
        <v>65927.63</v>
      </c>
      <c r="D13" s="26">
        <f>SUM(D10:D11)</f>
        <v>90262.16</v>
      </c>
      <c r="E13" s="26">
        <f>SUM(E10:E11)</f>
        <v>134294.06999999998</v>
      </c>
      <c r="F13" s="26">
        <f>SUM(F10:F11)</f>
        <v>164004.22</v>
      </c>
      <c r="G13" s="26">
        <f>SUM(G10:G11)</f>
        <v>206025.96</v>
      </c>
    </row>
    <row r="14" spans="1:7" x14ac:dyDescent="0.25">
      <c r="B14" s="1" t="s">
        <v>3</v>
      </c>
      <c r="C14" s="25"/>
      <c r="D14" s="25"/>
      <c r="E14" s="25"/>
      <c r="F14" s="25"/>
      <c r="G14" s="25"/>
    </row>
    <row r="15" spans="1:7" x14ac:dyDescent="0.25">
      <c r="B15" t="s">
        <v>5</v>
      </c>
      <c r="C15" s="25">
        <v>26885.09</v>
      </c>
      <c r="D15" s="25">
        <v>39689.129999999997</v>
      </c>
      <c r="E15" s="25">
        <v>64170.92</v>
      </c>
      <c r="F15" s="25">
        <v>70264.61</v>
      </c>
      <c r="G15" s="25">
        <v>82937.429999999993</v>
      </c>
    </row>
    <row r="16" spans="1:7" x14ac:dyDescent="0.25">
      <c r="B16" t="s">
        <v>6</v>
      </c>
      <c r="C16" s="25">
        <v>1056.49</v>
      </c>
      <c r="D16" s="25">
        <v>1350.61</v>
      </c>
      <c r="E16" s="25">
        <v>2174.16</v>
      </c>
      <c r="F16" s="25">
        <v>2784.82</v>
      </c>
      <c r="G16" s="25">
        <v>4736.78</v>
      </c>
    </row>
    <row r="17" spans="2:7" x14ac:dyDescent="0.25">
      <c r="B17" t="s">
        <v>7</v>
      </c>
      <c r="C17" s="25">
        <v>925.87</v>
      </c>
      <c r="D17" s="25">
        <v>1654.69</v>
      </c>
      <c r="E17" s="25">
        <v>1885.71</v>
      </c>
      <c r="F17" s="25">
        <v>4626.96</v>
      </c>
      <c r="G17" s="25">
        <v>6859.21</v>
      </c>
    </row>
    <row r="18" spans="2:7" x14ac:dyDescent="0.25">
      <c r="B18" t="s">
        <v>8</v>
      </c>
      <c r="C18" s="25">
        <v>-171.59</v>
      </c>
      <c r="D18" s="25">
        <v>-997.22</v>
      </c>
      <c r="E18" s="25">
        <v>-3445.07</v>
      </c>
      <c r="F18" s="25">
        <v>-842.69</v>
      </c>
      <c r="G18" s="25">
        <v>-749.4</v>
      </c>
    </row>
    <row r="19" spans="2:7" x14ac:dyDescent="0.25">
      <c r="B19" t="s">
        <v>9</v>
      </c>
      <c r="C19" s="25">
        <v>8897.36</v>
      </c>
      <c r="D19" s="25">
        <v>10076.99</v>
      </c>
      <c r="E19" s="25">
        <v>12166.42</v>
      </c>
      <c r="F19" s="25">
        <v>14465.87</v>
      </c>
      <c r="G19" s="25">
        <v>18850.259999999998</v>
      </c>
    </row>
    <row r="20" spans="2:7" x14ac:dyDescent="0.25">
      <c r="B20" t="s">
        <v>10</v>
      </c>
      <c r="C20" s="25">
        <v>2811.04</v>
      </c>
      <c r="D20" s="25">
        <v>1847</v>
      </c>
      <c r="E20" s="25">
        <v>1861.22</v>
      </c>
      <c r="F20" s="25">
        <v>2680.99</v>
      </c>
      <c r="G20" s="25">
        <v>4503.8599999999997</v>
      </c>
    </row>
    <row r="21" spans="2:7" x14ac:dyDescent="0.25">
      <c r="B21" t="s">
        <v>11</v>
      </c>
      <c r="C21" s="25">
        <v>5287.02</v>
      </c>
      <c r="D21" s="25">
        <v>5312.62</v>
      </c>
      <c r="E21" s="25">
        <v>6171.89</v>
      </c>
      <c r="F21" s="25">
        <v>6809.06</v>
      </c>
      <c r="G21" s="25">
        <v>9473.86</v>
      </c>
    </row>
    <row r="22" spans="2:7" x14ac:dyDescent="0.25">
      <c r="B22" t="s">
        <v>4</v>
      </c>
      <c r="C22" s="25">
        <v>15946.01</v>
      </c>
      <c r="D22" s="25">
        <v>21262.26</v>
      </c>
      <c r="E22" s="25">
        <v>29072.39</v>
      </c>
      <c r="F22" s="25">
        <v>35816.21</v>
      </c>
      <c r="G22" s="25">
        <v>45068.29</v>
      </c>
    </row>
    <row r="23" spans="2:7" x14ac:dyDescent="0.25">
      <c r="B23" s="10" t="s">
        <v>12</v>
      </c>
      <c r="C23" s="26">
        <f>SUM(C15:C22)</f>
        <v>61637.29</v>
      </c>
      <c r="D23" s="26">
        <f>SUM(D15:D22)</f>
        <v>80196.08</v>
      </c>
      <c r="E23" s="26">
        <f>SUM(E15:E22)</f>
        <v>114057.64000000001</v>
      </c>
      <c r="F23" s="26">
        <f>SUM(F15:F22)</f>
        <v>136605.83000000002</v>
      </c>
      <c r="G23" s="26">
        <f>SUM(G15:G22)</f>
        <v>171680.29</v>
      </c>
    </row>
    <row r="24" spans="2:7" x14ac:dyDescent="0.25">
      <c r="B24" s="10" t="s">
        <v>13</v>
      </c>
      <c r="C24" s="26">
        <f>C13-C23</f>
        <v>4290.3400000000038</v>
      </c>
      <c r="D24" s="26">
        <f>D13-D23</f>
        <v>10066.080000000002</v>
      </c>
      <c r="E24" s="26">
        <f>E13-E23</f>
        <v>20236.429999999964</v>
      </c>
      <c r="F24" s="26">
        <f>F13-F23</f>
        <v>27398.389999999985</v>
      </c>
      <c r="G24" s="26">
        <f>G13-G23</f>
        <v>34345.669999999984</v>
      </c>
    </row>
    <row r="25" spans="2:7" x14ac:dyDescent="0.25">
      <c r="B25" t="s">
        <v>14</v>
      </c>
      <c r="C25" s="25">
        <v>0</v>
      </c>
      <c r="D25" s="25">
        <v>0</v>
      </c>
      <c r="E25" s="25">
        <v>-0.06</v>
      </c>
      <c r="F25" s="25">
        <v>-4.79</v>
      </c>
      <c r="G25" s="25">
        <v>-14.78</v>
      </c>
    </row>
    <row r="26" spans="2:7" x14ac:dyDescent="0.25">
      <c r="B26" s="10" t="s">
        <v>15</v>
      </c>
      <c r="C26" s="26">
        <f>SUM(C24:C25)</f>
        <v>4290.3400000000038</v>
      </c>
      <c r="D26" s="26">
        <f>SUM(D24:D25)</f>
        <v>10066.080000000002</v>
      </c>
      <c r="E26" s="26">
        <f>SUM(E24:E25)</f>
        <v>20236.369999999963</v>
      </c>
      <c r="F26" s="26">
        <f>SUM(F24:F25)</f>
        <v>27393.599999999984</v>
      </c>
      <c r="G26" s="26">
        <f>SUM(G24:G25)</f>
        <v>34330.889999999985</v>
      </c>
    </row>
    <row r="27" spans="2:7" x14ac:dyDescent="0.25">
      <c r="B27" t="s">
        <v>16</v>
      </c>
      <c r="C27" s="25">
        <v>-665.29</v>
      </c>
      <c r="D27" s="25">
        <v>0</v>
      </c>
      <c r="E27" s="25">
        <v>0</v>
      </c>
      <c r="F27" s="25">
        <v>0</v>
      </c>
      <c r="G27" s="25">
        <v>0</v>
      </c>
    </row>
    <row r="28" spans="2:7" x14ac:dyDescent="0.25">
      <c r="B28" s="10" t="s">
        <v>17</v>
      </c>
      <c r="C28" s="26">
        <f>SUM(C26:C27)</f>
        <v>3625.0500000000038</v>
      </c>
      <c r="D28" s="26">
        <f>SUM(D26:D27)</f>
        <v>10066.080000000002</v>
      </c>
      <c r="E28" s="26">
        <f>SUM(E26:E27)</f>
        <v>20236.369999999963</v>
      </c>
      <c r="F28" s="26">
        <f>SUM(F26:F27)</f>
        <v>27393.599999999984</v>
      </c>
      <c r="G28" s="26">
        <f>SUM(G26:G27)</f>
        <v>34330.889999999985</v>
      </c>
    </row>
    <row r="29" spans="2:7" x14ac:dyDescent="0.25">
      <c r="B29" s="1" t="s">
        <v>18</v>
      </c>
      <c r="C29" s="25"/>
      <c r="D29" s="25"/>
      <c r="E29" s="25"/>
      <c r="F29" s="25"/>
      <c r="G29" s="25"/>
    </row>
    <row r="30" spans="2:7" x14ac:dyDescent="0.25">
      <c r="B30" t="s">
        <v>19</v>
      </c>
      <c r="C30" s="25">
        <v>423.85</v>
      </c>
      <c r="D30" s="25">
        <v>1341.98</v>
      </c>
      <c r="E30" s="25">
        <v>4258.66</v>
      </c>
      <c r="F30" s="25">
        <v>6290.81</v>
      </c>
      <c r="G30" s="25">
        <v>7502.05</v>
      </c>
    </row>
    <row r="31" spans="2:7" x14ac:dyDescent="0.25">
      <c r="B31" t="s">
        <v>20</v>
      </c>
      <c r="C31" s="25">
        <v>153.69</v>
      </c>
      <c r="D31" s="25">
        <v>350.06</v>
      </c>
      <c r="E31" s="25">
        <v>226.91</v>
      </c>
      <c r="F31" s="25">
        <v>20.55</v>
      </c>
      <c r="G31" s="25">
        <v>5.28</v>
      </c>
    </row>
    <row r="32" spans="2:7" x14ac:dyDescent="0.25">
      <c r="B32" t="s">
        <v>21</v>
      </c>
      <c r="C32" s="25">
        <v>-525.20000000000005</v>
      </c>
      <c r="D32" s="25">
        <v>913.52</v>
      </c>
      <c r="E32" s="25">
        <v>249.66</v>
      </c>
      <c r="F32" s="25">
        <v>64.11</v>
      </c>
      <c r="G32" s="25">
        <v>480.71</v>
      </c>
    </row>
    <row r="33" spans="1:7" x14ac:dyDescent="0.25">
      <c r="B33" s="10" t="s">
        <v>22</v>
      </c>
      <c r="C33" s="26">
        <f>SUM(C30:C32)</f>
        <v>52.339999999999918</v>
      </c>
      <c r="D33" s="26">
        <f>SUM(D30:D32)</f>
        <v>2605.56</v>
      </c>
      <c r="E33" s="26">
        <f>SUM(E30:E32)</f>
        <v>4735.2299999999996</v>
      </c>
      <c r="F33" s="26">
        <f>SUM(F30:F32)</f>
        <v>6375.47</v>
      </c>
      <c r="G33" s="26">
        <f>SUM(G30:G32)</f>
        <v>7988.04</v>
      </c>
    </row>
    <row r="34" spans="1:7" ht="15.75" thickBot="1" x14ac:dyDescent="0.3">
      <c r="B34" s="23" t="s">
        <v>23</v>
      </c>
      <c r="C34" s="27">
        <f>C28-C33</f>
        <v>3572.7100000000037</v>
      </c>
      <c r="D34" s="27">
        <f>D28-D33</f>
        <v>7460.5200000000023</v>
      </c>
      <c r="E34" s="27">
        <f>E28-E33</f>
        <v>15501.139999999963</v>
      </c>
      <c r="F34" s="27">
        <f>F28-F33</f>
        <v>21018.129999999983</v>
      </c>
      <c r="G34" s="27">
        <f>G28-G33</f>
        <v>26342.849999999984</v>
      </c>
    </row>
    <row r="37" spans="1:7" x14ac:dyDescent="0.25">
      <c r="A37" t="s">
        <v>27</v>
      </c>
      <c r="B37" s="4" t="s">
        <v>26</v>
      </c>
      <c r="C37" s="4">
        <v>2020</v>
      </c>
      <c r="D37" s="4">
        <f>C37+1</f>
        <v>2021</v>
      </c>
      <c r="E37" s="4">
        <f t="shared" ref="E37:G37" si="3">D37+1</f>
        <v>2022</v>
      </c>
      <c r="F37" s="4">
        <f t="shared" si="3"/>
        <v>2023</v>
      </c>
      <c r="G37" s="4">
        <f t="shared" si="3"/>
        <v>2024</v>
      </c>
    </row>
    <row r="39" spans="1:7" x14ac:dyDescent="0.25">
      <c r="B39" s="1" t="s">
        <v>28</v>
      </c>
    </row>
    <row r="40" spans="1:7" x14ac:dyDescent="0.25">
      <c r="B40" s="1" t="s">
        <v>29</v>
      </c>
    </row>
    <row r="41" spans="1:7" x14ac:dyDescent="0.25">
      <c r="B41" t="s">
        <v>35</v>
      </c>
      <c r="C41" s="25">
        <v>58271.88</v>
      </c>
      <c r="D41" s="25">
        <v>57279.71</v>
      </c>
      <c r="E41" s="25">
        <v>54415.78</v>
      </c>
      <c r="F41" s="25">
        <v>68031.320000000007</v>
      </c>
      <c r="G41" s="25">
        <v>106225.51</v>
      </c>
    </row>
    <row r="42" spans="1:7" x14ac:dyDescent="0.25">
      <c r="B42" t="s">
        <v>30</v>
      </c>
      <c r="C42" s="25">
        <v>0</v>
      </c>
      <c r="D42" s="25">
        <v>0</v>
      </c>
      <c r="E42" s="25">
        <v>9155.01</v>
      </c>
      <c r="F42" s="25">
        <v>10347.07</v>
      </c>
      <c r="G42" s="25">
        <v>13631.22</v>
      </c>
    </row>
    <row r="43" spans="1:7" x14ac:dyDescent="0.25">
      <c r="B43" t="s">
        <v>36</v>
      </c>
      <c r="C43" s="25">
        <v>668.15</v>
      </c>
      <c r="D43" s="25">
        <v>4966.08</v>
      </c>
      <c r="E43" s="25">
        <v>6066.32</v>
      </c>
      <c r="F43" s="25">
        <v>19222.22</v>
      </c>
      <c r="G43" s="25">
        <v>11623.43</v>
      </c>
    </row>
    <row r="44" spans="1:7" x14ac:dyDescent="0.25">
      <c r="B44" t="s">
        <v>37</v>
      </c>
      <c r="C44" s="25">
        <v>242.3</v>
      </c>
      <c r="D44" s="25">
        <v>242.3</v>
      </c>
      <c r="E44" s="25">
        <v>242.3</v>
      </c>
      <c r="F44" s="25">
        <v>242.3</v>
      </c>
      <c r="G44" s="25">
        <v>3009.37</v>
      </c>
    </row>
    <row r="45" spans="1:7" x14ac:dyDescent="0.25">
      <c r="B45" t="s">
        <v>38</v>
      </c>
      <c r="C45" s="25">
        <v>5572.01</v>
      </c>
      <c r="D45" s="25">
        <v>5585.74</v>
      </c>
      <c r="E45" s="25">
        <v>5509.1</v>
      </c>
      <c r="F45" s="25">
        <v>5471</v>
      </c>
      <c r="G45" s="25">
        <v>11151.26</v>
      </c>
    </row>
    <row r="46" spans="1:7" x14ac:dyDescent="0.25">
      <c r="B46" t="s">
        <v>31</v>
      </c>
      <c r="C46" s="25">
        <v>0</v>
      </c>
      <c r="D46" s="25">
        <v>0</v>
      </c>
      <c r="E46" s="25">
        <v>0</v>
      </c>
      <c r="F46" s="25"/>
      <c r="G46" s="25">
        <v>43.69</v>
      </c>
    </row>
    <row r="47" spans="1:7" x14ac:dyDescent="0.25">
      <c r="B47" t="s">
        <v>39</v>
      </c>
      <c r="C47" s="25">
        <v>0</v>
      </c>
      <c r="D47" s="25">
        <v>0</v>
      </c>
      <c r="E47" s="25">
        <v>0.04</v>
      </c>
      <c r="F47" s="25">
        <v>179.32</v>
      </c>
      <c r="G47" s="25">
        <v>534.47</v>
      </c>
    </row>
    <row r="48" spans="1:7" x14ac:dyDescent="0.25">
      <c r="B48" s="1" t="s">
        <v>40</v>
      </c>
      <c r="C48" s="25"/>
      <c r="D48" s="25"/>
      <c r="E48" s="25"/>
      <c r="F48" s="25"/>
      <c r="G48" s="25"/>
    </row>
    <row r="49" spans="2:8" x14ac:dyDescent="0.25">
      <c r="B49" t="s">
        <v>32</v>
      </c>
      <c r="C49" s="25">
        <v>0.01</v>
      </c>
      <c r="D49" s="25">
        <v>0.01</v>
      </c>
      <c r="E49" s="25">
        <v>0.01</v>
      </c>
      <c r="F49" s="25">
        <v>31.51</v>
      </c>
      <c r="G49" s="25">
        <v>60.55</v>
      </c>
    </row>
    <row r="50" spans="2:8" x14ac:dyDescent="0.25">
      <c r="B50" t="s">
        <v>33</v>
      </c>
      <c r="C50" s="25">
        <v>417.89</v>
      </c>
      <c r="D50" s="25">
        <v>412.59</v>
      </c>
      <c r="E50" s="25">
        <v>477.53</v>
      </c>
      <c r="F50" s="25">
        <v>0</v>
      </c>
      <c r="G50" s="25">
        <v>218.87</v>
      </c>
    </row>
    <row r="51" spans="2:8" x14ac:dyDescent="0.25">
      <c r="B51" t="s">
        <v>34</v>
      </c>
      <c r="C51" s="25">
        <v>1.21</v>
      </c>
      <c r="D51" s="25">
        <v>8.0399999999999991</v>
      </c>
      <c r="E51" s="25">
        <v>9.27</v>
      </c>
      <c r="F51" s="25">
        <v>622.66999999999996</v>
      </c>
      <c r="G51" s="25">
        <v>987.26</v>
      </c>
    </row>
    <row r="52" spans="2:8" x14ac:dyDescent="0.25">
      <c r="B52" t="s">
        <v>41</v>
      </c>
      <c r="C52" s="25">
        <v>110.18</v>
      </c>
      <c r="D52" s="25">
        <v>24.07</v>
      </c>
      <c r="E52" s="25">
        <v>0</v>
      </c>
      <c r="F52" s="25">
        <v>0</v>
      </c>
      <c r="G52" s="25">
        <v>196.31</v>
      </c>
    </row>
    <row r="53" spans="2:8" x14ac:dyDescent="0.25">
      <c r="B53" t="s">
        <v>42</v>
      </c>
      <c r="C53" s="25">
        <v>1303.44</v>
      </c>
      <c r="D53" s="25">
        <v>1839.23</v>
      </c>
      <c r="E53" s="25">
        <v>6266.77</v>
      </c>
      <c r="F53" s="25">
        <v>5368.12</v>
      </c>
      <c r="G53" s="25">
        <v>5117.42</v>
      </c>
    </row>
    <row r="54" spans="2:8" x14ac:dyDescent="0.25">
      <c r="B54" s="10" t="s">
        <v>43</v>
      </c>
      <c r="C54" s="26">
        <f>SUM(C41:C53)</f>
        <v>66587.070000000007</v>
      </c>
      <c r="D54" s="26">
        <f>SUM(D41:D53)</f>
        <v>70357.76999999999</v>
      </c>
      <c r="E54" s="26">
        <f>SUM(E41:E53)</f>
        <v>82142.13</v>
      </c>
      <c r="F54" s="26">
        <f>SUM(F41:F53)</f>
        <v>109515.53000000001</v>
      </c>
      <c r="G54" s="26">
        <f>SUM(G41:G53)</f>
        <v>152799.36000000002</v>
      </c>
    </row>
    <row r="55" spans="2:8" x14ac:dyDescent="0.25">
      <c r="C55" s="25"/>
      <c r="D55" s="25"/>
      <c r="E55" s="25"/>
      <c r="F55" s="25"/>
      <c r="G55" s="25"/>
    </row>
    <row r="56" spans="2:8" x14ac:dyDescent="0.25">
      <c r="B56" s="1" t="s">
        <v>44</v>
      </c>
      <c r="C56" s="25"/>
      <c r="D56" s="25"/>
      <c r="E56" s="25"/>
      <c r="F56" s="25"/>
      <c r="G56" s="25"/>
    </row>
    <row r="57" spans="2:8" x14ac:dyDescent="0.25">
      <c r="B57" t="s">
        <v>51</v>
      </c>
      <c r="C57" s="25">
        <v>9288.0400000000009</v>
      </c>
      <c r="D57" s="25">
        <v>14480.87</v>
      </c>
      <c r="E57" s="25">
        <v>19938.849999999999</v>
      </c>
      <c r="F57" s="25">
        <v>21505.33</v>
      </c>
      <c r="G57" s="25">
        <v>27912.34</v>
      </c>
    </row>
    <row r="58" spans="2:8" x14ac:dyDescent="0.25">
      <c r="B58" s="1" t="s">
        <v>40</v>
      </c>
      <c r="C58" s="25"/>
      <c r="D58" s="25"/>
      <c r="E58" s="25"/>
      <c r="F58" s="25"/>
      <c r="G58" s="25"/>
    </row>
    <row r="59" spans="2:8" x14ac:dyDescent="0.25">
      <c r="B59" t="s">
        <v>45</v>
      </c>
      <c r="C59" s="25">
        <v>2417.9699999999998</v>
      </c>
      <c r="D59" s="25">
        <v>2212.4899999999998</v>
      </c>
      <c r="E59" s="25">
        <v>2993.38</v>
      </c>
      <c r="F59" s="25">
        <v>3593.85</v>
      </c>
      <c r="G59" s="25">
        <v>8458.42</v>
      </c>
    </row>
    <row r="60" spans="2:8" x14ac:dyDescent="0.25">
      <c r="B60" t="s">
        <v>46</v>
      </c>
      <c r="C60" s="25">
        <v>1045.58</v>
      </c>
      <c r="D60" s="25">
        <v>1507.5</v>
      </c>
      <c r="E60" s="25">
        <v>1543.32</v>
      </c>
      <c r="F60" s="25">
        <v>2422.12</v>
      </c>
      <c r="G60" s="25">
        <v>22662.83</v>
      </c>
    </row>
    <row r="61" spans="2:8" x14ac:dyDescent="0.25">
      <c r="B61" t="s">
        <v>47</v>
      </c>
      <c r="C61" s="25">
        <v>854.92</v>
      </c>
      <c r="D61" s="25">
        <v>1858.72</v>
      </c>
      <c r="E61" s="25">
        <v>1309.3499999999999</v>
      </c>
      <c r="F61" s="25">
        <v>2176.5</v>
      </c>
      <c r="G61" s="25">
        <v>1837.71</v>
      </c>
    </row>
    <row r="62" spans="2:8" x14ac:dyDescent="0.25">
      <c r="B62" t="s">
        <v>52</v>
      </c>
      <c r="C62" s="25">
        <v>100.16</v>
      </c>
      <c r="D62" s="25">
        <v>94.54</v>
      </c>
      <c r="E62" s="25"/>
      <c r="F62" s="25"/>
      <c r="G62" s="25"/>
    </row>
    <row r="63" spans="2:8" x14ac:dyDescent="0.25">
      <c r="B63" t="s">
        <v>48</v>
      </c>
      <c r="C63" s="25">
        <v>1670.04</v>
      </c>
      <c r="D63" s="25">
        <v>2276.86</v>
      </c>
      <c r="E63" s="25">
        <v>3977.06</v>
      </c>
      <c r="F63" s="25">
        <v>7388.23</v>
      </c>
      <c r="G63" s="25">
        <v>8356.16</v>
      </c>
    </row>
    <row r="64" spans="2:8" x14ac:dyDescent="0.25">
      <c r="B64" t="s">
        <v>49</v>
      </c>
      <c r="C64" s="25">
        <v>102.19</v>
      </c>
      <c r="D64" s="25">
        <v>11.08</v>
      </c>
      <c r="E64" s="25"/>
      <c r="F64" s="25">
        <v>3.11</v>
      </c>
      <c r="G64" s="25">
        <v>48.72</v>
      </c>
      <c r="H64" s="2"/>
    </row>
    <row r="65" spans="2:8" x14ac:dyDescent="0.25">
      <c r="B65" t="s">
        <v>50</v>
      </c>
      <c r="C65" s="25">
        <v>2517.86</v>
      </c>
      <c r="D65" s="25">
        <v>3019.07</v>
      </c>
      <c r="E65" s="25">
        <v>4278.34</v>
      </c>
      <c r="F65" s="25">
        <v>5267.16</v>
      </c>
      <c r="G65" s="25">
        <v>9363.56</v>
      </c>
      <c r="H65" s="2"/>
    </row>
    <row r="66" spans="2:8" x14ac:dyDescent="0.25">
      <c r="B66" s="10" t="s">
        <v>53</v>
      </c>
      <c r="C66" s="26">
        <f>SUM(C57:C65)</f>
        <v>17996.759999999998</v>
      </c>
      <c r="D66" s="26">
        <f>SUM(D57:D65)</f>
        <v>25461.130000000005</v>
      </c>
      <c r="E66" s="26">
        <f>SUM(E57:E65)</f>
        <v>34040.300000000003</v>
      </c>
      <c r="F66" s="26">
        <f>SUM(F57:F65)</f>
        <v>42356.3</v>
      </c>
      <c r="G66" s="26">
        <f>SUM(G57:G65)</f>
        <v>78639.740000000005</v>
      </c>
    </row>
    <row r="67" spans="2:8" x14ac:dyDescent="0.25">
      <c r="C67" s="25"/>
      <c r="D67" s="25"/>
      <c r="E67" s="25"/>
      <c r="F67" s="25"/>
      <c r="G67" s="25"/>
    </row>
    <row r="68" spans="2:8" ht="15.75" thickBot="1" x14ac:dyDescent="0.3">
      <c r="B68" s="23" t="s">
        <v>54</v>
      </c>
      <c r="C68" s="27">
        <f>C66+C54</f>
        <v>84583.83</v>
      </c>
      <c r="D68" s="27">
        <f>D66+D54</f>
        <v>95818.9</v>
      </c>
      <c r="E68" s="27">
        <f>E66+E54</f>
        <v>116182.43000000001</v>
      </c>
      <c r="F68" s="27">
        <f>F66+F54</f>
        <v>151871.83000000002</v>
      </c>
      <c r="G68" s="27">
        <f>G66+G54</f>
        <v>231439.10000000003</v>
      </c>
    </row>
    <row r="69" spans="2:8" x14ac:dyDescent="0.25">
      <c r="C69" s="25"/>
      <c r="D69" s="25"/>
      <c r="E69" s="25"/>
      <c r="F69" s="25"/>
      <c r="G69" s="25"/>
    </row>
    <row r="70" spans="2:8" x14ac:dyDescent="0.25">
      <c r="B70" s="1" t="s">
        <v>55</v>
      </c>
      <c r="C70" s="25"/>
      <c r="D70" s="25"/>
      <c r="E70" s="25"/>
      <c r="F70" s="25"/>
      <c r="G70" s="25"/>
    </row>
    <row r="71" spans="2:8" x14ac:dyDescent="0.25">
      <c r="B71" t="s">
        <v>56</v>
      </c>
      <c r="C71" s="25"/>
      <c r="D71" s="25"/>
      <c r="E71" s="25"/>
      <c r="F71" s="25"/>
      <c r="G71" s="25"/>
    </row>
    <row r="72" spans="2:8" x14ac:dyDescent="0.25">
      <c r="B72" t="s">
        <v>57</v>
      </c>
      <c r="C72" s="25">
        <v>2886.89</v>
      </c>
      <c r="D72" s="25">
        <v>4330.33</v>
      </c>
      <c r="E72" s="25">
        <v>6495.5</v>
      </c>
      <c r="F72" s="25">
        <v>6496.07</v>
      </c>
      <c r="G72" s="25">
        <v>6763.02</v>
      </c>
    </row>
    <row r="73" spans="2:8" x14ac:dyDescent="0.25">
      <c r="B73" t="s">
        <v>58</v>
      </c>
      <c r="C73" s="25">
        <v>32353.119999999999</v>
      </c>
      <c r="D73" s="25">
        <v>36468.75</v>
      </c>
      <c r="E73" s="25">
        <v>44528.3</v>
      </c>
      <c r="F73" s="25">
        <v>62868.91</v>
      </c>
      <c r="G73" s="25">
        <v>159335.26999999999</v>
      </c>
    </row>
    <row r="74" spans="2:8" x14ac:dyDescent="0.25">
      <c r="B74" s="10" t="s">
        <v>59</v>
      </c>
      <c r="C74" s="26">
        <f>SUM(C72:C73)</f>
        <v>35240.01</v>
      </c>
      <c r="D74" s="26">
        <f>SUM(D72:D73)</f>
        <v>40799.08</v>
      </c>
      <c r="E74" s="26">
        <f>SUM(E72:E73)</f>
        <v>51023.8</v>
      </c>
      <c r="F74" s="26">
        <f>SUM(F72:F73)</f>
        <v>69364.98000000001</v>
      </c>
      <c r="G74" s="26">
        <f>SUM(G72:G73)</f>
        <v>166098.28999999998</v>
      </c>
    </row>
    <row r="75" spans="2:8" x14ac:dyDescent="0.25">
      <c r="B75" t="s">
        <v>60</v>
      </c>
      <c r="C75" s="25">
        <v>647.88</v>
      </c>
      <c r="D75" s="25">
        <v>1167.8900000000001</v>
      </c>
      <c r="E75" s="25">
        <v>1131.07</v>
      </c>
      <c r="F75" s="25">
        <v>1481.55</v>
      </c>
      <c r="G75" s="25">
        <v>1298.07</v>
      </c>
    </row>
    <row r="76" spans="2:8" ht="15.75" thickBot="1" x14ac:dyDescent="0.3">
      <c r="B76" s="23" t="s">
        <v>61</v>
      </c>
      <c r="C76" s="27">
        <f>SUM(C74:C75)</f>
        <v>35887.89</v>
      </c>
      <c r="D76" s="27">
        <f>SUM(D74:D75)</f>
        <v>41966.97</v>
      </c>
      <c r="E76" s="27">
        <f>SUM(E74:E75)</f>
        <v>52154.87</v>
      </c>
      <c r="F76" s="27">
        <f>SUM(F74:F75)</f>
        <v>70846.530000000013</v>
      </c>
      <c r="G76" s="27">
        <f>SUM(G74:G75)</f>
        <v>167396.35999999999</v>
      </c>
    </row>
    <row r="77" spans="2:8" x14ac:dyDescent="0.25">
      <c r="B77" s="1"/>
      <c r="C77" s="25"/>
      <c r="D77" s="25"/>
      <c r="E77" s="25"/>
      <c r="F77" s="25"/>
      <c r="G77" s="25"/>
    </row>
    <row r="78" spans="2:8" x14ac:dyDescent="0.25">
      <c r="B78" s="1" t="s">
        <v>62</v>
      </c>
      <c r="C78" s="25"/>
      <c r="D78" s="25"/>
      <c r="E78" s="25"/>
      <c r="F78" s="25"/>
      <c r="G78" s="25"/>
    </row>
    <row r="79" spans="2:8" x14ac:dyDescent="0.25">
      <c r="B79" s="1" t="s">
        <v>63</v>
      </c>
      <c r="C79" s="25"/>
      <c r="D79" s="25"/>
      <c r="E79" s="25"/>
      <c r="F79" s="25"/>
      <c r="G79" s="25"/>
    </row>
    <row r="80" spans="2:8" x14ac:dyDescent="0.25">
      <c r="B80" t="s">
        <v>64</v>
      </c>
      <c r="C80" s="25"/>
      <c r="D80" s="25"/>
      <c r="E80" s="25"/>
      <c r="F80" s="25"/>
      <c r="G80" s="25"/>
    </row>
    <row r="81" spans="2:7" x14ac:dyDescent="0.25">
      <c r="B81" t="s">
        <v>65</v>
      </c>
      <c r="C81" s="25">
        <v>19796.22</v>
      </c>
      <c r="D81" s="25">
        <v>18133.27</v>
      </c>
      <c r="E81" s="25">
        <v>17270.22</v>
      </c>
      <c r="F81" s="25">
        <v>31889.38</v>
      </c>
      <c r="G81" s="25">
        <v>8406.89</v>
      </c>
    </row>
    <row r="82" spans="2:7" x14ac:dyDescent="0.25">
      <c r="B82" t="s">
        <v>83</v>
      </c>
      <c r="C82" s="25">
        <v>244.39</v>
      </c>
      <c r="D82" s="25">
        <v>312.63</v>
      </c>
      <c r="E82" s="25">
        <v>1654.25</v>
      </c>
      <c r="F82" s="25">
        <v>1978.85</v>
      </c>
      <c r="G82" s="25">
        <v>3570.86</v>
      </c>
    </row>
    <row r="83" spans="2:7" x14ac:dyDescent="0.25">
      <c r="B83" t="s">
        <v>66</v>
      </c>
      <c r="C83" s="25">
        <v>2039.06</v>
      </c>
      <c r="D83" s="25">
        <v>2085.4299999999998</v>
      </c>
      <c r="E83" s="25">
        <v>2041.13</v>
      </c>
      <c r="F83" s="25">
        <v>2126.44</v>
      </c>
      <c r="G83" s="25">
        <v>1894.34</v>
      </c>
    </row>
    <row r="84" spans="2:7" x14ac:dyDescent="0.25">
      <c r="B84" t="s">
        <v>67</v>
      </c>
      <c r="C84" s="25">
        <v>2259.4299999999998</v>
      </c>
      <c r="D84" s="25">
        <v>3111.41</v>
      </c>
      <c r="E84" s="25">
        <v>3368.48</v>
      </c>
      <c r="F84" s="25">
        <v>3430.11</v>
      </c>
      <c r="G84" s="25">
        <v>4879.09</v>
      </c>
    </row>
    <row r="85" spans="2:7" x14ac:dyDescent="0.25">
      <c r="B85" t="s">
        <v>68</v>
      </c>
      <c r="C85" s="25">
        <v>7.34</v>
      </c>
      <c r="D85" s="25">
        <v>6.73</v>
      </c>
      <c r="E85" s="25">
        <v>5.94</v>
      </c>
      <c r="F85" s="25">
        <v>68.400000000000006</v>
      </c>
      <c r="G85" s="25">
        <v>47.31</v>
      </c>
    </row>
    <row r="86" spans="2:7" x14ac:dyDescent="0.25">
      <c r="B86" s="10" t="s">
        <v>69</v>
      </c>
      <c r="C86" s="26">
        <f>SUM(C81:C85)</f>
        <v>24346.440000000002</v>
      </c>
      <c r="D86" s="26">
        <f>SUM(D81:D85)</f>
        <v>23649.47</v>
      </c>
      <c r="E86" s="26">
        <f>SUM(E81:E85)</f>
        <v>24340.02</v>
      </c>
      <c r="F86" s="26">
        <f>SUM(F81:F85)</f>
        <v>39493.180000000008</v>
      </c>
      <c r="G86" s="26">
        <f>SUM(G81:G85)</f>
        <v>18798.490000000002</v>
      </c>
    </row>
    <row r="87" spans="2:7" x14ac:dyDescent="0.25">
      <c r="B87" s="1"/>
      <c r="C87" s="25"/>
      <c r="D87" s="25"/>
      <c r="E87" s="25"/>
      <c r="F87" s="25"/>
      <c r="G87" s="25"/>
    </row>
    <row r="88" spans="2:7" x14ac:dyDescent="0.25">
      <c r="B88" s="1" t="s">
        <v>70</v>
      </c>
      <c r="C88" s="25"/>
      <c r="D88" s="25"/>
      <c r="E88" s="25"/>
      <c r="F88" s="25"/>
      <c r="G88" s="25"/>
    </row>
    <row r="89" spans="2:7" x14ac:dyDescent="0.25">
      <c r="B89" t="s">
        <v>64</v>
      </c>
      <c r="C89" s="25"/>
      <c r="D89" s="25"/>
      <c r="E89" s="25"/>
      <c r="F89" s="25"/>
      <c r="G89" s="25"/>
    </row>
    <row r="90" spans="2:7" x14ac:dyDescent="0.25">
      <c r="B90" t="s">
        <v>65</v>
      </c>
      <c r="C90" s="25">
        <v>7138.58</v>
      </c>
      <c r="D90" s="25">
        <v>15285.68</v>
      </c>
      <c r="E90" s="25">
        <v>19677.900000000001</v>
      </c>
      <c r="F90" s="25">
        <v>20054.490000000002</v>
      </c>
      <c r="G90" s="25">
        <v>15235.76</v>
      </c>
    </row>
    <row r="91" spans="2:7" x14ac:dyDescent="0.25">
      <c r="B91" t="s">
        <v>81</v>
      </c>
      <c r="C91" s="25">
        <v>102.26</v>
      </c>
      <c r="D91" s="25">
        <v>136.02000000000001</v>
      </c>
      <c r="E91" s="25">
        <v>235.77</v>
      </c>
      <c r="F91" s="25">
        <v>390.38</v>
      </c>
      <c r="G91" s="25">
        <v>1049.03</v>
      </c>
    </row>
    <row r="92" spans="2:7" x14ac:dyDescent="0.25">
      <c r="B92" s="1" t="s">
        <v>71</v>
      </c>
      <c r="C92" s="25"/>
      <c r="D92" s="25"/>
      <c r="E92" s="25"/>
      <c r="F92" s="25"/>
      <c r="G92" s="25"/>
    </row>
    <row r="93" spans="2:7" x14ac:dyDescent="0.25">
      <c r="B93" t="s">
        <v>72</v>
      </c>
      <c r="C93" s="25">
        <v>93.7</v>
      </c>
      <c r="D93" s="25">
        <v>342.85</v>
      </c>
      <c r="E93" s="25">
        <v>659.11</v>
      </c>
      <c r="F93" s="25">
        <v>767.43</v>
      </c>
      <c r="G93" s="25">
        <v>645.75</v>
      </c>
    </row>
    <row r="94" spans="2:7" x14ac:dyDescent="0.25">
      <c r="B94" t="s">
        <v>80</v>
      </c>
      <c r="C94" s="25">
        <v>5020.1499999999996</v>
      </c>
      <c r="D94" s="25">
        <v>6774.68</v>
      </c>
      <c r="E94" s="25">
        <v>7583.5</v>
      </c>
      <c r="F94" s="25">
        <v>6815.05</v>
      </c>
      <c r="G94" s="25">
        <v>14958.52</v>
      </c>
    </row>
    <row r="95" spans="2:7" x14ac:dyDescent="0.25">
      <c r="B95" t="s">
        <v>73</v>
      </c>
      <c r="C95" s="25">
        <v>8441.25</v>
      </c>
      <c r="D95" s="25">
        <v>3929.66</v>
      </c>
      <c r="E95" s="25">
        <v>5593.9</v>
      </c>
      <c r="F95" s="25">
        <v>7638.39</v>
      </c>
      <c r="G95" s="25">
        <v>7043.41</v>
      </c>
    </row>
    <row r="96" spans="2:7" x14ac:dyDescent="0.25">
      <c r="B96" t="s">
        <v>74</v>
      </c>
      <c r="C96" s="25">
        <v>3182.92</v>
      </c>
      <c r="D96" s="25">
        <v>3096.76</v>
      </c>
      <c r="E96" s="25">
        <v>4889.7700000000004</v>
      </c>
      <c r="F96" s="25">
        <v>4650.93</v>
      </c>
      <c r="G96" s="25">
        <v>4916.55</v>
      </c>
    </row>
    <row r="97" spans="1:7" x14ac:dyDescent="0.25">
      <c r="B97" t="s">
        <v>75</v>
      </c>
      <c r="C97" s="25">
        <v>331.72</v>
      </c>
      <c r="D97" s="25">
        <v>497.4</v>
      </c>
      <c r="E97" s="25">
        <v>291.91000000000003</v>
      </c>
      <c r="F97" s="25">
        <v>825.43</v>
      </c>
      <c r="G97" s="25">
        <v>739</v>
      </c>
    </row>
    <row r="98" spans="1:7" x14ac:dyDescent="0.25">
      <c r="B98" t="s">
        <v>76</v>
      </c>
      <c r="C98" s="25">
        <v>38.92</v>
      </c>
      <c r="D98" s="25">
        <v>139.41</v>
      </c>
      <c r="E98" s="25">
        <v>755.68</v>
      </c>
      <c r="F98" s="25">
        <v>390.02</v>
      </c>
      <c r="G98" s="25">
        <v>656.23</v>
      </c>
    </row>
    <row r="99" spans="1:7" x14ac:dyDescent="0.25">
      <c r="B99" s="10" t="s">
        <v>77</v>
      </c>
      <c r="C99" s="26">
        <f>SUM(C90:C98)</f>
        <v>24349.5</v>
      </c>
      <c r="D99" s="26">
        <f>SUM(D90:D98)</f>
        <v>30202.460000000003</v>
      </c>
      <c r="E99" s="26">
        <f>SUM(E90:E98)</f>
        <v>39687.54</v>
      </c>
      <c r="F99" s="26">
        <f t="shared" ref="F99:G99" si="4">SUM(F90:F98)</f>
        <v>41532.120000000003</v>
      </c>
      <c r="G99" s="26">
        <f t="shared" si="4"/>
        <v>45244.250000000007</v>
      </c>
    </row>
    <row r="100" spans="1:7" x14ac:dyDescent="0.25">
      <c r="B100" s="10" t="s">
        <v>78</v>
      </c>
      <c r="C100" s="26">
        <f>C99+C86</f>
        <v>48695.94</v>
      </c>
      <c r="D100" s="26">
        <f>D99+D86</f>
        <v>53851.930000000008</v>
      </c>
      <c r="E100" s="26">
        <f>E99+E86</f>
        <v>64027.56</v>
      </c>
      <c r="F100" s="26">
        <f t="shared" ref="F100:G100" si="5">F99+F86</f>
        <v>81025.300000000017</v>
      </c>
      <c r="G100" s="26">
        <f t="shared" si="5"/>
        <v>64042.740000000005</v>
      </c>
    </row>
    <row r="101" spans="1:7" ht="15.75" thickBot="1" x14ac:dyDescent="0.3">
      <c r="B101" s="23" t="s">
        <v>79</v>
      </c>
      <c r="C101" s="27">
        <f>C100+C76</f>
        <v>84583.83</v>
      </c>
      <c r="D101" s="27">
        <f>D100+D76</f>
        <v>95818.900000000009</v>
      </c>
      <c r="E101" s="27">
        <f>E100+E76</f>
        <v>116182.43</v>
      </c>
      <c r="F101" s="27">
        <f t="shared" ref="F101:G101" si="6">F100+F76</f>
        <v>151871.83000000002</v>
      </c>
      <c r="G101" s="27">
        <f t="shared" si="6"/>
        <v>231439.09999999998</v>
      </c>
    </row>
    <row r="102" spans="1:7" x14ac:dyDescent="0.25">
      <c r="C102" s="25"/>
      <c r="D102" s="25"/>
      <c r="E102" s="25"/>
      <c r="F102" s="25"/>
      <c r="G102" s="25"/>
    </row>
    <row r="103" spans="1:7" ht="15.75" thickBot="1" x14ac:dyDescent="0.3">
      <c r="B103" s="23" t="s">
        <v>82</v>
      </c>
      <c r="C103" s="27">
        <f>C101-C68</f>
        <v>0</v>
      </c>
      <c r="D103" s="27">
        <f t="shared" ref="D103:G103" si="7">D101-D68</f>
        <v>0</v>
      </c>
      <c r="E103" s="27">
        <f t="shared" si="7"/>
        <v>0</v>
      </c>
      <c r="F103" s="27">
        <f t="shared" si="7"/>
        <v>0</v>
      </c>
      <c r="G103" s="27">
        <f t="shared" si="7"/>
        <v>0</v>
      </c>
    </row>
    <row r="104" spans="1:7" x14ac:dyDescent="0.25">
      <c r="C104" t="b">
        <f>C101=C68</f>
        <v>1</v>
      </c>
      <c r="D104" t="b">
        <f t="shared" ref="D104:G104" si="8">D101=D68</f>
        <v>1</v>
      </c>
      <c r="E104" t="b">
        <f t="shared" si="8"/>
        <v>1</v>
      </c>
      <c r="F104" t="b">
        <f t="shared" si="8"/>
        <v>1</v>
      </c>
      <c r="G104" t="b">
        <f t="shared" si="8"/>
        <v>1</v>
      </c>
    </row>
    <row r="105" spans="1:7" x14ac:dyDescent="0.25">
      <c r="C105" s="2"/>
    </row>
    <row r="107" spans="1:7" x14ac:dyDescent="0.25">
      <c r="A107" t="s">
        <v>27</v>
      </c>
      <c r="B107" s="4" t="s">
        <v>84</v>
      </c>
      <c r="C107" s="4">
        <v>2020</v>
      </c>
      <c r="D107" s="4">
        <f>C107+1</f>
        <v>2021</v>
      </c>
      <c r="E107" s="4">
        <f t="shared" ref="E107:G107" si="9">D107+1</f>
        <v>2022</v>
      </c>
      <c r="F107" s="4">
        <f t="shared" si="9"/>
        <v>2023</v>
      </c>
      <c r="G107" s="4">
        <f t="shared" si="9"/>
        <v>2024</v>
      </c>
    </row>
    <row r="109" spans="1:7" x14ac:dyDescent="0.25">
      <c r="B109" s="1" t="s">
        <v>85</v>
      </c>
    </row>
    <row r="110" spans="1:7" x14ac:dyDescent="0.25">
      <c r="B110" t="s">
        <v>86</v>
      </c>
      <c r="C110" s="25">
        <v>3625.05</v>
      </c>
      <c r="D110" s="25">
        <v>10066.08</v>
      </c>
      <c r="E110" s="25">
        <v>20236.43</v>
      </c>
      <c r="F110" s="25">
        <v>27398.39</v>
      </c>
      <c r="G110" s="25">
        <v>34345.67</v>
      </c>
    </row>
    <row r="111" spans="1:7" x14ac:dyDescent="0.25">
      <c r="B111" s="1" t="s">
        <v>87</v>
      </c>
      <c r="C111" s="25"/>
      <c r="D111" s="25"/>
      <c r="E111" s="25"/>
      <c r="F111" s="25"/>
      <c r="G111" s="25"/>
    </row>
    <row r="112" spans="1:7" x14ac:dyDescent="0.25">
      <c r="B112" t="s">
        <v>88</v>
      </c>
      <c r="C112" s="25">
        <v>5231.91</v>
      </c>
      <c r="D112" s="25">
        <v>5254.92</v>
      </c>
      <c r="E112" s="25">
        <v>5830.99</v>
      </c>
      <c r="F112" s="25">
        <v>6409.04</v>
      </c>
      <c r="G112" s="25">
        <v>8386.9500000000007</v>
      </c>
    </row>
    <row r="113" spans="2:7" x14ac:dyDescent="0.25">
      <c r="B113" t="s">
        <v>89</v>
      </c>
      <c r="C113" s="25">
        <v>55.11</v>
      </c>
      <c r="D113" s="25">
        <v>57.7</v>
      </c>
      <c r="E113" s="25">
        <v>340.9</v>
      </c>
      <c r="F113" s="25">
        <v>400.02</v>
      </c>
      <c r="G113" s="25">
        <v>1086.9100000000001</v>
      </c>
    </row>
    <row r="114" spans="2:7" x14ac:dyDescent="0.25">
      <c r="B114" t="s">
        <v>16</v>
      </c>
      <c r="C114" s="25">
        <v>665.29</v>
      </c>
      <c r="D114" s="25" t="s">
        <v>24</v>
      </c>
      <c r="E114" s="25"/>
      <c r="F114" s="25"/>
      <c r="G114" s="25"/>
    </row>
    <row r="115" spans="2:7" x14ac:dyDescent="0.25">
      <c r="B115" t="s">
        <v>90</v>
      </c>
      <c r="C115" s="25">
        <v>2729.82</v>
      </c>
      <c r="D115" s="25">
        <v>1850.37</v>
      </c>
      <c r="E115" s="25">
        <v>1854.49</v>
      </c>
      <c r="F115" s="25">
        <v>2680.99</v>
      </c>
      <c r="G115" s="25">
        <v>4503.8599999999997</v>
      </c>
    </row>
    <row r="116" spans="2:7" x14ac:dyDescent="0.25">
      <c r="B116" t="s">
        <v>91</v>
      </c>
      <c r="C116" s="25">
        <v>-88.86</v>
      </c>
      <c r="D116" s="25">
        <v>-145.16</v>
      </c>
      <c r="E116" s="25">
        <v>-228.29</v>
      </c>
      <c r="F116" s="25">
        <v>-238</v>
      </c>
      <c r="G116" s="25">
        <v>-419</v>
      </c>
    </row>
    <row r="117" spans="2:7" x14ac:dyDescent="0.25">
      <c r="B117" t="s">
        <v>92</v>
      </c>
      <c r="C117" s="25" t="s">
        <v>24</v>
      </c>
      <c r="D117" s="25"/>
      <c r="E117" s="25"/>
      <c r="F117" s="25"/>
      <c r="G117" s="25"/>
    </row>
    <row r="118" spans="2:7" x14ac:dyDescent="0.25">
      <c r="B118" t="s">
        <v>134</v>
      </c>
      <c r="C118" s="25"/>
      <c r="D118" s="25"/>
      <c r="E118" s="25">
        <v>29.06</v>
      </c>
      <c r="F118" s="25">
        <v>78.61</v>
      </c>
      <c r="G118" s="25">
        <v>162.43</v>
      </c>
    </row>
    <row r="119" spans="2:7" x14ac:dyDescent="0.25">
      <c r="B119" t="s">
        <v>93</v>
      </c>
      <c r="C119" s="25" t="s">
        <v>24</v>
      </c>
      <c r="D119" s="25"/>
      <c r="E119" s="25"/>
      <c r="F119" s="25">
        <v>-0.81</v>
      </c>
      <c r="G119" s="25">
        <v>-0.08</v>
      </c>
    </row>
    <row r="120" spans="2:7" x14ac:dyDescent="0.25">
      <c r="B120" t="s">
        <v>94</v>
      </c>
      <c r="C120" s="25" t="s">
        <v>24</v>
      </c>
      <c r="D120" s="25">
        <v>-0.7</v>
      </c>
      <c r="E120" s="25">
        <v>-3.67</v>
      </c>
      <c r="F120" s="25">
        <v>-3.51</v>
      </c>
      <c r="G120" s="25">
        <v>-22.47</v>
      </c>
    </row>
    <row r="121" spans="2:7" x14ac:dyDescent="0.25">
      <c r="B121" t="s">
        <v>95</v>
      </c>
      <c r="C121" s="25" t="s">
        <v>24</v>
      </c>
      <c r="D121" s="25">
        <v>-58.38</v>
      </c>
      <c r="E121" s="25">
        <v>-9.1999999999999993</v>
      </c>
      <c r="F121" s="25">
        <v>-322.36</v>
      </c>
      <c r="G121" s="25">
        <v>-646.15</v>
      </c>
    </row>
    <row r="122" spans="2:7" x14ac:dyDescent="0.25">
      <c r="B122" t="s">
        <v>96</v>
      </c>
      <c r="C122" s="25">
        <v>14.35</v>
      </c>
      <c r="D122" s="25">
        <v>258.70999999999998</v>
      </c>
      <c r="E122" s="25">
        <v>623.26</v>
      </c>
      <c r="F122" s="25">
        <v>843.64</v>
      </c>
      <c r="G122" s="25">
        <v>761.96</v>
      </c>
    </row>
    <row r="123" spans="2:7" x14ac:dyDescent="0.25">
      <c r="B123" t="s">
        <v>97</v>
      </c>
      <c r="C123" s="25">
        <v>11.94</v>
      </c>
      <c r="D123" s="25" t="s">
        <v>24</v>
      </c>
      <c r="E123" s="25">
        <v>25.71</v>
      </c>
      <c r="F123" s="25">
        <v>3.24</v>
      </c>
      <c r="G123" s="25">
        <v>28.73</v>
      </c>
    </row>
    <row r="124" spans="2:7" x14ac:dyDescent="0.25">
      <c r="B124" t="s">
        <v>98</v>
      </c>
      <c r="C124" s="25">
        <v>53.09</v>
      </c>
      <c r="D124" s="25">
        <v>58.92</v>
      </c>
      <c r="E124" s="25">
        <v>73.510000000000005</v>
      </c>
      <c r="F124" s="25">
        <v>69.47</v>
      </c>
      <c r="G124" s="25">
        <v>84.85</v>
      </c>
    </row>
    <row r="125" spans="2:7" x14ac:dyDescent="0.25">
      <c r="B125" t="s">
        <v>99</v>
      </c>
      <c r="C125" s="25">
        <v>-294.2</v>
      </c>
      <c r="D125" s="25">
        <v>-1098.5</v>
      </c>
      <c r="E125" s="25">
        <v>-1287.68</v>
      </c>
      <c r="F125" s="25">
        <v>3.26</v>
      </c>
      <c r="G125" s="25">
        <v>-493.15</v>
      </c>
    </row>
    <row r="126" spans="2:7" x14ac:dyDescent="0.25">
      <c r="B126" s="10" t="s">
        <v>100</v>
      </c>
      <c r="C126" s="26">
        <f>SUM(C110:C125)</f>
        <v>12003.5</v>
      </c>
      <c r="D126" s="26">
        <f>SUM(D110:D125)</f>
        <v>16243.959999999995</v>
      </c>
      <c r="E126" s="26">
        <f>SUM(E110:E125)</f>
        <v>27485.51</v>
      </c>
      <c r="F126" s="26">
        <f>SUM(F110:F125)</f>
        <v>37321.979999999996</v>
      </c>
      <c r="G126" s="26">
        <f>SUM(G110:G125)</f>
        <v>47780.509999999995</v>
      </c>
    </row>
    <row r="127" spans="2:7" x14ac:dyDescent="0.25">
      <c r="B127" s="1" t="s">
        <v>101</v>
      </c>
      <c r="C127" s="25"/>
      <c r="D127" s="25"/>
      <c r="E127" s="25"/>
      <c r="F127" s="25"/>
      <c r="G127" s="25"/>
    </row>
    <row r="128" spans="2:7" x14ac:dyDescent="0.25">
      <c r="B128" t="s">
        <v>102</v>
      </c>
      <c r="C128" s="25">
        <v>-472.91</v>
      </c>
      <c r="D128" s="25">
        <v>-5192.83</v>
      </c>
      <c r="E128" s="25">
        <v>-5568.33</v>
      </c>
      <c r="F128" s="25">
        <v>-1601.73</v>
      </c>
      <c r="G128" s="25">
        <v>-4787.7</v>
      </c>
    </row>
    <row r="129" spans="2:7" x14ac:dyDescent="0.25">
      <c r="B129" t="s">
        <v>103</v>
      </c>
      <c r="C129" s="25">
        <v>-757.45</v>
      </c>
      <c r="D129" s="25">
        <v>146.56</v>
      </c>
      <c r="E129" s="25">
        <v>-1233.8</v>
      </c>
      <c r="F129" s="25">
        <v>-730.18</v>
      </c>
      <c r="G129" s="25">
        <v>-1332.15</v>
      </c>
    </row>
    <row r="130" spans="2:7" x14ac:dyDescent="0.25">
      <c r="B130" t="s">
        <v>131</v>
      </c>
      <c r="C130" s="25">
        <v>244.68</v>
      </c>
      <c r="D130" s="25">
        <v>-921.85</v>
      </c>
      <c r="E130" s="25">
        <v>-3257.13</v>
      </c>
      <c r="F130" s="25">
        <v>-4572.18</v>
      </c>
      <c r="G130" s="25">
        <v>-5224.3</v>
      </c>
    </row>
    <row r="131" spans="2:7" x14ac:dyDescent="0.25">
      <c r="B131" t="s">
        <v>132</v>
      </c>
      <c r="C131" s="25">
        <v>-122.76</v>
      </c>
      <c r="D131" s="25">
        <v>3280.66</v>
      </c>
      <c r="E131" s="25">
        <v>4207.33</v>
      </c>
      <c r="F131" s="25">
        <v>169.28</v>
      </c>
      <c r="G131" s="25">
        <v>4650.2700000000004</v>
      </c>
    </row>
    <row r="132" spans="2:7" x14ac:dyDescent="0.25">
      <c r="B132" s="10" t="s">
        <v>104</v>
      </c>
      <c r="C132" s="26">
        <f>C126+SUM(C128:C131)</f>
        <v>10895.06</v>
      </c>
      <c r="D132" s="26">
        <f>D126+SUM(D128:D131)</f>
        <v>13556.499999999996</v>
      </c>
      <c r="E132" s="26">
        <f>E126+SUM(E128:E131)</f>
        <v>21633.579999999998</v>
      </c>
      <c r="F132" s="26">
        <f>F126+SUM(F128:F131)</f>
        <v>30587.169999999995</v>
      </c>
      <c r="G132" s="26">
        <f>G126+SUM(G128:G131)</f>
        <v>41086.62999999999</v>
      </c>
    </row>
    <row r="133" spans="2:7" x14ac:dyDescent="0.25">
      <c r="B133" t="s">
        <v>105</v>
      </c>
      <c r="C133" s="25">
        <v>-775.19</v>
      </c>
      <c r="D133" s="25">
        <v>-1242.28</v>
      </c>
      <c r="E133" s="25">
        <v>-3733.29</v>
      </c>
      <c r="F133" s="25">
        <v>-6679.39</v>
      </c>
      <c r="G133" s="25">
        <v>-7275.66</v>
      </c>
    </row>
    <row r="134" spans="2:7" ht="15.75" thickBot="1" x14ac:dyDescent="0.3">
      <c r="B134" s="23" t="s">
        <v>106</v>
      </c>
      <c r="C134" s="27">
        <f>C132+C133</f>
        <v>10119.869999999999</v>
      </c>
      <c r="D134" s="27">
        <f>D132+D133</f>
        <v>12314.219999999996</v>
      </c>
      <c r="E134" s="27">
        <f>E132+E133</f>
        <v>17900.289999999997</v>
      </c>
      <c r="F134" s="27">
        <f>F132+F133</f>
        <v>23907.779999999995</v>
      </c>
      <c r="G134" s="27">
        <f>G132+G133</f>
        <v>33810.969999999987</v>
      </c>
    </row>
    <row r="135" spans="2:7" x14ac:dyDescent="0.25">
      <c r="B135" s="1" t="s">
        <v>107</v>
      </c>
      <c r="C135" s="25"/>
      <c r="D135" s="25"/>
      <c r="E135" s="25"/>
      <c r="F135" s="25"/>
      <c r="G135" s="25"/>
    </row>
    <row r="136" spans="2:7" x14ac:dyDescent="0.25">
      <c r="B136" t="s">
        <v>133</v>
      </c>
      <c r="C136" s="25">
        <v>-5596.74</v>
      </c>
      <c r="D136" s="25">
        <v>-8348</v>
      </c>
      <c r="E136" s="25">
        <v>-18009.919999999998</v>
      </c>
      <c r="F136" s="25">
        <v>-32640.49</v>
      </c>
      <c r="G136" s="25">
        <v>-37790.1</v>
      </c>
    </row>
    <row r="137" spans="2:7" x14ac:dyDescent="0.25">
      <c r="B137" t="s">
        <v>130</v>
      </c>
      <c r="C137" s="25">
        <v>240.59</v>
      </c>
      <c r="D137" s="25">
        <v>193.51</v>
      </c>
      <c r="E137" s="25">
        <v>510.93</v>
      </c>
      <c r="F137" s="25">
        <v>701.31</v>
      </c>
      <c r="G137" s="25">
        <v>386.37</v>
      </c>
    </row>
    <row r="138" spans="2:7" x14ac:dyDescent="0.25">
      <c r="B138" s="141" t="s">
        <v>108</v>
      </c>
      <c r="C138" s="25">
        <v>1074.43</v>
      </c>
      <c r="D138" s="25">
        <v>-1074.43</v>
      </c>
      <c r="E138" s="25" t="s">
        <v>24</v>
      </c>
      <c r="F138" s="25"/>
      <c r="G138" s="25"/>
    </row>
    <row r="139" spans="2:7" x14ac:dyDescent="0.25">
      <c r="B139" s="141" t="s">
        <v>109</v>
      </c>
      <c r="C139" s="25" t="s">
        <v>24</v>
      </c>
      <c r="D139" s="25"/>
      <c r="E139" s="25"/>
      <c r="F139" s="25"/>
      <c r="G139" s="25">
        <v>-4018.84</v>
      </c>
    </row>
    <row r="140" spans="2:7" x14ac:dyDescent="0.25">
      <c r="B140" s="141" t="s">
        <v>110</v>
      </c>
      <c r="C140" s="25" t="s">
        <v>24</v>
      </c>
      <c r="D140" s="25"/>
      <c r="E140" s="25">
        <v>-0.1</v>
      </c>
      <c r="F140" s="25">
        <v>-215.57</v>
      </c>
      <c r="G140" s="25">
        <v>-398.98</v>
      </c>
    </row>
    <row r="141" spans="2:7" x14ac:dyDescent="0.25">
      <c r="B141" s="141" t="s">
        <v>135</v>
      </c>
      <c r="C141" s="25" t="s">
        <v>24</v>
      </c>
      <c r="D141" s="25"/>
      <c r="E141" s="25"/>
      <c r="F141" s="25">
        <v>-100</v>
      </c>
      <c r="G141" s="25">
        <v>-2000</v>
      </c>
    </row>
    <row r="142" spans="2:7" x14ac:dyDescent="0.25">
      <c r="B142" t="s">
        <v>111</v>
      </c>
      <c r="C142" s="25">
        <v>86.9</v>
      </c>
      <c r="D142" s="25">
        <v>132.46</v>
      </c>
      <c r="E142" s="25">
        <v>232.42</v>
      </c>
      <c r="F142" s="25">
        <v>220.16</v>
      </c>
      <c r="G142" s="25">
        <v>281.13</v>
      </c>
    </row>
    <row r="143" spans="2:7" x14ac:dyDescent="0.25">
      <c r="B143" t="s">
        <v>92</v>
      </c>
      <c r="C143" s="25" t="s">
        <v>24</v>
      </c>
      <c r="D143" s="25"/>
      <c r="E143" s="25"/>
      <c r="F143" s="25"/>
      <c r="G143" s="25"/>
    </row>
    <row r="144" spans="2:7" x14ac:dyDescent="0.25">
      <c r="B144" s="141" t="s">
        <v>112</v>
      </c>
      <c r="C144" s="25" t="s">
        <v>24</v>
      </c>
      <c r="D144" s="25"/>
      <c r="E144" s="25"/>
      <c r="F144" s="25"/>
      <c r="G144" s="25"/>
    </row>
    <row r="145" spans="2:8 16384:16384" x14ac:dyDescent="0.25">
      <c r="B145" s="141" t="s">
        <v>113</v>
      </c>
      <c r="C145" s="25" t="s">
        <v>24</v>
      </c>
      <c r="D145" s="25">
        <v>0.7</v>
      </c>
      <c r="E145" s="25">
        <v>3.67</v>
      </c>
      <c r="F145" s="25">
        <v>3.51</v>
      </c>
      <c r="G145" s="25">
        <v>22.47</v>
      </c>
    </row>
    <row r="146" spans="2:8 16384:16384" x14ac:dyDescent="0.25">
      <c r="B146" s="141" t="s">
        <v>114</v>
      </c>
      <c r="C146" s="25">
        <v>-516.14</v>
      </c>
      <c r="D146" s="25">
        <v>-1010.63</v>
      </c>
      <c r="E146" s="25">
        <v>217.02</v>
      </c>
      <c r="F146" s="25">
        <v>-867.59</v>
      </c>
      <c r="G146" s="25">
        <v>350.15</v>
      </c>
    </row>
    <row r="147" spans="2:8 16384:16384" ht="15.75" thickBot="1" x14ac:dyDescent="0.3">
      <c r="B147" s="23" t="s">
        <v>115</v>
      </c>
      <c r="C147" s="27">
        <f>SUM(C136:C146)</f>
        <v>-4710.96</v>
      </c>
      <c r="D147" s="27">
        <f>SUM(D136:D146)</f>
        <v>-10106.39</v>
      </c>
      <c r="E147" s="27">
        <f>SUM(E136:E146)</f>
        <v>-17045.98</v>
      </c>
      <c r="F147" s="27">
        <f>SUM(F136:F146)</f>
        <v>-32898.67</v>
      </c>
      <c r="G147" s="27">
        <f>SUM(G136:G146)</f>
        <v>-43167.799999999996</v>
      </c>
      <c r="XFD147" s="3"/>
    </row>
    <row r="148" spans="2:8 16384:16384" x14ac:dyDescent="0.25">
      <c r="B148" s="1" t="s">
        <v>116</v>
      </c>
      <c r="C148" s="25"/>
      <c r="D148" s="25"/>
      <c r="E148" s="25"/>
      <c r="F148" s="25"/>
      <c r="G148" s="25"/>
    </row>
    <row r="149" spans="2:8 16384:16384" x14ac:dyDescent="0.25">
      <c r="B149" t="s">
        <v>117</v>
      </c>
      <c r="C149" s="25">
        <v>7734.82</v>
      </c>
      <c r="D149" s="25">
        <v>8548.06</v>
      </c>
      <c r="E149" s="25">
        <v>14777.2</v>
      </c>
      <c r="F149" s="25">
        <v>24016.61</v>
      </c>
      <c r="G149" s="25">
        <v>17711.27</v>
      </c>
    </row>
    <row r="150" spans="2:8 16384:16384" x14ac:dyDescent="0.25">
      <c r="B150" t="s">
        <v>118</v>
      </c>
      <c r="C150" s="25">
        <v>-12332.25</v>
      </c>
      <c r="D150" s="25">
        <v>-6408.51</v>
      </c>
      <c r="E150" s="25">
        <v>-11373.59</v>
      </c>
      <c r="F150" s="25">
        <v>-12765.22</v>
      </c>
      <c r="G150" s="25">
        <v>-55084.160000000003</v>
      </c>
    </row>
    <row r="151" spans="2:8 16384:16384" x14ac:dyDescent="0.25">
      <c r="B151" t="s">
        <v>119</v>
      </c>
      <c r="C151" s="25">
        <v>-111.55</v>
      </c>
      <c r="D151" s="25">
        <v>-188.65</v>
      </c>
      <c r="E151" s="25">
        <v>-234.4</v>
      </c>
      <c r="F151" s="25">
        <v>-295.07</v>
      </c>
      <c r="G151" s="25">
        <v>-1558.65</v>
      </c>
    </row>
    <row r="152" spans="2:8 16384:16384" x14ac:dyDescent="0.25">
      <c r="B152" t="s">
        <v>120</v>
      </c>
      <c r="C152" s="25">
        <v>2467.04</v>
      </c>
      <c r="D152" s="25">
        <v>-853.66</v>
      </c>
      <c r="E152" s="25">
        <v>-7.97</v>
      </c>
      <c r="F152" s="25">
        <v>3812.66</v>
      </c>
      <c r="G152" s="25">
        <v>1856.96</v>
      </c>
    </row>
    <row r="153" spans="2:8 16384:16384" x14ac:dyDescent="0.25">
      <c r="B153" t="s">
        <v>121</v>
      </c>
      <c r="C153" s="25">
        <v>0</v>
      </c>
      <c r="D153" s="25"/>
      <c r="E153" s="25"/>
      <c r="F153" s="25">
        <v>44.41</v>
      </c>
      <c r="G153" s="25">
        <v>75118.8</v>
      </c>
    </row>
    <row r="154" spans="2:8 16384:16384" x14ac:dyDescent="0.25">
      <c r="B154" t="s">
        <v>129</v>
      </c>
      <c r="C154" s="25">
        <v>-2773.51</v>
      </c>
      <c r="D154" s="25">
        <v>-1791.48</v>
      </c>
      <c r="E154" s="25">
        <v>-1716.79</v>
      </c>
      <c r="F154" s="25">
        <v>-2694.42</v>
      </c>
      <c r="G154" s="25">
        <v>-4649.55</v>
      </c>
    </row>
    <row r="155" spans="2:8 16384:16384" x14ac:dyDescent="0.25">
      <c r="B155" t="s">
        <v>122</v>
      </c>
      <c r="C155" s="25">
        <v>0</v>
      </c>
      <c r="D155" s="25"/>
      <c r="E155" s="25"/>
      <c r="F155" s="25">
        <v>0</v>
      </c>
      <c r="G155" s="25">
        <v>-611.1</v>
      </c>
    </row>
    <row r="156" spans="2:8 16384:16384" x14ac:dyDescent="0.25">
      <c r="B156" t="s">
        <v>136</v>
      </c>
      <c r="C156" s="25">
        <v>0</v>
      </c>
      <c r="D156" s="25"/>
      <c r="E156" s="25"/>
      <c r="F156" s="25">
        <v>3.51</v>
      </c>
      <c r="G156" s="25">
        <v>0</v>
      </c>
    </row>
    <row r="157" spans="2:8 16384:16384" x14ac:dyDescent="0.25">
      <c r="B157" t="s">
        <v>123</v>
      </c>
      <c r="C157" s="25">
        <v>-721.72</v>
      </c>
      <c r="D157" s="25">
        <v>-1082.58</v>
      </c>
      <c r="E157" s="25">
        <v>-1623.87</v>
      </c>
      <c r="F157" s="25">
        <v>-2273.48</v>
      </c>
      <c r="G157" s="25">
        <v>-3248.2</v>
      </c>
    </row>
    <row r="158" spans="2:8 16384:16384" x14ac:dyDescent="0.25">
      <c r="B158" s="10" t="s">
        <v>124</v>
      </c>
      <c r="C158" s="26">
        <f>SUM(C149:C157)</f>
        <v>-5737.170000000001</v>
      </c>
      <c r="D158" s="26">
        <f>SUM(D149:D157)</f>
        <v>-1776.8200000000006</v>
      </c>
      <c r="E158" s="26">
        <f>SUM(E149:E157)</f>
        <v>-179.41999999999916</v>
      </c>
      <c r="F158" s="26">
        <f>SUM(F149:F157)</f>
        <v>9849.0000000000018</v>
      </c>
      <c r="G158" s="26">
        <f>SUM(G149:G157)</f>
        <v>29535.37</v>
      </c>
      <c r="H158" s="3"/>
    </row>
    <row r="159" spans="2:8 16384:16384" x14ac:dyDescent="0.25">
      <c r="B159" s="10" t="s">
        <v>125</v>
      </c>
      <c r="C159" s="26">
        <f>C158+C147+C134</f>
        <v>-328.26000000000204</v>
      </c>
      <c r="D159" s="26">
        <f>D158+D147+D134</f>
        <v>431.00999999999658</v>
      </c>
      <c r="E159" s="26">
        <f>E158+E147+E134</f>
        <v>674.88999999999942</v>
      </c>
      <c r="F159" s="26">
        <f>F158+F147+F134</f>
        <v>858.10999999999694</v>
      </c>
      <c r="G159" s="26">
        <f>G158+G147+G134</f>
        <v>20178.53999999999</v>
      </c>
      <c r="H159" s="3"/>
    </row>
    <row r="160" spans="2:8 16384:16384" ht="15.75" thickBot="1" x14ac:dyDescent="0.3">
      <c r="B160" s="23" t="s">
        <v>126</v>
      </c>
      <c r="C160" s="27">
        <v>1379.68</v>
      </c>
      <c r="D160" s="27">
        <f>C60</f>
        <v>1045.58</v>
      </c>
      <c r="E160" s="27">
        <f>D60</f>
        <v>1507.5</v>
      </c>
      <c r="F160" s="27">
        <f>E60</f>
        <v>1543.32</v>
      </c>
      <c r="G160" s="27">
        <f>F60</f>
        <v>2422.12</v>
      </c>
      <c r="H160" s="2"/>
    </row>
    <row r="161" spans="2:8" x14ac:dyDescent="0.25">
      <c r="B161" s="6" t="s">
        <v>128</v>
      </c>
      <c r="C161" s="29">
        <v>-5.84</v>
      </c>
      <c r="D161" s="29">
        <v>30.91</v>
      </c>
      <c r="E161" s="29">
        <v>-639.07000000000005</v>
      </c>
      <c r="F161" s="29">
        <v>20.69</v>
      </c>
      <c r="G161" s="29">
        <v>62.17</v>
      </c>
    </row>
    <row r="162" spans="2:8" ht="15.75" thickBot="1" x14ac:dyDescent="0.3">
      <c r="B162" s="23" t="s">
        <v>127</v>
      </c>
      <c r="C162" s="27">
        <f>C159+C160+C161</f>
        <v>1045.5799999999981</v>
      </c>
      <c r="D162" s="27">
        <f>D159+D160+D161</f>
        <v>1507.4999999999966</v>
      </c>
      <c r="E162" s="27">
        <f t="shared" ref="E162:G162" si="10">E159+E160+E161</f>
        <v>1543.3199999999993</v>
      </c>
      <c r="F162" s="27">
        <f t="shared" si="10"/>
        <v>2422.1199999999967</v>
      </c>
      <c r="G162" s="27">
        <f t="shared" si="10"/>
        <v>22662.829999999987</v>
      </c>
      <c r="H162" s="3"/>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Q144"/>
  <sheetViews>
    <sheetView showGridLines="0" workbookViewId="0">
      <pane ySplit="7" topLeftCell="A100" activePane="bottomLeft" state="frozen"/>
      <selection pane="bottomLeft" activeCell="G113" sqref="G113:I113"/>
    </sheetView>
  </sheetViews>
  <sheetFormatPr defaultRowHeight="15" x14ac:dyDescent="0.25"/>
  <cols>
    <col min="1" max="1" width="1.85546875" customWidth="1"/>
    <col min="2" max="2" width="40.42578125" bestFit="1" customWidth="1"/>
    <col min="3" max="3" width="8.140625" bestFit="1" customWidth="1"/>
    <col min="4" max="6" width="8.7109375" bestFit="1" customWidth="1"/>
    <col min="7" max="7" width="8.140625" bestFit="1" customWidth="1"/>
    <col min="8" max="10" width="12.7109375" bestFit="1" customWidth="1"/>
    <col min="11" max="12" width="12" bestFit="1" customWidth="1"/>
    <col min="13" max="17" width="12.7109375" bestFit="1" customWidth="1"/>
  </cols>
  <sheetData>
    <row r="1" spans="1:17" ht="7.5" customHeight="1" x14ac:dyDescent="0.25">
      <c r="B1" s="162"/>
      <c r="C1" s="162"/>
      <c r="D1" s="162"/>
      <c r="E1" s="162"/>
      <c r="F1" s="162"/>
      <c r="G1" s="162"/>
      <c r="H1" s="162"/>
      <c r="I1" s="162"/>
      <c r="J1" s="162"/>
      <c r="K1" s="162"/>
      <c r="L1" s="162"/>
      <c r="M1" s="162"/>
      <c r="N1" s="162"/>
      <c r="O1" s="162"/>
      <c r="P1" s="162"/>
      <c r="Q1" s="162"/>
    </row>
    <row r="2" spans="1:17" ht="26.25" x14ac:dyDescent="0.25">
      <c r="B2" s="161" t="s">
        <v>378</v>
      </c>
    </row>
    <row r="3" spans="1:17" x14ac:dyDescent="0.25">
      <c r="B3" s="160" t="s">
        <v>382</v>
      </c>
    </row>
    <row r="4" spans="1:17" x14ac:dyDescent="0.25">
      <c r="B4" s="159" t="s">
        <v>380</v>
      </c>
    </row>
    <row r="5" spans="1:17" x14ac:dyDescent="0.25">
      <c r="B5" s="159" t="s">
        <v>381</v>
      </c>
    </row>
    <row r="6" spans="1:17" ht="8.25" customHeight="1" x14ac:dyDescent="0.25"/>
    <row r="7" spans="1:17" x14ac:dyDescent="0.25">
      <c r="A7" s="162" t="s">
        <v>27</v>
      </c>
      <c r="B7" s="163" t="s">
        <v>383</v>
      </c>
      <c r="C7" s="164">
        <v>2020</v>
      </c>
      <c r="D7" s="164">
        <f>C7+1</f>
        <v>2021</v>
      </c>
      <c r="E7" s="164">
        <f t="shared" ref="E7" si="0">D7+1</f>
        <v>2022</v>
      </c>
      <c r="F7" s="164">
        <f t="shared" ref="F7" si="1">E7+1</f>
        <v>2023</v>
      </c>
      <c r="G7" s="164">
        <f t="shared" ref="G7" si="2">F7+1</f>
        <v>2024</v>
      </c>
      <c r="H7" s="165">
        <f t="shared" ref="H7" si="3">G7+1</f>
        <v>2025</v>
      </c>
      <c r="I7" s="165">
        <f t="shared" ref="I7" si="4">H7+1</f>
        <v>2026</v>
      </c>
      <c r="J7" s="165">
        <f t="shared" ref="J7" si="5">I7+1</f>
        <v>2027</v>
      </c>
      <c r="K7" s="165">
        <f t="shared" ref="K7" si="6">J7+1</f>
        <v>2028</v>
      </c>
      <c r="L7" s="165">
        <f t="shared" ref="L7" si="7">K7+1</f>
        <v>2029</v>
      </c>
      <c r="M7" s="165">
        <f t="shared" ref="M7" si="8">L7+1</f>
        <v>2030</v>
      </c>
      <c r="N7" s="165">
        <f t="shared" ref="N7" si="9">M7+1</f>
        <v>2031</v>
      </c>
      <c r="O7" s="165">
        <f t="shared" ref="O7" si="10">N7+1</f>
        <v>2032</v>
      </c>
      <c r="P7" s="165">
        <f t="shared" ref="P7" si="11">O7+1</f>
        <v>2033</v>
      </c>
      <c r="Q7" s="165">
        <f t="shared" ref="Q7" si="12">P7+1</f>
        <v>2034</v>
      </c>
    </row>
    <row r="9" spans="1:17" x14ac:dyDescent="0.25">
      <c r="B9" s="163" t="s">
        <v>147</v>
      </c>
    </row>
    <row r="10" spans="1:17" x14ac:dyDescent="0.25">
      <c r="B10" s="18" t="s">
        <v>137</v>
      </c>
      <c r="C10" s="22" t="s">
        <v>226</v>
      </c>
      <c r="D10" s="17"/>
      <c r="E10" s="17"/>
      <c r="F10" s="17"/>
      <c r="G10" s="19">
        <f>IF(C10=Scenario!B8,1,IF(C10=Scenario!B9,2,3))</f>
        <v>1</v>
      </c>
      <c r="H10" s="17"/>
      <c r="I10" s="17"/>
      <c r="J10" s="17"/>
      <c r="K10" s="17"/>
      <c r="L10" s="17"/>
      <c r="M10" s="17"/>
      <c r="N10" s="17"/>
      <c r="O10" s="17"/>
      <c r="P10" s="17"/>
      <c r="Q10" s="17"/>
    </row>
    <row r="11" spans="1:17" x14ac:dyDescent="0.25">
      <c r="B11" s="5" t="s">
        <v>138</v>
      </c>
      <c r="C11" s="5">
        <v>0</v>
      </c>
      <c r="D11" s="16">
        <f>D29/C29-1</f>
        <v>0.3664698889882243</v>
      </c>
      <c r="E11" s="16">
        <f t="shared" ref="E11:G11" si="13">E29/D29-1</f>
        <v>0.49476702643394788</v>
      </c>
      <c r="F11" s="16">
        <f t="shared" si="13"/>
        <v>0.21884860959491026</v>
      </c>
      <c r="G11" s="16">
        <f t="shared" si="13"/>
        <v>0.2549015955639653</v>
      </c>
      <c r="H11" s="16">
        <f t="array" ref="H11:Q11">CHOOSE($G$10,Scenario!E8:N8,Scenario!E9:N9,Scenario!E10:N10)</f>
        <v>0.33374678014526193</v>
      </c>
      <c r="I11" s="16">
        <v>0.30037210213073573</v>
      </c>
      <c r="J11" s="16">
        <v>0.27033489191766219</v>
      </c>
      <c r="K11" s="16">
        <v>0.24330140272589598</v>
      </c>
      <c r="L11" s="16">
        <v>0.21897126245330639</v>
      </c>
      <c r="M11" s="16">
        <v>0.19707413620797576</v>
      </c>
      <c r="N11" s="16">
        <v>0.1773667225871782</v>
      </c>
      <c r="O11" s="16">
        <v>0.15963005032846039</v>
      </c>
      <c r="P11" s="16">
        <v>0.14366704529561436</v>
      </c>
      <c r="Q11" s="16">
        <v>0.12930034076605293</v>
      </c>
    </row>
    <row r="12" spans="1:17" x14ac:dyDescent="0.25">
      <c r="B12" s="178" t="s">
        <v>139</v>
      </c>
      <c r="C12" s="179">
        <f>C30/C29</f>
        <v>0.43771773688331428</v>
      </c>
      <c r="D12" s="179">
        <f t="shared" ref="D12:G12" si="14">D30/D29</f>
        <v>0.46545942747338748</v>
      </c>
      <c r="E12" s="179">
        <f t="shared" si="14"/>
        <v>0.48381643244441358</v>
      </c>
      <c r="F12" s="179">
        <f t="shared" si="14"/>
        <v>0.47076406726694214</v>
      </c>
      <c r="G12" s="179">
        <f t="shared" si="14"/>
        <v>0.45790009319708175</v>
      </c>
      <c r="H12" s="180">
        <f>AVERAGE(C12:G12)</f>
        <v>0.46313155145302787</v>
      </c>
      <c r="I12" s="180">
        <f>H12</f>
        <v>0.46313155145302787</v>
      </c>
      <c r="J12" s="180">
        <f t="shared" ref="J12:Q12" si="15">I12</f>
        <v>0.46313155145302787</v>
      </c>
      <c r="K12" s="180">
        <f t="shared" si="15"/>
        <v>0.46313155145302787</v>
      </c>
      <c r="L12" s="180">
        <f t="shared" si="15"/>
        <v>0.46313155145302787</v>
      </c>
      <c r="M12" s="180">
        <f t="shared" si="15"/>
        <v>0.46313155145302787</v>
      </c>
      <c r="N12" s="180">
        <f t="shared" si="15"/>
        <v>0.46313155145302787</v>
      </c>
      <c r="O12" s="180">
        <f t="shared" si="15"/>
        <v>0.46313155145302787</v>
      </c>
      <c r="P12" s="180">
        <f t="shared" si="15"/>
        <v>0.46313155145302787</v>
      </c>
      <c r="Q12" s="180">
        <f t="shared" si="15"/>
        <v>0.46313155145302787</v>
      </c>
    </row>
    <row r="13" spans="1:17" x14ac:dyDescent="0.25">
      <c r="B13" s="178" t="s">
        <v>140</v>
      </c>
      <c r="C13" s="179">
        <f>C33/C29</f>
        <v>0.13571756634706628</v>
      </c>
      <c r="D13" s="179">
        <f t="shared" ref="D13:G13" si="16">D33/D29</f>
        <v>0.11248786180310508</v>
      </c>
      <c r="E13" s="179">
        <f t="shared" si="16"/>
        <v>9.0858200233328593E-2</v>
      </c>
      <c r="F13" s="179">
        <f t="shared" si="16"/>
        <v>8.8633136211777389E-2</v>
      </c>
      <c r="G13" s="179">
        <f t="shared" si="16"/>
        <v>9.2036317176308086E-2</v>
      </c>
      <c r="H13" s="180">
        <f>AVERAGE(C13:G13)</f>
        <v>0.10394661635431708</v>
      </c>
      <c r="I13" s="180">
        <f>H13</f>
        <v>0.10394661635431708</v>
      </c>
      <c r="J13" s="180">
        <f t="shared" ref="J13:Q13" si="17">I13</f>
        <v>0.10394661635431708</v>
      </c>
      <c r="K13" s="180">
        <f t="shared" si="17"/>
        <v>0.10394661635431708</v>
      </c>
      <c r="L13" s="180">
        <f t="shared" si="17"/>
        <v>0.10394661635431708</v>
      </c>
      <c r="M13" s="180">
        <f t="shared" si="17"/>
        <v>0.10394661635431708</v>
      </c>
      <c r="N13" s="180">
        <f t="shared" si="17"/>
        <v>0.10394661635431708</v>
      </c>
      <c r="O13" s="180">
        <f t="shared" si="17"/>
        <v>0.10394661635431708</v>
      </c>
      <c r="P13" s="180">
        <f t="shared" si="17"/>
        <v>0.10394661635431708</v>
      </c>
      <c r="Q13" s="180">
        <f t="shared" si="17"/>
        <v>0.10394661635431708</v>
      </c>
    </row>
    <row r="14" spans="1:17" x14ac:dyDescent="0.25">
      <c r="B14" s="178" t="s">
        <v>141</v>
      </c>
      <c r="C14" s="179">
        <f>C34/C29</f>
        <v>0.2432354844747186</v>
      </c>
      <c r="D14" s="179">
        <f t="shared" ref="D14:G14" si="18">D34/D29</f>
        <v>0.23734727974342426</v>
      </c>
      <c r="E14" s="179">
        <f t="shared" si="18"/>
        <v>0.21711111665398861</v>
      </c>
      <c r="F14" s="179">
        <f t="shared" si="18"/>
        <v>0.21944777739048002</v>
      </c>
      <c r="G14" s="179">
        <f t="shared" si="18"/>
        <v>0.22004574117459572</v>
      </c>
      <c r="H14" s="180">
        <f t="shared" ref="H14:H22" si="19">AVERAGE(C14:G14)</f>
        <v>0.22743747988744145</v>
      </c>
      <c r="I14" s="180">
        <f t="shared" ref="I14:Q22" si="20">H14</f>
        <v>0.22743747988744145</v>
      </c>
      <c r="J14" s="180">
        <f t="shared" si="20"/>
        <v>0.22743747988744145</v>
      </c>
      <c r="K14" s="180">
        <f t="shared" si="20"/>
        <v>0.22743747988744145</v>
      </c>
      <c r="L14" s="180">
        <f t="shared" si="20"/>
        <v>0.22743747988744145</v>
      </c>
      <c r="M14" s="180">
        <f t="shared" si="20"/>
        <v>0.22743747988744145</v>
      </c>
      <c r="N14" s="180">
        <f t="shared" si="20"/>
        <v>0.22743747988744145</v>
      </c>
      <c r="O14" s="180">
        <f t="shared" si="20"/>
        <v>0.22743747988744145</v>
      </c>
      <c r="P14" s="180">
        <f t="shared" si="20"/>
        <v>0.22743747988744145</v>
      </c>
      <c r="Q14" s="180">
        <f t="shared" si="20"/>
        <v>0.22743747988744145</v>
      </c>
    </row>
    <row r="15" spans="1:17" x14ac:dyDescent="0.25">
      <c r="B15" s="178" t="s">
        <v>231</v>
      </c>
      <c r="C15" s="179">
        <v>0</v>
      </c>
      <c r="D15" s="179">
        <f t="shared" ref="D15:G15" si="21">D37/D133</f>
        <v>8.2350829395567093E-2</v>
      </c>
      <c r="E15" s="179">
        <f t="shared" si="21"/>
        <v>9.0988512274454078E-2</v>
      </c>
      <c r="F15" s="179">
        <f t="shared" si="21"/>
        <v>9.0610823885861974E-2</v>
      </c>
      <c r="G15" s="179">
        <f t="shared" si="21"/>
        <v>9.1915319844135535E-2</v>
      </c>
      <c r="H15" s="180">
        <f>AVERAGE(D15:G15)</f>
        <v>8.8966371350004667E-2</v>
      </c>
      <c r="I15" s="180">
        <f t="shared" si="20"/>
        <v>8.8966371350004667E-2</v>
      </c>
      <c r="J15" s="180">
        <f t="shared" si="20"/>
        <v>8.8966371350004667E-2</v>
      </c>
      <c r="K15" s="180">
        <f t="shared" si="20"/>
        <v>8.8966371350004667E-2</v>
      </c>
      <c r="L15" s="180">
        <f t="shared" si="20"/>
        <v>8.8966371350004667E-2</v>
      </c>
      <c r="M15" s="180">
        <f t="shared" si="20"/>
        <v>8.8966371350004667E-2</v>
      </c>
      <c r="N15" s="180">
        <f t="shared" si="20"/>
        <v>8.8966371350004667E-2</v>
      </c>
      <c r="O15" s="180">
        <f t="shared" si="20"/>
        <v>8.8966371350004667E-2</v>
      </c>
      <c r="P15" s="180">
        <f t="shared" si="20"/>
        <v>8.8966371350004667E-2</v>
      </c>
      <c r="Q15" s="180">
        <f t="shared" si="20"/>
        <v>8.8966371350004667E-2</v>
      </c>
    </row>
    <row r="16" spans="1:17" x14ac:dyDescent="0.25">
      <c r="B16" s="178" t="s">
        <v>142</v>
      </c>
      <c r="C16" s="179">
        <v>0</v>
      </c>
      <c r="D16" s="179">
        <f>D39/D139</f>
        <v>6.77016800793213E-2</v>
      </c>
      <c r="E16" s="179">
        <f t="shared" ref="E16:G16" si="22">E39/E139</f>
        <v>5.4955768935501782E-2</v>
      </c>
      <c r="F16" s="179">
        <f t="shared" si="22"/>
        <v>6.9029824806234277E-2</v>
      </c>
      <c r="G16" s="179">
        <f t="shared" si="22"/>
        <v>8.2924009124870426E-2</v>
      </c>
      <c r="H16" s="180">
        <f>AVERAGE(D16:G16)</f>
        <v>6.8652820736481948E-2</v>
      </c>
      <c r="I16" s="180">
        <f t="shared" si="20"/>
        <v>6.8652820736481948E-2</v>
      </c>
      <c r="J16" s="180">
        <f t="shared" si="20"/>
        <v>6.8652820736481948E-2</v>
      </c>
      <c r="K16" s="180">
        <f t="shared" si="20"/>
        <v>6.8652820736481948E-2</v>
      </c>
      <c r="L16" s="180">
        <f t="shared" si="20"/>
        <v>6.8652820736481948E-2</v>
      </c>
      <c r="M16" s="180">
        <f t="shared" si="20"/>
        <v>6.8652820736481948E-2</v>
      </c>
      <c r="N16" s="180">
        <f t="shared" si="20"/>
        <v>6.8652820736481948E-2</v>
      </c>
      <c r="O16" s="180">
        <f t="shared" si="20"/>
        <v>6.8652820736481948E-2</v>
      </c>
      <c r="P16" s="180">
        <f t="shared" si="20"/>
        <v>6.8652820736481948E-2</v>
      </c>
      <c r="Q16" s="180">
        <f t="shared" si="20"/>
        <v>6.8652820736481948E-2</v>
      </c>
    </row>
    <row r="17" spans="1:17" x14ac:dyDescent="0.25">
      <c r="B17" s="178" t="s">
        <v>143</v>
      </c>
      <c r="C17" s="179">
        <f>C40/C29</f>
        <v>-4.5085329901456582E-3</v>
      </c>
      <c r="D17" s="179">
        <f t="shared" ref="D17:G17" si="23">D40/D29</f>
        <v>7.5823614124613725E-3</v>
      </c>
      <c r="E17" s="179">
        <f t="shared" si="23"/>
        <v>2.9007753074965213E-3</v>
      </c>
      <c r="F17" s="179">
        <f t="shared" si="23"/>
        <v>4.8330185356186672E-3</v>
      </c>
      <c r="G17" s="179">
        <f t="shared" si="23"/>
        <v>5.8487418393963521E-3</v>
      </c>
      <c r="H17" s="180">
        <f t="shared" si="19"/>
        <v>3.3312728209654507E-3</v>
      </c>
      <c r="I17" s="180">
        <f t="shared" si="20"/>
        <v>3.3312728209654507E-3</v>
      </c>
      <c r="J17" s="180">
        <f t="shared" si="20"/>
        <v>3.3312728209654507E-3</v>
      </c>
      <c r="K17" s="180">
        <f t="shared" si="20"/>
        <v>3.3312728209654507E-3</v>
      </c>
      <c r="L17" s="180">
        <f t="shared" si="20"/>
        <v>3.3312728209654507E-3</v>
      </c>
      <c r="M17" s="180">
        <f t="shared" si="20"/>
        <v>3.3312728209654507E-3</v>
      </c>
      <c r="N17" s="180">
        <f t="shared" si="20"/>
        <v>3.3312728209654507E-3</v>
      </c>
      <c r="O17" s="180">
        <f t="shared" si="20"/>
        <v>3.3312728209654507E-3</v>
      </c>
      <c r="P17" s="180">
        <f t="shared" si="20"/>
        <v>3.3312728209654507E-3</v>
      </c>
      <c r="Q17" s="180">
        <f t="shared" si="20"/>
        <v>3.3312728209654507E-3</v>
      </c>
    </row>
    <row r="18" spans="1:17" x14ac:dyDescent="0.25">
      <c r="B18" s="178" t="s">
        <v>144</v>
      </c>
      <c r="C18" s="179">
        <f>C42/C41</f>
        <v>1.4438421539013232E-2</v>
      </c>
      <c r="D18" s="179">
        <f t="shared" ref="D18:G18" si="24">D42/D41</f>
        <v>0.25884554861475356</v>
      </c>
      <c r="E18" s="179">
        <f t="shared" si="24"/>
        <v>0.23399601806055148</v>
      </c>
      <c r="F18" s="179">
        <f t="shared" si="24"/>
        <v>0.23273574849599918</v>
      </c>
      <c r="G18" s="179">
        <f t="shared" si="24"/>
        <v>0.23267791775861335</v>
      </c>
      <c r="H18" s="180">
        <f t="shared" si="19"/>
        <v>0.19453873089378618</v>
      </c>
      <c r="I18" s="180">
        <f t="shared" si="20"/>
        <v>0.19453873089378618</v>
      </c>
      <c r="J18" s="180">
        <f t="shared" si="20"/>
        <v>0.19453873089378618</v>
      </c>
      <c r="K18" s="180">
        <f t="shared" si="20"/>
        <v>0.19453873089378618</v>
      </c>
      <c r="L18" s="180">
        <f t="shared" si="20"/>
        <v>0.19453873089378618</v>
      </c>
      <c r="M18" s="180">
        <f t="shared" si="20"/>
        <v>0.19453873089378618</v>
      </c>
      <c r="N18" s="180">
        <f t="shared" si="20"/>
        <v>0.19453873089378618</v>
      </c>
      <c r="O18" s="180">
        <f t="shared" si="20"/>
        <v>0.19453873089378618</v>
      </c>
      <c r="P18" s="180">
        <f t="shared" si="20"/>
        <v>0.19453873089378618</v>
      </c>
      <c r="Q18" s="180">
        <f t="shared" si="20"/>
        <v>0.19453873089378618</v>
      </c>
    </row>
    <row r="19" spans="1:17" x14ac:dyDescent="0.25">
      <c r="B19" s="178" t="s">
        <v>145</v>
      </c>
      <c r="C19" s="179">
        <f>-C113/C43</f>
        <v>0.20200911912805686</v>
      </c>
      <c r="D19" s="179">
        <f t="shared" ref="D19:G19" si="25">-D113/D43</f>
        <v>0.14510784771034715</v>
      </c>
      <c r="E19" s="179">
        <f t="shared" si="25"/>
        <v>0.1047581016622004</v>
      </c>
      <c r="F19" s="179">
        <f t="shared" si="25"/>
        <v>0.10816756771415922</v>
      </c>
      <c r="G19" s="179">
        <f t="shared" si="25"/>
        <v>0.12330480566833128</v>
      </c>
      <c r="H19" s="180">
        <f t="shared" si="19"/>
        <v>0.13666948837661896</v>
      </c>
      <c r="I19" s="180">
        <f t="shared" si="20"/>
        <v>0.13666948837661896</v>
      </c>
      <c r="J19" s="180">
        <f t="shared" si="20"/>
        <v>0.13666948837661896</v>
      </c>
      <c r="K19" s="180">
        <f t="shared" si="20"/>
        <v>0.13666948837661896</v>
      </c>
      <c r="L19" s="180">
        <f t="shared" si="20"/>
        <v>0.13666948837661896</v>
      </c>
      <c r="M19" s="180">
        <f t="shared" si="20"/>
        <v>0.13666948837661896</v>
      </c>
      <c r="N19" s="180">
        <f t="shared" si="20"/>
        <v>0.13666948837661896</v>
      </c>
      <c r="O19" s="180">
        <f t="shared" si="20"/>
        <v>0.13666948837661896</v>
      </c>
      <c r="P19" s="180">
        <f t="shared" si="20"/>
        <v>0.13666948837661896</v>
      </c>
      <c r="Q19" s="180">
        <f t="shared" si="20"/>
        <v>0.13666948837661896</v>
      </c>
    </row>
    <row r="20" spans="1:17" x14ac:dyDescent="0.25">
      <c r="B20" s="178" t="s">
        <v>222</v>
      </c>
      <c r="C20" s="181">
        <f>C54/C29*365</f>
        <v>13.462281668222795</v>
      </c>
      <c r="D20" s="181">
        <f t="shared" ref="D20:G20" si="26">D54/D29*365</f>
        <v>9.014653018081237</v>
      </c>
      <c r="E20" s="181">
        <f t="shared" si="26"/>
        <v>8.15935900505416</v>
      </c>
      <c r="F20" s="181">
        <f t="shared" si="26"/>
        <v>8.0371924916900319</v>
      </c>
      <c r="G20" s="181">
        <f t="shared" si="26"/>
        <v>15.073843356251118</v>
      </c>
      <c r="H20" s="181">
        <f t="shared" si="19"/>
        <v>10.749465907859868</v>
      </c>
      <c r="I20" s="181">
        <f t="shared" si="20"/>
        <v>10.749465907859868</v>
      </c>
      <c r="J20" s="181">
        <f t="shared" si="20"/>
        <v>10.749465907859868</v>
      </c>
      <c r="K20" s="181">
        <f t="shared" si="20"/>
        <v>10.749465907859868</v>
      </c>
      <c r="L20" s="181">
        <f t="shared" si="20"/>
        <v>10.749465907859868</v>
      </c>
      <c r="M20" s="181">
        <f t="shared" si="20"/>
        <v>10.749465907859868</v>
      </c>
      <c r="N20" s="181">
        <f t="shared" si="20"/>
        <v>10.749465907859868</v>
      </c>
      <c r="O20" s="181">
        <f t="shared" si="20"/>
        <v>10.749465907859868</v>
      </c>
      <c r="P20" s="181">
        <f t="shared" si="20"/>
        <v>10.749465907859868</v>
      </c>
      <c r="Q20" s="181">
        <f t="shared" si="20"/>
        <v>10.749465907859868</v>
      </c>
    </row>
    <row r="21" spans="1:17" x14ac:dyDescent="0.25">
      <c r="B21" s="178" t="s">
        <v>223</v>
      </c>
      <c r="C21" s="181">
        <f>C55/C30*365</f>
        <v>118.14019862098574</v>
      </c>
      <c r="D21" s="181">
        <f t="shared" ref="D21:G21" si="27">D55/D30*365</f>
        <v>126.75950141508271</v>
      </c>
      <c r="E21" s="181">
        <f t="shared" si="27"/>
        <v>112.33463562649297</v>
      </c>
      <c r="F21" s="181">
        <f t="shared" si="27"/>
        <v>102.1614922878893</v>
      </c>
      <c r="G21" s="181">
        <f t="shared" si="27"/>
        <v>108.63262312705298</v>
      </c>
      <c r="H21" s="181">
        <f t="shared" si="19"/>
        <v>113.60569021550074</v>
      </c>
      <c r="I21" s="181">
        <f t="shared" si="20"/>
        <v>113.60569021550074</v>
      </c>
      <c r="J21" s="181">
        <f t="shared" si="20"/>
        <v>113.60569021550074</v>
      </c>
      <c r="K21" s="181">
        <f t="shared" si="20"/>
        <v>113.60569021550074</v>
      </c>
      <c r="L21" s="181">
        <f t="shared" si="20"/>
        <v>113.60569021550074</v>
      </c>
      <c r="M21" s="181">
        <f t="shared" si="20"/>
        <v>113.60569021550074</v>
      </c>
      <c r="N21" s="181">
        <f t="shared" si="20"/>
        <v>113.60569021550074</v>
      </c>
      <c r="O21" s="181">
        <f t="shared" si="20"/>
        <v>113.60569021550074</v>
      </c>
      <c r="P21" s="181">
        <f t="shared" si="20"/>
        <v>113.60569021550074</v>
      </c>
      <c r="Q21" s="181">
        <f t="shared" si="20"/>
        <v>113.60569021550074</v>
      </c>
    </row>
    <row r="22" spans="1:17" x14ac:dyDescent="0.25">
      <c r="B22" s="178" t="s">
        <v>224</v>
      </c>
      <c r="C22" s="181">
        <f>C70/C30*365</f>
        <v>65.0461512566621</v>
      </c>
      <c r="D22" s="181">
        <f t="shared" ref="D22:G22" si="28">D70/D30*365</f>
        <v>62.303891555334282</v>
      </c>
      <c r="E22" s="181">
        <f t="shared" si="28"/>
        <v>46.438515308620481</v>
      </c>
      <c r="F22" s="181">
        <f t="shared" si="28"/>
        <v>36.02072007465474</v>
      </c>
      <c r="G22" s="181">
        <f t="shared" si="28"/>
        <v>60.730586618061373</v>
      </c>
      <c r="H22" s="181">
        <f t="shared" si="19"/>
        <v>54.107972962666601</v>
      </c>
      <c r="I22" s="181">
        <f t="shared" si="20"/>
        <v>54.107972962666601</v>
      </c>
      <c r="J22" s="181">
        <f t="shared" si="20"/>
        <v>54.107972962666601</v>
      </c>
      <c r="K22" s="181">
        <f t="shared" si="20"/>
        <v>54.107972962666601</v>
      </c>
      <c r="L22" s="181">
        <f t="shared" si="20"/>
        <v>54.107972962666601</v>
      </c>
      <c r="M22" s="181">
        <f t="shared" si="20"/>
        <v>54.107972962666601</v>
      </c>
      <c r="N22" s="181">
        <f t="shared" si="20"/>
        <v>54.107972962666601</v>
      </c>
      <c r="O22" s="181">
        <f t="shared" si="20"/>
        <v>54.107972962666601</v>
      </c>
      <c r="P22" s="181">
        <f t="shared" si="20"/>
        <v>54.107972962666601</v>
      </c>
      <c r="Q22" s="181">
        <f t="shared" si="20"/>
        <v>54.107972962666601</v>
      </c>
    </row>
    <row r="23" spans="1:17" x14ac:dyDescent="0.25">
      <c r="B23" s="178" t="s">
        <v>146</v>
      </c>
      <c r="C23" s="182">
        <f>C29/C60</f>
        <v>1.0162120125173535</v>
      </c>
      <c r="D23" s="182">
        <f t="shared" ref="D23:G23" si="29">D29/D60</f>
        <v>1.3206676894948413</v>
      </c>
      <c r="E23" s="182">
        <f t="shared" si="29"/>
        <v>1.7819339125685776</v>
      </c>
      <c r="F23" s="182">
        <f t="shared" si="29"/>
        <v>1.5834683284757072</v>
      </c>
      <c r="G23" s="182">
        <f t="shared" si="29"/>
        <v>1.4355221453833116</v>
      </c>
      <c r="H23" s="182">
        <f>G23+0.2</f>
        <v>1.6355221453833115</v>
      </c>
      <c r="I23" s="182">
        <f t="shared" ref="I23:Q23" si="30">H23+0.2</f>
        <v>1.8355221453833115</v>
      </c>
      <c r="J23" s="182">
        <f t="shared" si="30"/>
        <v>2.0355221453833114</v>
      </c>
      <c r="K23" s="182">
        <f t="shared" si="30"/>
        <v>2.2355221453833116</v>
      </c>
      <c r="L23" s="182">
        <f t="shared" si="30"/>
        <v>2.4355221453833118</v>
      </c>
      <c r="M23" s="182">
        <f t="shared" si="30"/>
        <v>2.635522145383312</v>
      </c>
      <c r="N23" s="182">
        <f t="shared" si="30"/>
        <v>2.8355221453833122</v>
      </c>
      <c r="O23" s="182">
        <f t="shared" si="30"/>
        <v>3.0355221453833123</v>
      </c>
      <c r="P23" s="182">
        <f t="shared" si="30"/>
        <v>3.2355221453833125</v>
      </c>
      <c r="Q23" s="182">
        <f t="shared" si="30"/>
        <v>3.4355221453833127</v>
      </c>
    </row>
    <row r="26" spans="1:17" x14ac:dyDescent="0.25">
      <c r="B26" s="1" t="s">
        <v>148</v>
      </c>
    </row>
    <row r="27" spans="1:17" x14ac:dyDescent="0.25">
      <c r="A27" s="166" t="s">
        <v>27</v>
      </c>
      <c r="B27" s="163" t="s">
        <v>25</v>
      </c>
      <c r="C27" s="164">
        <v>2020</v>
      </c>
      <c r="D27" s="164">
        <f>C27+1</f>
        <v>2021</v>
      </c>
      <c r="E27" s="164">
        <f t="shared" ref="E27" si="31">D27+1</f>
        <v>2022</v>
      </c>
      <c r="F27" s="164">
        <f t="shared" ref="F27" si="32">E27+1</f>
        <v>2023</v>
      </c>
      <c r="G27" s="164">
        <f t="shared" ref="G27" si="33">F27+1</f>
        <v>2024</v>
      </c>
      <c r="H27" s="165">
        <f t="shared" ref="H27" si="34">G27+1</f>
        <v>2025</v>
      </c>
      <c r="I27" s="165">
        <f t="shared" ref="I27" si="35">H27+1</f>
        <v>2026</v>
      </c>
      <c r="J27" s="165">
        <f t="shared" ref="J27" si="36">I27+1</f>
        <v>2027</v>
      </c>
      <c r="K27" s="165">
        <f t="shared" ref="K27" si="37">J27+1</f>
        <v>2028</v>
      </c>
      <c r="L27" s="165">
        <f t="shared" ref="L27" si="38">K27+1</f>
        <v>2029</v>
      </c>
      <c r="M27" s="165">
        <f t="shared" ref="M27" si="39">L27+1</f>
        <v>2030</v>
      </c>
      <c r="N27" s="165">
        <f t="shared" ref="N27" si="40">M27+1</f>
        <v>2031</v>
      </c>
      <c r="O27" s="165">
        <f t="shared" ref="O27" si="41">N27+1</f>
        <v>2032</v>
      </c>
      <c r="P27" s="165">
        <f t="shared" ref="P27" si="42">O27+1</f>
        <v>2033</v>
      </c>
      <c r="Q27" s="165">
        <f t="shared" ref="Q27" si="43">P27+1</f>
        <v>2034</v>
      </c>
    </row>
    <row r="29" spans="1:17" x14ac:dyDescent="0.25">
      <c r="B29" t="s">
        <v>0</v>
      </c>
      <c r="C29" s="25">
        <v>65557.91</v>
      </c>
      <c r="D29" s="25">
        <v>89582.91</v>
      </c>
      <c r="E29" s="25">
        <v>133905.57999999999</v>
      </c>
      <c r="F29" s="25">
        <v>163210.63</v>
      </c>
      <c r="G29" s="25">
        <v>204813.28</v>
      </c>
      <c r="H29" s="25">
        <f>G29*(1+H11)</f>
        <v>273169.05273098993</v>
      </c>
      <c r="I29" s="25">
        <f t="shared" ref="I29:Q29" si="44">H29*(1+I11)</f>
        <v>355221.41533685918</v>
      </c>
      <c r="J29" s="25">
        <f t="shared" si="44"/>
        <v>451250.158258788</v>
      </c>
      <c r="K29" s="25">
        <f t="shared" si="44"/>
        <v>561039.95474343363</v>
      </c>
      <c r="L29" s="25">
        <f t="shared" si="44"/>
        <v>683891.58192034916</v>
      </c>
      <c r="M29" s="25">
        <f t="shared" si="44"/>
        <v>818668.92468720803</v>
      </c>
      <c r="N29" s="25">
        <f t="shared" si="44"/>
        <v>963873.54874294752</v>
      </c>
      <c r="O29" s="25">
        <f t="shared" si="44"/>
        <v>1117736.7318390559</v>
      </c>
      <c r="P29" s="25">
        <f t="shared" si="44"/>
        <v>1278318.6655207495</v>
      </c>
      <c r="Q29" s="25">
        <f t="shared" si="44"/>
        <v>1443605.7045801885</v>
      </c>
    </row>
    <row r="30" spans="1:17" x14ac:dyDescent="0.25">
      <c r="B30" t="s">
        <v>149</v>
      </c>
      <c r="C30" s="25">
        <f>SUM('Historical Data'!C15:C18)</f>
        <v>28695.86</v>
      </c>
      <c r="D30" s="25">
        <f>SUM('Historical Data'!D15:D18)</f>
        <v>41697.21</v>
      </c>
      <c r="E30" s="25">
        <f>SUM('Historical Data'!E15:E18)</f>
        <v>64785.720000000008</v>
      </c>
      <c r="F30" s="25">
        <f>SUM('Historical Data'!F15:F18)</f>
        <v>76833.700000000012</v>
      </c>
      <c r="G30" s="25">
        <f>SUM('Historical Data'!G15:G18)</f>
        <v>93784.02</v>
      </c>
      <c r="H30" s="25">
        <f>H29*H12</f>
        <v>126513.20720025734</v>
      </c>
      <c r="I30" s="25">
        <f t="shared" ref="I30:Q30" si="45">I29*I12</f>
        <v>164514.24519429999</v>
      </c>
      <c r="J30" s="25">
        <f t="shared" si="45"/>
        <v>208988.18588781683</v>
      </c>
      <c r="K30" s="25">
        <f t="shared" si="45"/>
        <v>259835.30466746294</v>
      </c>
      <c r="L30" s="25">
        <f t="shared" si="45"/>
        <v>316731.76936043683</v>
      </c>
      <c r="M30" s="25">
        <f t="shared" si="45"/>
        <v>379151.40921676869</v>
      </c>
      <c r="N30" s="25">
        <f t="shared" si="45"/>
        <v>446400.25203385699</v>
      </c>
      <c r="O30" s="25">
        <f t="shared" si="45"/>
        <v>517659.1467326589</v>
      </c>
      <c r="P30" s="25">
        <f t="shared" si="45"/>
        <v>592029.70681398897</v>
      </c>
      <c r="Q30" s="25">
        <f t="shared" si="45"/>
        <v>668579.34964866412</v>
      </c>
    </row>
    <row r="31" spans="1:17" x14ac:dyDescent="0.25">
      <c r="A31" s="1"/>
      <c r="B31" s="10" t="s">
        <v>150</v>
      </c>
      <c r="C31" s="26">
        <f>C29-C30</f>
        <v>36862.050000000003</v>
      </c>
      <c r="D31" s="26">
        <f t="shared" ref="D31:G31" si="46">D29-D30</f>
        <v>47885.700000000004</v>
      </c>
      <c r="E31" s="26">
        <f t="shared" si="46"/>
        <v>69119.859999999986</v>
      </c>
      <c r="F31" s="26">
        <f t="shared" si="46"/>
        <v>86376.93</v>
      </c>
      <c r="G31" s="26">
        <f t="shared" si="46"/>
        <v>111029.26</v>
      </c>
      <c r="H31" s="26">
        <f>H29-H30</f>
        <v>146655.84553073259</v>
      </c>
      <c r="I31" s="26">
        <f t="shared" ref="I31:Q31" si="47">I29-I30</f>
        <v>190707.17014255919</v>
      </c>
      <c r="J31" s="26">
        <f t="shared" si="47"/>
        <v>242261.97237097117</v>
      </c>
      <c r="K31" s="26">
        <f t="shared" si="47"/>
        <v>301204.65007597068</v>
      </c>
      <c r="L31" s="26">
        <f t="shared" si="47"/>
        <v>367159.81255991233</v>
      </c>
      <c r="M31" s="26">
        <f t="shared" si="47"/>
        <v>439517.51547043934</v>
      </c>
      <c r="N31" s="26">
        <f t="shared" si="47"/>
        <v>517473.29670909053</v>
      </c>
      <c r="O31" s="26">
        <f t="shared" si="47"/>
        <v>600077.58510639705</v>
      </c>
      <c r="P31" s="26">
        <f t="shared" si="47"/>
        <v>686288.95870676055</v>
      </c>
      <c r="Q31" s="26">
        <f t="shared" si="47"/>
        <v>775026.35493152437</v>
      </c>
    </row>
    <row r="32" spans="1:17" x14ac:dyDescent="0.25">
      <c r="B32" s="1" t="s">
        <v>3</v>
      </c>
      <c r="C32" s="25"/>
      <c r="D32" s="25"/>
      <c r="E32" s="25"/>
      <c r="F32" s="25"/>
      <c r="G32" s="25"/>
      <c r="H32" s="25"/>
      <c r="I32" s="25"/>
      <c r="J32" s="25"/>
      <c r="K32" s="25"/>
      <c r="L32" s="25"/>
      <c r="M32" s="25"/>
      <c r="N32" s="25"/>
      <c r="O32" s="25"/>
      <c r="P32" s="25"/>
      <c r="Q32" s="25"/>
    </row>
    <row r="33" spans="1:17" x14ac:dyDescent="0.25">
      <c r="B33" t="s">
        <v>151</v>
      </c>
      <c r="C33" s="25">
        <f>'Historical Data'!C19</f>
        <v>8897.36</v>
      </c>
      <c r="D33" s="25">
        <f>'Historical Data'!D19</f>
        <v>10076.99</v>
      </c>
      <c r="E33" s="25">
        <f>'Historical Data'!E19</f>
        <v>12166.42</v>
      </c>
      <c r="F33" s="25">
        <f>'Historical Data'!F19</f>
        <v>14465.87</v>
      </c>
      <c r="G33" s="25">
        <f>'Historical Data'!G19</f>
        <v>18850.259999999998</v>
      </c>
      <c r="H33" s="25">
        <f>H13*H29</f>
        <v>28394.998724100424</v>
      </c>
      <c r="I33" s="25">
        <f t="shared" ref="I33:Q33" si="48">I13*I29</f>
        <v>36924.064180858026</v>
      </c>
      <c r="J33" s="25">
        <f t="shared" si="48"/>
        <v>46905.927080351103</v>
      </c>
      <c r="K33" s="25">
        <f t="shared" si="48"/>
        <v>58318.204935159112</v>
      </c>
      <c r="L33" s="25">
        <f t="shared" si="48"/>
        <v>71088.215893821543</v>
      </c>
      <c r="M33" s="25">
        <f t="shared" si="48"/>
        <v>85097.86463566251</v>
      </c>
      <c r="N33" s="25">
        <f t="shared" si="48"/>
        <v>100191.39398525731</v>
      </c>
      <c r="O33" s="25">
        <f t="shared" si="48"/>
        <v>116184.95124960253</v>
      </c>
      <c r="P33" s="25">
        <f t="shared" si="48"/>
        <v>132876.89990344792</v>
      </c>
      <c r="Q33" s="25">
        <f t="shared" si="48"/>
        <v>150057.92834090046</v>
      </c>
    </row>
    <row r="34" spans="1:17" x14ac:dyDescent="0.25">
      <c r="B34" t="s">
        <v>152</v>
      </c>
      <c r="C34" s="25">
        <f>'Historical Data'!C22</f>
        <v>15946.01</v>
      </c>
      <c r="D34" s="25">
        <f>'Historical Data'!D22</f>
        <v>21262.26</v>
      </c>
      <c r="E34" s="25">
        <f>'Historical Data'!E22</f>
        <v>29072.39</v>
      </c>
      <c r="F34" s="25">
        <f>'Historical Data'!F22</f>
        <v>35816.21</v>
      </c>
      <c r="G34" s="25">
        <f>'Historical Data'!G22</f>
        <v>45068.29</v>
      </c>
      <c r="H34" s="25">
        <f>H14*H29</f>
        <v>62128.880936375957</v>
      </c>
      <c r="I34" s="25">
        <f t="shared" ref="I34:Q34" si="49">I14*I29</f>
        <v>80790.663506265395</v>
      </c>
      <c r="J34" s="25">
        <f t="shared" si="49"/>
        <v>102631.19879318787</v>
      </c>
      <c r="K34" s="25">
        <f t="shared" si="49"/>
        <v>127601.51342301075</v>
      </c>
      <c r="L34" s="25">
        <f t="shared" si="49"/>
        <v>155542.57790819992</v>
      </c>
      <c r="M34" s="25">
        <f t="shared" si="49"/>
        <v>186195.99709302018</v>
      </c>
      <c r="N34" s="25">
        <f t="shared" si="49"/>
        <v>219220.97085626094</v>
      </c>
      <c r="O34" s="25">
        <f t="shared" si="49"/>
        <v>254215.22546709981</v>
      </c>
      <c r="P34" s="25">
        <f t="shared" si="49"/>
        <v>290737.57577911648</v>
      </c>
      <c r="Q34" s="25">
        <f t="shared" si="49"/>
        <v>328330.04340085236</v>
      </c>
    </row>
    <row r="35" spans="1:17" x14ac:dyDescent="0.25">
      <c r="B35" t="s">
        <v>12</v>
      </c>
      <c r="C35" s="25">
        <f>SUM(C33:C34)</f>
        <v>24843.370000000003</v>
      </c>
      <c r="D35" s="25">
        <f t="shared" ref="D35:H35" si="50">SUM(D33:D34)</f>
        <v>31339.25</v>
      </c>
      <c r="E35" s="25">
        <f t="shared" si="50"/>
        <v>41238.81</v>
      </c>
      <c r="F35" s="25">
        <f t="shared" si="50"/>
        <v>50282.080000000002</v>
      </c>
      <c r="G35" s="25">
        <f t="shared" si="50"/>
        <v>63918.55</v>
      </c>
      <c r="H35" s="25">
        <f t="shared" si="50"/>
        <v>90523.879660476377</v>
      </c>
      <c r="I35" s="25">
        <f t="shared" ref="I35" si="51">SUM(I33:I34)</f>
        <v>117714.72768712342</v>
      </c>
      <c r="J35" s="25">
        <f t="shared" ref="J35" si="52">SUM(J33:J34)</f>
        <v>149537.12587353896</v>
      </c>
      <c r="K35" s="25">
        <f t="shared" ref="K35" si="53">SUM(K33:K34)</f>
        <v>185919.71835816986</v>
      </c>
      <c r="L35" s="25">
        <f t="shared" ref="L35" si="54">SUM(L33:L34)</f>
        <v>226630.79380202148</v>
      </c>
      <c r="M35" s="25">
        <f t="shared" ref="M35" si="55">SUM(M33:M34)</f>
        <v>271293.86172868271</v>
      </c>
      <c r="N35" s="25">
        <f t="shared" ref="N35" si="56">SUM(N33:N34)</f>
        <v>319412.36484151823</v>
      </c>
      <c r="O35" s="25">
        <f t="shared" ref="O35" si="57">SUM(O33:O34)</f>
        <v>370400.17671670235</v>
      </c>
      <c r="P35" s="25">
        <f t="shared" ref="P35" si="58">SUM(P33:P34)</f>
        <v>423614.47568256443</v>
      </c>
      <c r="Q35" s="25">
        <f t="shared" ref="Q35" si="59">SUM(Q33:Q34)</f>
        <v>478387.97174175282</v>
      </c>
    </row>
    <row r="36" spans="1:17" x14ac:dyDescent="0.25">
      <c r="B36" s="10" t="s">
        <v>153</v>
      </c>
      <c r="C36" s="26">
        <f>C31-C35</f>
        <v>12018.68</v>
      </c>
      <c r="D36" s="26">
        <f t="shared" ref="D36:G36" si="60">D31-D35</f>
        <v>16546.450000000004</v>
      </c>
      <c r="E36" s="26">
        <f t="shared" si="60"/>
        <v>27881.049999999988</v>
      </c>
      <c r="F36" s="26">
        <f t="shared" si="60"/>
        <v>36094.849999999991</v>
      </c>
      <c r="G36" s="26">
        <f t="shared" si="60"/>
        <v>47110.709999999992</v>
      </c>
      <c r="H36" s="26">
        <f>H31-H35</f>
        <v>56131.965870256216</v>
      </c>
      <c r="I36" s="26">
        <f t="shared" ref="I36:Q36" si="61">I31-I35</f>
        <v>72992.442455435768</v>
      </c>
      <c r="J36" s="26">
        <f t="shared" si="61"/>
        <v>92724.846497432212</v>
      </c>
      <c r="K36" s="26">
        <f t="shared" si="61"/>
        <v>115284.93171780082</v>
      </c>
      <c r="L36" s="26">
        <f t="shared" si="61"/>
        <v>140529.01875789085</v>
      </c>
      <c r="M36" s="26">
        <f t="shared" si="61"/>
        <v>168223.65374175663</v>
      </c>
      <c r="N36" s="26">
        <f t="shared" si="61"/>
        <v>198060.9318675723</v>
      </c>
      <c r="O36" s="26">
        <f t="shared" si="61"/>
        <v>229677.4083896947</v>
      </c>
      <c r="P36" s="26">
        <f t="shared" si="61"/>
        <v>262674.48302419612</v>
      </c>
      <c r="Q36" s="26">
        <f t="shared" si="61"/>
        <v>296638.38318977156</v>
      </c>
    </row>
    <row r="37" spans="1:17" x14ac:dyDescent="0.25">
      <c r="B37" t="s">
        <v>154</v>
      </c>
      <c r="C37" s="25">
        <f>'Historical Data'!C21</f>
        <v>5287.02</v>
      </c>
      <c r="D37" s="25">
        <f>'Historical Data'!D21</f>
        <v>5312.62</v>
      </c>
      <c r="E37" s="25">
        <f>'Historical Data'!E21</f>
        <v>6171.89</v>
      </c>
      <c r="F37" s="25">
        <f>'Historical Data'!F21</f>
        <v>6809.06</v>
      </c>
      <c r="G37" s="25">
        <f>'Historical Data'!G21</f>
        <v>9473.86</v>
      </c>
      <c r="H37" s="25">
        <f>-H135</f>
        <v>12693.286818662766</v>
      </c>
      <c r="I37" s="25">
        <f t="shared" ref="I37:Q37" si="62">-I135</f>
        <v>15282.313025463385</v>
      </c>
      <c r="J37" s="25">
        <f t="shared" si="62"/>
        <v>17899.717101300255</v>
      </c>
      <c r="K37" s="25">
        <f t="shared" si="62"/>
        <v>20504.363287334985</v>
      </c>
      <c r="L37" s="25">
        <f t="shared" si="62"/>
        <v>23049.434471075696</v>
      </c>
      <c r="M37" s="25">
        <f t="shared" si="62"/>
        <v>25486.415797896261</v>
      </c>
      <c r="N37" s="25">
        <f t="shared" si="62"/>
        <v>27768.612058339171</v>
      </c>
      <c r="O37" s="25">
        <f t="shared" si="62"/>
        <v>29854.029941627981</v>
      </c>
      <c r="P37" s="25">
        <f t="shared" si="62"/>
        <v>31707.512699163992</v>
      </c>
      <c r="Q37" s="25">
        <f t="shared" si="62"/>
        <v>33302.093014434002</v>
      </c>
    </row>
    <row r="38" spans="1:17" x14ac:dyDescent="0.25">
      <c r="B38" s="10" t="s">
        <v>155</v>
      </c>
      <c r="C38" s="26">
        <f>C36-C37</f>
        <v>6731.66</v>
      </c>
      <c r="D38" s="26">
        <f t="shared" ref="D38:G38" si="63">D36-D37</f>
        <v>11233.830000000005</v>
      </c>
      <c r="E38" s="26">
        <f t="shared" si="63"/>
        <v>21709.159999999989</v>
      </c>
      <c r="F38" s="26">
        <f t="shared" si="63"/>
        <v>29285.78999999999</v>
      </c>
      <c r="G38" s="26">
        <f t="shared" si="63"/>
        <v>37636.849999999991</v>
      </c>
      <c r="H38" s="26">
        <f>H36-H37</f>
        <v>43438.679051593448</v>
      </c>
      <c r="I38" s="26">
        <f t="shared" ref="I38:Q38" si="64">I36-I37</f>
        <v>57710.129429972381</v>
      </c>
      <c r="J38" s="26">
        <f t="shared" si="64"/>
        <v>74825.129396131961</v>
      </c>
      <c r="K38" s="26">
        <f t="shared" si="64"/>
        <v>94780.568430465835</v>
      </c>
      <c r="L38" s="26">
        <f t="shared" si="64"/>
        <v>117479.58428681515</v>
      </c>
      <c r="M38" s="26">
        <f t="shared" si="64"/>
        <v>142737.23794386035</v>
      </c>
      <c r="N38" s="26">
        <f t="shared" si="64"/>
        <v>170292.31980923313</v>
      </c>
      <c r="O38" s="26">
        <f t="shared" si="64"/>
        <v>199823.37844806671</v>
      </c>
      <c r="P38" s="26">
        <f t="shared" si="64"/>
        <v>230966.97032503213</v>
      </c>
      <c r="Q38" s="26">
        <f t="shared" si="64"/>
        <v>263336.29017533758</v>
      </c>
    </row>
    <row r="39" spans="1:17" x14ac:dyDescent="0.25">
      <c r="B39" t="s">
        <v>156</v>
      </c>
      <c r="C39" s="25">
        <f>'Historical Data'!C20</f>
        <v>2811.04</v>
      </c>
      <c r="D39" s="25">
        <f>'Historical Data'!D20</f>
        <v>1847</v>
      </c>
      <c r="E39" s="25">
        <f>'Historical Data'!E20</f>
        <v>1861.22</v>
      </c>
      <c r="F39" s="25">
        <f>'Historical Data'!F20</f>
        <v>2680.99</v>
      </c>
      <c r="G39" s="25">
        <f>'Historical Data'!G20</f>
        <v>4503.8599999999997</v>
      </c>
      <c r="H39" s="25">
        <f>H142</f>
        <v>1940.3030921776506</v>
      </c>
      <c r="I39" s="25">
        <f t="shared" ref="I39:Q39" si="65">I142</f>
        <v>1940.3030921776506</v>
      </c>
      <c r="J39" s="25">
        <f t="shared" si="65"/>
        <v>1940.3030921776506</v>
      </c>
      <c r="K39" s="25">
        <f t="shared" si="65"/>
        <v>1940.3030921776506</v>
      </c>
      <c r="L39" s="25">
        <f t="shared" si="65"/>
        <v>1940.3030921776506</v>
      </c>
      <c r="M39" s="25">
        <f t="shared" si="65"/>
        <v>1940.3030921776506</v>
      </c>
      <c r="N39" s="25">
        <f t="shared" si="65"/>
        <v>1940.3030921776506</v>
      </c>
      <c r="O39" s="25">
        <f t="shared" si="65"/>
        <v>1940.3030921776506</v>
      </c>
      <c r="P39" s="25">
        <f t="shared" si="65"/>
        <v>1940.3030921776506</v>
      </c>
      <c r="Q39" s="25">
        <f t="shared" si="65"/>
        <v>1940.3030921776506</v>
      </c>
    </row>
    <row r="40" spans="1:17" x14ac:dyDescent="0.25">
      <c r="B40" s="6" t="s">
        <v>157</v>
      </c>
      <c r="C40" s="25">
        <f>'Historical Data'!C11+'Historical Data'!C27+'Historical Data'!C25</f>
        <v>-295.56999999999994</v>
      </c>
      <c r="D40" s="25">
        <f>'Historical Data'!D11+'Historical Data'!D27+'Historical Data'!D25</f>
        <v>679.25</v>
      </c>
      <c r="E40" s="25">
        <f>'Historical Data'!E11+'Historical Data'!E27+'Historical Data'!E25</f>
        <v>388.43</v>
      </c>
      <c r="F40" s="25">
        <f>'Historical Data'!F11+'Historical Data'!F27+'Historical Data'!F25</f>
        <v>788.80000000000007</v>
      </c>
      <c r="G40" s="25">
        <f>'Historical Data'!G11+'Historical Data'!G27+'Historical Data'!G25</f>
        <v>1197.9000000000001</v>
      </c>
      <c r="H40" s="25">
        <f>H29*H17</f>
        <v>910.00064089162481</v>
      </c>
      <c r="I40" s="25">
        <f t="shared" ref="I40:Q40" si="66">I29*I17</f>
        <v>1183.3394463365589</v>
      </c>
      <c r="J40" s="25">
        <f t="shared" si="66"/>
        <v>1503.2373876638587</v>
      </c>
      <c r="K40" s="25">
        <f t="shared" si="66"/>
        <v>1868.9771527124869</v>
      </c>
      <c r="L40" s="25">
        <f t="shared" si="66"/>
        <v>2278.2294393383263</v>
      </c>
      <c r="M40" s="25">
        <f t="shared" si="66"/>
        <v>2727.2095381795075</v>
      </c>
      <c r="N40" s="25">
        <f t="shared" si="66"/>
        <v>3210.9257557748988</v>
      </c>
      <c r="O40" s="25">
        <f t="shared" si="66"/>
        <v>3723.4859957701951</v>
      </c>
      <c r="P40" s="25">
        <f t="shared" si="66"/>
        <v>4258.4282269820978</v>
      </c>
      <c r="Q40" s="25">
        <f t="shared" si="66"/>
        <v>4809.0444478586614</v>
      </c>
    </row>
    <row r="41" spans="1:17" x14ac:dyDescent="0.25">
      <c r="B41" s="10" t="s">
        <v>158</v>
      </c>
      <c r="C41" s="26">
        <f>C38-C39+C40</f>
        <v>3625.05</v>
      </c>
      <c r="D41" s="26">
        <f t="shared" ref="D41:H41" si="67">D38-D39+D40</f>
        <v>10066.080000000005</v>
      </c>
      <c r="E41" s="26">
        <f t="shared" si="67"/>
        <v>20236.369999999988</v>
      </c>
      <c r="F41" s="26">
        <f t="shared" si="67"/>
        <v>27393.599999999988</v>
      </c>
      <c r="G41" s="26">
        <f t="shared" si="67"/>
        <v>34330.889999999992</v>
      </c>
      <c r="H41" s="26">
        <f t="shared" si="67"/>
        <v>42408.37660030742</v>
      </c>
      <c r="I41" s="26">
        <f t="shared" ref="I41" si="68">I38-I39+I40</f>
        <v>56953.165784131292</v>
      </c>
      <c r="J41" s="26">
        <f t="shared" ref="J41" si="69">J38-J39+J40</f>
        <v>74388.063691618168</v>
      </c>
      <c r="K41" s="26">
        <f t="shared" ref="K41" si="70">K38-K39+K40</f>
        <v>94709.242491000667</v>
      </c>
      <c r="L41" s="26">
        <f t="shared" ref="L41" si="71">L38-L39+L40</f>
        <v>117817.51063397582</v>
      </c>
      <c r="M41" s="26">
        <f t="shared" ref="M41" si="72">M38-M39+M40</f>
        <v>143524.14438986222</v>
      </c>
      <c r="N41" s="26">
        <f t="shared" ref="N41" si="73">N38-N39+N40</f>
        <v>171562.94247283039</v>
      </c>
      <c r="O41" s="26">
        <f t="shared" ref="O41" si="74">O38-O39+O40</f>
        <v>201606.56135165927</v>
      </c>
      <c r="P41" s="26">
        <f t="shared" ref="P41" si="75">P38-P39+P40</f>
        <v>233285.09545983659</v>
      </c>
      <c r="Q41" s="26">
        <f t="shared" ref="Q41" si="76">Q38-Q39+Q40</f>
        <v>266205.03153101861</v>
      </c>
    </row>
    <row r="42" spans="1:17" x14ac:dyDescent="0.25">
      <c r="B42" s="6" t="s">
        <v>159</v>
      </c>
      <c r="C42" s="25">
        <f>'Historical Data'!C33</f>
        <v>52.339999999999918</v>
      </c>
      <c r="D42" s="25">
        <f>'Historical Data'!D33</f>
        <v>2605.56</v>
      </c>
      <c r="E42" s="25">
        <f>'Historical Data'!E33</f>
        <v>4735.2299999999996</v>
      </c>
      <c r="F42" s="25">
        <f>'Historical Data'!F33</f>
        <v>6375.47</v>
      </c>
      <c r="G42" s="25">
        <f>'Historical Data'!G33</f>
        <v>7988.04</v>
      </c>
      <c r="H42" s="25">
        <f>H41*H18</f>
        <v>8250.0717630895433</v>
      </c>
      <c r="I42" s="25">
        <f t="shared" ref="I42:Q42" si="77">I41*I18</f>
        <v>11079.596592028309</v>
      </c>
      <c r="J42" s="25">
        <f t="shared" si="77"/>
        <v>14471.359504213533</v>
      </c>
      <c r="K42" s="25">
        <f t="shared" si="77"/>
        <v>18424.615838111116</v>
      </c>
      <c r="L42" s="25">
        <f t="shared" si="77"/>
        <v>22920.068995798814</v>
      </c>
      <c r="M42" s="25">
        <f t="shared" si="77"/>
        <v>27921.004902220317</v>
      </c>
      <c r="N42" s="25">
        <f t="shared" si="77"/>
        <v>33375.637097068073</v>
      </c>
      <c r="O42" s="25">
        <f t="shared" si="77"/>
        <v>39220.284585212037</v>
      </c>
      <c r="P42" s="25">
        <f t="shared" si="77"/>
        <v>45382.986407192373</v>
      </c>
      <c r="Q42" s="25">
        <f t="shared" si="77"/>
        <v>51787.188991584691</v>
      </c>
    </row>
    <row r="43" spans="1:17" ht="15.75" thickBot="1" x14ac:dyDescent="0.3">
      <c r="B43" s="23" t="s">
        <v>160</v>
      </c>
      <c r="C43" s="27">
        <f>C41-C42</f>
        <v>3572.71</v>
      </c>
      <c r="D43" s="27">
        <f t="shared" ref="D43:H43" si="78">D41-D42</f>
        <v>7460.5200000000059</v>
      </c>
      <c r="E43" s="27">
        <f t="shared" si="78"/>
        <v>15501.139999999989</v>
      </c>
      <c r="F43" s="27">
        <f t="shared" si="78"/>
        <v>21018.129999999986</v>
      </c>
      <c r="G43" s="27">
        <f t="shared" si="78"/>
        <v>26342.849999999991</v>
      </c>
      <c r="H43" s="27">
        <f t="shared" si="78"/>
        <v>34158.304837217875</v>
      </c>
      <c r="I43" s="27">
        <f t="shared" ref="I43" si="79">I41-I42</f>
        <v>45873.569192102979</v>
      </c>
      <c r="J43" s="27">
        <f t="shared" ref="J43" si="80">J41-J42</f>
        <v>59916.704187404634</v>
      </c>
      <c r="K43" s="27">
        <f t="shared" ref="K43" si="81">K41-K42</f>
        <v>76284.62665288955</v>
      </c>
      <c r="L43" s="27">
        <f t="shared" ref="L43" si="82">L41-L42</f>
        <v>94897.441638176999</v>
      </c>
      <c r="M43" s="27">
        <f t="shared" ref="M43" si="83">M41-M42</f>
        <v>115603.13948764191</v>
      </c>
      <c r="N43" s="27">
        <f t="shared" ref="N43" si="84">N41-N42</f>
        <v>138187.30537576231</v>
      </c>
      <c r="O43" s="27">
        <f t="shared" ref="O43" si="85">O41-O42</f>
        <v>162386.27676644723</v>
      </c>
      <c r="P43" s="27">
        <f t="shared" ref="P43" si="86">P41-P42</f>
        <v>187902.10905264423</v>
      </c>
      <c r="Q43" s="27">
        <f t="shared" ref="Q43" si="87">Q41-Q42</f>
        <v>214417.84253943391</v>
      </c>
    </row>
    <row r="48" spans="1:17" s="13" customFormat="1" x14ac:dyDescent="0.25">
      <c r="A48" s="166" t="s">
        <v>27</v>
      </c>
      <c r="B48" s="163" t="s">
        <v>26</v>
      </c>
      <c r="C48" s="164">
        <v>2020</v>
      </c>
      <c r="D48" s="164">
        <f>C48+1</f>
        <v>2021</v>
      </c>
      <c r="E48" s="164">
        <f t="shared" ref="E48" si="88">D48+1</f>
        <v>2022</v>
      </c>
      <c r="F48" s="164">
        <f t="shared" ref="F48" si="89">E48+1</f>
        <v>2023</v>
      </c>
      <c r="G48" s="164">
        <f t="shared" ref="G48" si="90">F48+1</f>
        <v>2024</v>
      </c>
      <c r="H48" s="165">
        <f t="shared" ref="H48" si="91">G48+1</f>
        <v>2025</v>
      </c>
      <c r="I48" s="165">
        <f t="shared" ref="I48" si="92">H48+1</f>
        <v>2026</v>
      </c>
      <c r="J48" s="165">
        <f t="shared" ref="J48" si="93">I48+1</f>
        <v>2027</v>
      </c>
      <c r="K48" s="165">
        <f t="shared" ref="K48" si="94">J48+1</f>
        <v>2028</v>
      </c>
      <c r="L48" s="165">
        <f t="shared" ref="L48" si="95">K48+1</f>
        <v>2029</v>
      </c>
      <c r="M48" s="165">
        <f t="shared" ref="M48" si="96">L48+1</f>
        <v>2030</v>
      </c>
      <c r="N48" s="165">
        <f t="shared" ref="N48" si="97">M48+1</f>
        <v>2031</v>
      </c>
      <c r="O48" s="165">
        <f t="shared" ref="O48" si="98">N48+1</f>
        <v>2032</v>
      </c>
      <c r="P48" s="165">
        <f t="shared" ref="P48" si="99">O48+1</f>
        <v>2033</v>
      </c>
      <c r="Q48" s="165">
        <f t="shared" ref="Q48" si="100">P48+1</f>
        <v>2034</v>
      </c>
    </row>
    <row r="49" spans="1:17" x14ac:dyDescent="0.25">
      <c r="A49" s="11"/>
      <c r="B49" s="12"/>
      <c r="C49" s="12"/>
      <c r="D49" s="12"/>
      <c r="E49" s="12"/>
      <c r="F49" s="12"/>
      <c r="G49" s="12"/>
      <c r="H49" s="12"/>
      <c r="I49" s="12"/>
      <c r="J49" s="12"/>
      <c r="K49" s="12"/>
      <c r="L49" s="12"/>
      <c r="M49" s="12"/>
      <c r="N49" s="12"/>
      <c r="O49" s="12"/>
      <c r="P49" s="12"/>
      <c r="Q49" s="12"/>
    </row>
    <row r="50" spans="1:17" x14ac:dyDescent="0.25">
      <c r="B50" s="1" t="s">
        <v>181</v>
      </c>
    </row>
    <row r="51" spans="1:17" x14ac:dyDescent="0.25">
      <c r="B51" s="9" t="s">
        <v>168</v>
      </c>
    </row>
    <row r="52" spans="1:17" x14ac:dyDescent="0.25">
      <c r="B52" s="7" t="s">
        <v>161</v>
      </c>
      <c r="C52" s="25">
        <f>'Historical Data'!C60</f>
        <v>1045.58</v>
      </c>
      <c r="D52" s="25">
        <f>'Historical Data'!D60</f>
        <v>1507.5</v>
      </c>
      <c r="E52" s="25">
        <f>'Historical Data'!E60</f>
        <v>1543.32</v>
      </c>
      <c r="F52" s="25">
        <f>'Historical Data'!F60</f>
        <v>2422.12</v>
      </c>
      <c r="G52" s="25">
        <f>'Historical Data'!G60</f>
        <v>22662.83</v>
      </c>
      <c r="H52" s="25">
        <f>H119</f>
        <v>15150.464017350889</v>
      </c>
      <c r="I52" s="25">
        <f t="shared" ref="I52:Q52" si="101">I119</f>
        <v>16723.422306078268</v>
      </c>
      <c r="J52" s="25">
        <f t="shared" si="101"/>
        <v>29096.904780235112</v>
      </c>
      <c r="K52" s="25">
        <f t="shared" si="101"/>
        <v>54826.802559769902</v>
      </c>
      <c r="L52" s="25">
        <f t="shared" si="101"/>
        <v>96469.896208511753</v>
      </c>
      <c r="M52" s="25">
        <f t="shared" si="101"/>
        <v>156477.12796601735</v>
      </c>
      <c r="N52" s="25">
        <f t="shared" si="101"/>
        <v>237099.50231979063</v>
      </c>
      <c r="O52" s="25">
        <f t="shared" si="101"/>
        <v>340311.91673284699</v>
      </c>
      <c r="P52" s="25">
        <f t="shared" si="101"/>
        <v>467757.94767921988</v>
      </c>
      <c r="Q52" s="25">
        <f t="shared" si="101"/>
        <v>620716.35937685159</v>
      </c>
    </row>
    <row r="53" spans="1:17" x14ac:dyDescent="0.25">
      <c r="B53" s="7" t="s">
        <v>162</v>
      </c>
      <c r="C53" s="25">
        <f>'Historical Data'!C61</f>
        <v>854.92</v>
      </c>
      <c r="D53" s="25">
        <f>'Historical Data'!D61</f>
        <v>1858.72</v>
      </c>
      <c r="E53" s="25">
        <f>'Historical Data'!E61</f>
        <v>1309.3499999999999</v>
      </c>
      <c r="F53" s="25">
        <f>'Historical Data'!F61</f>
        <v>2176.5</v>
      </c>
      <c r="G53" s="25">
        <f>'Historical Data'!G61</f>
        <v>1837.71</v>
      </c>
      <c r="H53" s="25">
        <f>G53</f>
        <v>1837.71</v>
      </c>
      <c r="I53" s="25">
        <f t="shared" ref="I53:Q53" si="102">H53</f>
        <v>1837.71</v>
      </c>
      <c r="J53" s="25">
        <f t="shared" si="102"/>
        <v>1837.71</v>
      </c>
      <c r="K53" s="25">
        <f t="shared" si="102"/>
        <v>1837.71</v>
      </c>
      <c r="L53" s="25">
        <f t="shared" si="102"/>
        <v>1837.71</v>
      </c>
      <c r="M53" s="25">
        <f t="shared" si="102"/>
        <v>1837.71</v>
      </c>
      <c r="N53" s="25">
        <f t="shared" si="102"/>
        <v>1837.71</v>
      </c>
      <c r="O53" s="25">
        <f t="shared" si="102"/>
        <v>1837.71</v>
      </c>
      <c r="P53" s="25">
        <f t="shared" si="102"/>
        <v>1837.71</v>
      </c>
      <c r="Q53" s="25">
        <f t="shared" si="102"/>
        <v>1837.71</v>
      </c>
    </row>
    <row r="54" spans="1:17" x14ac:dyDescent="0.25">
      <c r="B54" s="7" t="s">
        <v>163</v>
      </c>
      <c r="C54" s="25">
        <f>'Historical Data'!C59</f>
        <v>2417.9699999999998</v>
      </c>
      <c r="D54" s="25">
        <f>'Historical Data'!D59</f>
        <v>2212.4899999999998</v>
      </c>
      <c r="E54" s="25">
        <f>'Historical Data'!E59</f>
        <v>2993.38</v>
      </c>
      <c r="F54" s="25">
        <f>'Historical Data'!F59</f>
        <v>3593.85</v>
      </c>
      <c r="G54" s="25">
        <f>'Historical Data'!G59</f>
        <v>8458.42</v>
      </c>
      <c r="H54" s="25">
        <f>(H29*H20)/365</f>
        <v>8044.9901901757557</v>
      </c>
      <c r="I54" s="25">
        <f t="shared" ref="I54:Q54" si="103">(I29*I20)/365</f>
        <v>10461.480805219995</v>
      </c>
      <c r="J54" s="25">
        <f t="shared" si="103"/>
        <v>13289.58408799784</v>
      </c>
      <c r="K54" s="25">
        <f t="shared" si="103"/>
        <v>16522.95853825146</v>
      </c>
      <c r="L54" s="25">
        <f t="shared" si="103"/>
        <v>20141.011628836022</v>
      </c>
      <c r="M54" s="25">
        <f t="shared" si="103"/>
        <v>24110.284097943673</v>
      </c>
      <c r="N54" s="25">
        <f t="shared" si="103"/>
        <v>28386.646169041698</v>
      </c>
      <c r="O54" s="25">
        <f t="shared" si="103"/>
        <v>32918.007925662023</v>
      </c>
      <c r="P54" s="25">
        <f t="shared" si="103"/>
        <v>37647.240861359503</v>
      </c>
      <c r="Q54" s="25">
        <f t="shared" si="103"/>
        <v>42515.041933634959</v>
      </c>
    </row>
    <row r="55" spans="1:17" x14ac:dyDescent="0.25">
      <c r="B55" s="7" t="s">
        <v>51</v>
      </c>
      <c r="C55" s="25">
        <f>'Historical Data'!C57</f>
        <v>9288.0400000000009</v>
      </c>
      <c r="D55" s="25">
        <f>'Historical Data'!D57</f>
        <v>14480.87</v>
      </c>
      <c r="E55" s="25">
        <f>'Historical Data'!E57</f>
        <v>19938.849999999999</v>
      </c>
      <c r="F55" s="25">
        <f>'Historical Data'!F57</f>
        <v>21505.33</v>
      </c>
      <c r="G55" s="25">
        <f>'Historical Data'!G57</f>
        <v>27912.34</v>
      </c>
      <c r="H55" s="25">
        <f>(H30*H21)/365</f>
        <v>39377.041713320257</v>
      </c>
      <c r="I55" s="25">
        <f t="shared" ref="I55:Q55" si="104">(I30*I21)/365</f>
        <v>51204.806508439935</v>
      </c>
      <c r="J55" s="25">
        <f t="shared" si="104"/>
        <v>65047.25234156385</v>
      </c>
      <c r="K55" s="25">
        <f t="shared" si="104"/>
        <v>80873.340079731643</v>
      </c>
      <c r="L55" s="25">
        <f t="shared" si="104"/>
        <v>98582.277455806077</v>
      </c>
      <c r="M55" s="25">
        <f t="shared" si="104"/>
        <v>118010.29463082405</v>
      </c>
      <c r="N55" s="25">
        <f t="shared" si="104"/>
        <v>138941.3938210406</v>
      </c>
      <c r="O55" s="25">
        <f t="shared" si="104"/>
        <v>161120.61550939971</v>
      </c>
      <c r="P55" s="25">
        <f t="shared" si="104"/>
        <v>184268.33827584595</v>
      </c>
      <c r="Q55" s="25">
        <f t="shared" si="104"/>
        <v>208094.29720730713</v>
      </c>
    </row>
    <row r="56" spans="1:17" x14ac:dyDescent="0.25">
      <c r="B56" s="7" t="s">
        <v>164</v>
      </c>
      <c r="C56" s="25">
        <f>SUM('Historical Data'!C64:C65)</f>
        <v>2620.0500000000002</v>
      </c>
      <c r="D56" s="25">
        <f>SUM('Historical Data'!D64:D65)</f>
        <v>3030.15</v>
      </c>
      <c r="E56" s="25">
        <f>SUM('Historical Data'!E64:E65)</f>
        <v>4278.34</v>
      </c>
      <c r="F56" s="25">
        <f>SUM('Historical Data'!F64:F65)</f>
        <v>5270.2699999999995</v>
      </c>
      <c r="G56" s="25">
        <f>SUM('Historical Data'!G64:G65)</f>
        <v>9412.2799999999988</v>
      </c>
      <c r="H56" s="25">
        <f>G56</f>
        <v>9412.2799999999988</v>
      </c>
      <c r="I56" s="25">
        <f t="shared" ref="I56:Q56" si="105">H56</f>
        <v>9412.2799999999988</v>
      </c>
      <c r="J56" s="25">
        <f t="shared" si="105"/>
        <v>9412.2799999999988</v>
      </c>
      <c r="K56" s="25">
        <f t="shared" si="105"/>
        <v>9412.2799999999988</v>
      </c>
      <c r="L56" s="25">
        <f t="shared" si="105"/>
        <v>9412.2799999999988</v>
      </c>
      <c r="M56" s="25">
        <f t="shared" si="105"/>
        <v>9412.2799999999988</v>
      </c>
      <c r="N56" s="25">
        <f t="shared" si="105"/>
        <v>9412.2799999999988</v>
      </c>
      <c r="O56" s="25">
        <f t="shared" si="105"/>
        <v>9412.2799999999988</v>
      </c>
      <c r="P56" s="25">
        <f t="shared" si="105"/>
        <v>9412.2799999999988</v>
      </c>
      <c r="Q56" s="25">
        <f t="shared" si="105"/>
        <v>9412.2799999999988</v>
      </c>
    </row>
    <row r="57" spans="1:17" x14ac:dyDescent="0.25">
      <c r="A57" s="1"/>
      <c r="B57" s="24" t="s">
        <v>53</v>
      </c>
      <c r="C57" s="26">
        <f>SUM(C52:C56)</f>
        <v>16226.560000000001</v>
      </c>
      <c r="D57" s="26">
        <f t="shared" ref="D57:H57" si="106">SUM(D52:D56)</f>
        <v>23089.730000000003</v>
      </c>
      <c r="E57" s="26">
        <f t="shared" si="106"/>
        <v>30063.239999999998</v>
      </c>
      <c r="F57" s="26">
        <f t="shared" si="106"/>
        <v>34968.07</v>
      </c>
      <c r="G57" s="26">
        <f t="shared" si="106"/>
        <v>70283.58</v>
      </c>
      <c r="H57" s="26">
        <f t="shared" si="106"/>
        <v>73822.485920846899</v>
      </c>
      <c r="I57" s="26">
        <f t="shared" ref="I57" si="107">SUM(I52:I56)</f>
        <v>89639.699619738196</v>
      </c>
      <c r="J57" s="26">
        <f t="shared" ref="J57" si="108">SUM(J52:J56)</f>
        <v>118683.7312097968</v>
      </c>
      <c r="K57" s="26">
        <f t="shared" ref="K57" si="109">SUM(K52:K56)</f>
        <v>163473.091177753</v>
      </c>
      <c r="L57" s="26">
        <f t="shared" ref="L57" si="110">SUM(L52:L56)</f>
        <v>226443.17529315388</v>
      </c>
      <c r="M57" s="26">
        <f t="shared" ref="M57" si="111">SUM(M52:M56)</f>
        <v>309847.69669478503</v>
      </c>
      <c r="N57" s="26">
        <f t="shared" ref="N57" si="112">SUM(N52:N56)</f>
        <v>415677.53230987291</v>
      </c>
      <c r="O57" s="26">
        <f t="shared" ref="O57" si="113">SUM(O52:O56)</f>
        <v>545600.53016790876</v>
      </c>
      <c r="P57" s="26">
        <f t="shared" ref="P57" si="114">SUM(P52:P56)</f>
        <v>700923.51681642537</v>
      </c>
      <c r="Q57" s="26">
        <f t="shared" ref="Q57" si="115">SUM(Q52:Q56)</f>
        <v>882575.68851779355</v>
      </c>
    </row>
    <row r="58" spans="1:17" ht="15.75" x14ac:dyDescent="0.25">
      <c r="B58" s="8"/>
      <c r="C58" s="25"/>
      <c r="D58" s="25"/>
      <c r="E58" s="25"/>
      <c r="F58" s="25"/>
      <c r="G58" s="25"/>
      <c r="H58" s="25"/>
      <c r="I58" s="25"/>
      <c r="J58" s="25"/>
      <c r="K58" s="25"/>
      <c r="L58" s="25"/>
      <c r="M58" s="25"/>
      <c r="N58" s="25"/>
      <c r="O58" s="25"/>
      <c r="P58" s="25"/>
      <c r="Q58" s="25"/>
    </row>
    <row r="59" spans="1:17" x14ac:dyDescent="0.25">
      <c r="B59" s="9" t="s">
        <v>169</v>
      </c>
      <c r="C59" s="25"/>
      <c r="D59" s="25"/>
      <c r="E59" s="25"/>
      <c r="F59" s="25"/>
      <c r="G59" s="25"/>
      <c r="H59" s="25"/>
      <c r="I59" s="25"/>
      <c r="J59" s="25"/>
      <c r="K59" s="25"/>
      <c r="L59" s="25"/>
      <c r="M59" s="25"/>
      <c r="N59" s="25"/>
      <c r="O59" s="25"/>
      <c r="P59" s="25"/>
      <c r="Q59" s="25"/>
    </row>
    <row r="60" spans="1:17" x14ac:dyDescent="0.25">
      <c r="B60" s="6" t="s">
        <v>165</v>
      </c>
      <c r="C60" s="25">
        <f>SUM('Historical Data'!C41:C43,'Historical Data'!C45:C46)</f>
        <v>64512.04</v>
      </c>
      <c r="D60" s="25">
        <f>SUM('Historical Data'!D41:D43,'Historical Data'!D45:D46)</f>
        <v>67831.53</v>
      </c>
      <c r="E60" s="25">
        <f>SUM('Historical Data'!E41:E43,'Historical Data'!E45:E46)</f>
        <v>75146.210000000006</v>
      </c>
      <c r="F60" s="25">
        <f>SUM('Historical Data'!F41:F43,'Historical Data'!F45:F46)</f>
        <v>103071.61000000002</v>
      </c>
      <c r="G60" s="25">
        <f>SUM('Historical Data'!G41:G43,'Historical Data'!G45:G46)</f>
        <v>142675.11000000002</v>
      </c>
      <c r="H60" s="25">
        <f>H136</f>
        <v>171776.28797898121</v>
      </c>
      <c r="I60" s="25">
        <f t="shared" ref="I60:Q60" si="116">I136</f>
        <v>201196.43894298625</v>
      </c>
      <c r="J60" s="25">
        <f t="shared" si="116"/>
        <v>230473.18864639645</v>
      </c>
      <c r="K60" s="25">
        <f t="shared" si="116"/>
        <v>259080.30327994813</v>
      </c>
      <c r="L60" s="25">
        <f t="shared" si="116"/>
        <v>286472.46606956195</v>
      </c>
      <c r="M60" s="25">
        <f t="shared" si="116"/>
        <v>312124.81342072535</v>
      </c>
      <c r="N60" s="25">
        <f t="shared" si="116"/>
        <v>335565.33203066752</v>
      </c>
      <c r="O60" s="25">
        <f t="shared" si="116"/>
        <v>356398.8529376199</v>
      </c>
      <c r="P60" s="25">
        <f t="shared" si="116"/>
        <v>374322.25805208425</v>
      </c>
      <c r="Q60" s="25">
        <f t="shared" si="116"/>
        <v>389131.34932489268</v>
      </c>
    </row>
    <row r="61" spans="1:17" x14ac:dyDescent="0.25">
      <c r="B61" s="6" t="s">
        <v>37</v>
      </c>
      <c r="C61" s="25">
        <f>'Historical Data'!C44</f>
        <v>242.3</v>
      </c>
      <c r="D61" s="25">
        <f>'Historical Data'!D44</f>
        <v>242.3</v>
      </c>
      <c r="E61" s="25">
        <f>'Historical Data'!E44</f>
        <v>242.3</v>
      </c>
      <c r="F61" s="25">
        <f>'Historical Data'!F44</f>
        <v>242.3</v>
      </c>
      <c r="G61" s="25">
        <f>'Historical Data'!G44</f>
        <v>3009.37</v>
      </c>
      <c r="H61" s="25">
        <f>G61</f>
        <v>3009.37</v>
      </c>
      <c r="I61" s="25">
        <f t="shared" ref="I61:Q61" si="117">H61</f>
        <v>3009.37</v>
      </c>
      <c r="J61" s="25">
        <f t="shared" si="117"/>
        <v>3009.37</v>
      </c>
      <c r="K61" s="25">
        <f t="shared" si="117"/>
        <v>3009.37</v>
      </c>
      <c r="L61" s="25">
        <f t="shared" si="117"/>
        <v>3009.37</v>
      </c>
      <c r="M61" s="25">
        <f t="shared" si="117"/>
        <v>3009.37</v>
      </c>
      <c r="N61" s="25">
        <f t="shared" si="117"/>
        <v>3009.37</v>
      </c>
      <c r="O61" s="25">
        <f t="shared" si="117"/>
        <v>3009.37</v>
      </c>
      <c r="P61" s="25">
        <f t="shared" si="117"/>
        <v>3009.37</v>
      </c>
      <c r="Q61" s="25">
        <f t="shared" si="117"/>
        <v>3009.37</v>
      </c>
    </row>
    <row r="62" spans="1:17" x14ac:dyDescent="0.25">
      <c r="B62" t="s">
        <v>166</v>
      </c>
      <c r="C62" s="25">
        <f>SUM('Historical Data'!C49:C51,'Historical Data'!C47,'Historical Data'!C62:C63)</f>
        <v>2189.31</v>
      </c>
      <c r="D62" s="25">
        <f>SUM('Historical Data'!D49:D51,'Historical Data'!D47,'Historical Data'!D62:D63)</f>
        <v>2792.04</v>
      </c>
      <c r="E62" s="25">
        <f>SUM('Historical Data'!E49:E51,'Historical Data'!E47,'Historical Data'!E62:E63)</f>
        <v>4463.91</v>
      </c>
      <c r="F62" s="25">
        <f>SUM('Historical Data'!F49:F51,'Historical Data'!F47,'Historical Data'!F62:F63)</f>
        <v>8221.73</v>
      </c>
      <c r="G62" s="25">
        <f>SUM('Historical Data'!G49:G51,'Historical Data'!G47,'Historical Data'!G62:G63)</f>
        <v>10157.31</v>
      </c>
      <c r="H62" s="25">
        <f>G62</f>
        <v>10157.31</v>
      </c>
      <c r="I62" s="25">
        <f t="shared" ref="I62:Q62" si="118">H62</f>
        <v>10157.31</v>
      </c>
      <c r="J62" s="25">
        <f t="shared" si="118"/>
        <v>10157.31</v>
      </c>
      <c r="K62" s="25">
        <f t="shared" si="118"/>
        <v>10157.31</v>
      </c>
      <c r="L62" s="25">
        <f t="shared" si="118"/>
        <v>10157.31</v>
      </c>
      <c r="M62" s="25">
        <f t="shared" si="118"/>
        <v>10157.31</v>
      </c>
      <c r="N62" s="25">
        <f t="shared" si="118"/>
        <v>10157.31</v>
      </c>
      <c r="O62" s="25">
        <f t="shared" si="118"/>
        <v>10157.31</v>
      </c>
      <c r="P62" s="25">
        <f t="shared" si="118"/>
        <v>10157.31</v>
      </c>
      <c r="Q62" s="25">
        <f t="shared" si="118"/>
        <v>10157.31</v>
      </c>
    </row>
    <row r="63" spans="1:17" x14ac:dyDescent="0.25">
      <c r="B63" t="s">
        <v>167</v>
      </c>
      <c r="C63" s="25">
        <f>SUM('Historical Data'!C52:C53)</f>
        <v>1413.6200000000001</v>
      </c>
      <c r="D63" s="25">
        <f>SUM('Historical Data'!D52:D53)</f>
        <v>1863.3</v>
      </c>
      <c r="E63" s="25">
        <f>SUM('Historical Data'!E52:E53)</f>
        <v>6266.77</v>
      </c>
      <c r="F63" s="25">
        <f>SUM('Historical Data'!F52:F53)</f>
        <v>5368.12</v>
      </c>
      <c r="G63" s="25">
        <f>SUM('Historical Data'!G52:G53)</f>
        <v>5313.7300000000005</v>
      </c>
      <c r="H63" s="25">
        <f>G63</f>
        <v>5313.7300000000005</v>
      </c>
      <c r="I63" s="25">
        <f t="shared" ref="I63:Q63" si="119">H63</f>
        <v>5313.7300000000005</v>
      </c>
      <c r="J63" s="25">
        <f t="shared" si="119"/>
        <v>5313.7300000000005</v>
      </c>
      <c r="K63" s="25">
        <f t="shared" si="119"/>
        <v>5313.7300000000005</v>
      </c>
      <c r="L63" s="25">
        <f t="shared" si="119"/>
        <v>5313.7300000000005</v>
      </c>
      <c r="M63" s="25">
        <f t="shared" si="119"/>
        <v>5313.7300000000005</v>
      </c>
      <c r="N63" s="25">
        <f t="shared" si="119"/>
        <v>5313.7300000000005</v>
      </c>
      <c r="O63" s="25">
        <f t="shared" si="119"/>
        <v>5313.7300000000005</v>
      </c>
      <c r="P63" s="25">
        <f t="shared" si="119"/>
        <v>5313.7300000000005</v>
      </c>
      <c r="Q63" s="25">
        <f t="shared" si="119"/>
        <v>5313.7300000000005</v>
      </c>
    </row>
    <row r="64" spans="1:17" x14ac:dyDescent="0.25">
      <c r="A64" s="1"/>
      <c r="B64" s="24" t="s">
        <v>183</v>
      </c>
      <c r="C64" s="26">
        <f>SUM(C60:C63)</f>
        <v>68357.27</v>
      </c>
      <c r="D64" s="26">
        <f t="shared" ref="D64:H64" si="120">SUM(D60:D63)</f>
        <v>72729.17</v>
      </c>
      <c r="E64" s="26">
        <f t="shared" si="120"/>
        <v>86119.190000000017</v>
      </c>
      <c r="F64" s="26">
        <f t="shared" si="120"/>
        <v>116903.76000000001</v>
      </c>
      <c r="G64" s="26">
        <f t="shared" si="120"/>
        <v>161155.52000000002</v>
      </c>
      <c r="H64" s="26">
        <f t="shared" si="120"/>
        <v>190256.69797898122</v>
      </c>
      <c r="I64" s="26">
        <f t="shared" ref="I64" si="121">SUM(I60:I63)</f>
        <v>219676.84894298625</v>
      </c>
      <c r="J64" s="26">
        <f t="shared" ref="J64" si="122">SUM(J60:J63)</f>
        <v>248953.59864639645</v>
      </c>
      <c r="K64" s="26">
        <f t="shared" ref="K64" si="123">SUM(K60:K63)</f>
        <v>277560.7132799481</v>
      </c>
      <c r="L64" s="26">
        <f t="shared" ref="L64" si="124">SUM(L60:L63)</f>
        <v>304952.87606956193</v>
      </c>
      <c r="M64" s="26">
        <f t="shared" ref="M64" si="125">SUM(M60:M63)</f>
        <v>330605.22342072532</v>
      </c>
      <c r="N64" s="26">
        <f t="shared" ref="N64" si="126">SUM(N60:N63)</f>
        <v>354045.74203066749</v>
      </c>
      <c r="O64" s="26">
        <f t="shared" ref="O64" si="127">SUM(O60:O63)</f>
        <v>374879.26293761987</v>
      </c>
      <c r="P64" s="26">
        <f t="shared" ref="P64" si="128">SUM(P60:P63)</f>
        <v>392802.66805208422</v>
      </c>
      <c r="Q64" s="26">
        <f t="shared" ref="Q64" si="129">SUM(Q60:Q63)</f>
        <v>407611.75932489266</v>
      </c>
    </row>
    <row r="65" spans="1:17" x14ac:dyDescent="0.25">
      <c r="B65" s="7"/>
      <c r="C65" s="25"/>
      <c r="D65" s="25"/>
      <c r="E65" s="25"/>
      <c r="F65" s="25"/>
      <c r="G65" s="25"/>
      <c r="H65" s="25"/>
      <c r="I65" s="25"/>
      <c r="J65" s="25"/>
      <c r="K65" s="25"/>
      <c r="L65" s="25"/>
      <c r="M65" s="25"/>
      <c r="N65" s="25"/>
      <c r="O65" s="25"/>
      <c r="P65" s="25"/>
      <c r="Q65" s="25"/>
    </row>
    <row r="66" spans="1:17" ht="15.75" thickBot="1" x14ac:dyDescent="0.3">
      <c r="B66" s="23" t="s">
        <v>54</v>
      </c>
      <c r="C66" s="27">
        <f>C64+C57</f>
        <v>84583.83</v>
      </c>
      <c r="D66" s="27">
        <f t="shared" ref="D66:H66" si="130">D64+D57</f>
        <v>95818.9</v>
      </c>
      <c r="E66" s="27">
        <f t="shared" si="130"/>
        <v>116182.43000000002</v>
      </c>
      <c r="F66" s="27">
        <f t="shared" si="130"/>
        <v>151871.83000000002</v>
      </c>
      <c r="G66" s="27">
        <f t="shared" si="130"/>
        <v>231439.10000000003</v>
      </c>
      <c r="H66" s="27">
        <f t="shared" si="130"/>
        <v>264079.18389982812</v>
      </c>
      <c r="I66" s="27">
        <f t="shared" ref="I66:Q66" si="131">I64+I57</f>
        <v>309316.54856272443</v>
      </c>
      <c r="J66" s="27">
        <f t="shared" si="131"/>
        <v>367637.32985619328</v>
      </c>
      <c r="K66" s="27">
        <f t="shared" si="131"/>
        <v>441033.8044577011</v>
      </c>
      <c r="L66" s="27">
        <f t="shared" si="131"/>
        <v>531396.05136271578</v>
      </c>
      <c r="M66" s="27">
        <f t="shared" si="131"/>
        <v>640452.92011551035</v>
      </c>
      <c r="N66" s="27">
        <f t="shared" si="131"/>
        <v>769723.2743405404</v>
      </c>
      <c r="O66" s="27">
        <f t="shared" si="131"/>
        <v>920479.79310552869</v>
      </c>
      <c r="P66" s="27">
        <f t="shared" si="131"/>
        <v>1093726.1848685096</v>
      </c>
      <c r="Q66" s="27">
        <f t="shared" si="131"/>
        <v>1290187.4478426862</v>
      </c>
    </row>
    <row r="67" spans="1:17" x14ac:dyDescent="0.25">
      <c r="C67" s="25"/>
      <c r="D67" s="25"/>
      <c r="E67" s="25"/>
      <c r="F67" s="25"/>
      <c r="G67" s="25"/>
      <c r="H67" s="25"/>
      <c r="I67" s="25"/>
      <c r="J67" s="25"/>
      <c r="K67" s="25"/>
      <c r="L67" s="25"/>
      <c r="M67" s="25"/>
      <c r="N67" s="25"/>
      <c r="O67" s="25"/>
      <c r="P67" s="25"/>
      <c r="Q67" s="25"/>
    </row>
    <row r="68" spans="1:17" x14ac:dyDescent="0.25">
      <c r="B68" s="1" t="s">
        <v>180</v>
      </c>
      <c r="C68" s="25"/>
      <c r="D68" s="25"/>
      <c r="E68" s="25"/>
      <c r="F68" s="25"/>
      <c r="G68" s="25"/>
      <c r="H68" s="25"/>
      <c r="I68" s="25"/>
      <c r="J68" s="25"/>
      <c r="K68" s="25"/>
      <c r="L68" s="25"/>
      <c r="M68" s="25"/>
      <c r="N68" s="25"/>
      <c r="O68" s="25"/>
      <c r="P68" s="25"/>
      <c r="Q68" s="25"/>
    </row>
    <row r="69" spans="1:17" x14ac:dyDescent="0.25">
      <c r="B69" s="1" t="s">
        <v>179</v>
      </c>
      <c r="C69" s="25"/>
      <c r="D69" s="25"/>
      <c r="E69" s="25"/>
      <c r="F69" s="25"/>
      <c r="G69" s="25"/>
      <c r="H69" s="25"/>
      <c r="I69" s="25"/>
      <c r="J69" s="25"/>
      <c r="K69" s="25"/>
      <c r="L69" s="25"/>
      <c r="M69" s="25"/>
      <c r="N69" s="25"/>
      <c r="O69" s="25"/>
      <c r="P69" s="25"/>
      <c r="Q69" s="25"/>
    </row>
    <row r="70" spans="1:17" x14ac:dyDescent="0.25">
      <c r="B70" t="s">
        <v>170</v>
      </c>
      <c r="C70" s="25">
        <f>'Historical Data'!C93+'Historical Data'!C94</f>
        <v>5113.8499999999995</v>
      </c>
      <c r="D70" s="25">
        <f>'Historical Data'!D93+'Historical Data'!D94</f>
        <v>7117.5300000000007</v>
      </c>
      <c r="E70" s="25">
        <f>'Historical Data'!E93+'Historical Data'!E94</f>
        <v>8242.61</v>
      </c>
      <c r="F70" s="25">
        <f>'Historical Data'!F93+'Historical Data'!F94</f>
        <v>7582.4800000000005</v>
      </c>
      <c r="G70" s="25">
        <f>'Historical Data'!G93+'Historical Data'!G94</f>
        <v>15604.27</v>
      </c>
      <c r="H70" s="25">
        <f>(H30*H22)/365</f>
        <v>18754.447108525375</v>
      </c>
      <c r="I70" s="25">
        <f t="shared" ref="I70:Q70" si="132">(I30*I22)/365</f>
        <v>24387.759810812844</v>
      </c>
      <c r="J70" s="25">
        <f t="shared" si="132"/>
        <v>30980.622223382838</v>
      </c>
      <c r="K70" s="25">
        <f t="shared" si="132"/>
        <v>38518.251067652942</v>
      </c>
      <c r="L70" s="25">
        <f t="shared" si="132"/>
        <v>46952.641131430326</v>
      </c>
      <c r="M70" s="25">
        <f t="shared" si="132"/>
        <v>56205.792325090028</v>
      </c>
      <c r="N70" s="25">
        <f t="shared" si="132"/>
        <v>66174.829500206819</v>
      </c>
      <c r="O70" s="25">
        <f t="shared" si="132"/>
        <v>76738.320863802102</v>
      </c>
      <c r="P70" s="25">
        <f t="shared" si="132"/>
        <v>87763.088683251379</v>
      </c>
      <c r="Q70" s="25">
        <f t="shared" si="132"/>
        <v>99110.885956677099</v>
      </c>
    </row>
    <row r="71" spans="1:17" s="1" customFormat="1" x14ac:dyDescent="0.25">
      <c r="A71"/>
      <c r="B71" s="6" t="s">
        <v>232</v>
      </c>
      <c r="C71" s="25">
        <f>SUM('Historical Data'!C95:C98)</f>
        <v>11994.81</v>
      </c>
      <c r="D71" s="25">
        <f>SUM('Historical Data'!D95:D98)</f>
        <v>7663.23</v>
      </c>
      <c r="E71" s="25">
        <f>SUM('Historical Data'!E95:E98)</f>
        <v>11531.26</v>
      </c>
      <c r="F71" s="25">
        <f>SUM('Historical Data'!F95:F98)</f>
        <v>13504.77</v>
      </c>
      <c r="G71" s="25">
        <f>SUM('Historical Data'!G95:G98)</f>
        <v>13355.189999999999</v>
      </c>
      <c r="H71" s="25">
        <f>G71</f>
        <v>13355.189999999999</v>
      </c>
      <c r="I71" s="25">
        <f t="shared" ref="I71:Q71" si="133">H71</f>
        <v>13355.189999999999</v>
      </c>
      <c r="J71" s="25">
        <f t="shared" si="133"/>
        <v>13355.189999999999</v>
      </c>
      <c r="K71" s="25">
        <f t="shared" si="133"/>
        <v>13355.189999999999</v>
      </c>
      <c r="L71" s="25">
        <f t="shared" si="133"/>
        <v>13355.189999999999</v>
      </c>
      <c r="M71" s="25">
        <f t="shared" si="133"/>
        <v>13355.189999999999</v>
      </c>
      <c r="N71" s="25">
        <f t="shared" si="133"/>
        <v>13355.189999999999</v>
      </c>
      <c r="O71" s="25">
        <f t="shared" si="133"/>
        <v>13355.189999999999</v>
      </c>
      <c r="P71" s="25">
        <f t="shared" si="133"/>
        <v>13355.189999999999</v>
      </c>
      <c r="Q71" s="25">
        <f t="shared" si="133"/>
        <v>13355.189999999999</v>
      </c>
    </row>
    <row r="72" spans="1:17" x14ac:dyDescent="0.25">
      <c r="A72" s="1"/>
      <c r="B72" s="10" t="s">
        <v>184</v>
      </c>
      <c r="C72" s="26">
        <f>SUM(C70:C71)</f>
        <v>17108.66</v>
      </c>
      <c r="D72" s="26">
        <f t="shared" ref="D72:H72" si="134">SUM(D70:D71)</f>
        <v>14780.76</v>
      </c>
      <c r="E72" s="26">
        <f t="shared" si="134"/>
        <v>19773.870000000003</v>
      </c>
      <c r="F72" s="26">
        <f t="shared" si="134"/>
        <v>21087.25</v>
      </c>
      <c r="G72" s="26">
        <f t="shared" si="134"/>
        <v>28959.46</v>
      </c>
      <c r="H72" s="26">
        <f t="shared" si="134"/>
        <v>32109.637108525374</v>
      </c>
      <c r="I72" s="26">
        <f t="shared" ref="I72" si="135">SUM(I70:I71)</f>
        <v>37742.949810812846</v>
      </c>
      <c r="J72" s="26">
        <f t="shared" ref="J72" si="136">SUM(J70:J71)</f>
        <v>44335.812223382833</v>
      </c>
      <c r="K72" s="26">
        <f t="shared" ref="K72" si="137">SUM(K70:K71)</f>
        <v>51873.441067652937</v>
      </c>
      <c r="L72" s="26">
        <f t="shared" ref="L72" si="138">SUM(L70:L71)</f>
        <v>60307.831131430328</v>
      </c>
      <c r="M72" s="26">
        <f t="shared" ref="M72" si="139">SUM(M70:M71)</f>
        <v>69560.982325090023</v>
      </c>
      <c r="N72" s="26">
        <f t="shared" ref="N72" si="140">SUM(N70:N71)</f>
        <v>79530.019500206821</v>
      </c>
      <c r="O72" s="26">
        <f t="shared" ref="O72" si="141">SUM(O70:O71)</f>
        <v>90093.510863802105</v>
      </c>
      <c r="P72" s="26">
        <f t="shared" ref="P72" si="142">SUM(P70:P71)</f>
        <v>101118.27868325138</v>
      </c>
      <c r="Q72" s="26">
        <f t="shared" ref="Q72" si="143">SUM(Q70:Q71)</f>
        <v>112466.0759566771</v>
      </c>
    </row>
    <row r="73" spans="1:17" x14ac:dyDescent="0.25">
      <c r="B73" s="6"/>
      <c r="C73" s="25"/>
      <c r="D73" s="25"/>
      <c r="E73" s="25"/>
      <c r="F73" s="25"/>
      <c r="G73" s="25"/>
      <c r="H73" s="25"/>
      <c r="I73" s="25"/>
      <c r="J73" s="25"/>
      <c r="K73" s="25"/>
      <c r="L73" s="25"/>
      <c r="M73" s="25"/>
      <c r="N73" s="25"/>
      <c r="O73" s="25"/>
      <c r="P73" s="25"/>
      <c r="Q73" s="25"/>
    </row>
    <row r="74" spans="1:17" x14ac:dyDescent="0.25">
      <c r="B74" s="1" t="s">
        <v>182</v>
      </c>
      <c r="C74" s="25"/>
      <c r="D74" s="25"/>
      <c r="E74" s="25"/>
      <c r="F74" s="25"/>
      <c r="G74" s="25"/>
      <c r="H74" s="25"/>
      <c r="I74" s="25"/>
      <c r="J74" s="25"/>
      <c r="K74" s="25"/>
      <c r="L74" s="25"/>
      <c r="M74" s="25"/>
      <c r="N74" s="25"/>
      <c r="O74" s="25"/>
      <c r="P74" s="25"/>
      <c r="Q74" s="25"/>
    </row>
    <row r="75" spans="1:17" x14ac:dyDescent="0.25">
      <c r="B75" t="s">
        <v>171</v>
      </c>
      <c r="C75" s="25">
        <f>SUM('Historical Data'!C90:C91,'Historical Data'!C81:C82)</f>
        <v>27281.45</v>
      </c>
      <c r="D75" s="25">
        <f>SUM('Historical Data'!D90:D91,'Historical Data'!D81:D82)</f>
        <v>33867.599999999999</v>
      </c>
      <c r="E75" s="25">
        <f>SUM('Historical Data'!E90:E91,'Historical Data'!E81:E82)</f>
        <v>38838.14</v>
      </c>
      <c r="F75" s="25">
        <f>SUM('Historical Data'!F90:F91,'Historical Data'!F81:F82)</f>
        <v>54313.1</v>
      </c>
      <c r="G75" s="25">
        <f>SUM('Historical Data'!G90:G91,'Historical Data'!G81:G82)</f>
        <v>28262.54</v>
      </c>
      <c r="H75" s="25">
        <f>H139</f>
        <v>28262.54</v>
      </c>
      <c r="I75" s="25">
        <f t="shared" ref="I75:Q75" si="144">I139</f>
        <v>28262.54</v>
      </c>
      <c r="J75" s="25">
        <f t="shared" si="144"/>
        <v>28262.54</v>
      </c>
      <c r="K75" s="25">
        <f t="shared" si="144"/>
        <v>28262.54</v>
      </c>
      <c r="L75" s="25">
        <f t="shared" si="144"/>
        <v>28262.54</v>
      </c>
      <c r="M75" s="25">
        <f t="shared" si="144"/>
        <v>28262.54</v>
      </c>
      <c r="N75" s="25">
        <f t="shared" si="144"/>
        <v>28262.54</v>
      </c>
      <c r="O75" s="25">
        <f t="shared" si="144"/>
        <v>28262.54</v>
      </c>
      <c r="P75" s="25">
        <f t="shared" si="144"/>
        <v>28262.54</v>
      </c>
      <c r="Q75" s="25">
        <f t="shared" si="144"/>
        <v>28262.54</v>
      </c>
    </row>
    <row r="76" spans="1:17" s="1" customFormat="1" x14ac:dyDescent="0.25">
      <c r="A76"/>
      <c r="B76" t="s">
        <v>172</v>
      </c>
      <c r="C76" s="25">
        <f>SUM('Historical Data'!C83:C85)</f>
        <v>4305.83</v>
      </c>
      <c r="D76" s="25">
        <f>SUM('Historical Data'!D83:D85)</f>
        <v>5203.57</v>
      </c>
      <c r="E76" s="25">
        <f>SUM('Historical Data'!E83:E85)</f>
        <v>5415.55</v>
      </c>
      <c r="F76" s="25">
        <f>SUM('Historical Data'!F83:F85)</f>
        <v>5624.95</v>
      </c>
      <c r="G76" s="25">
        <f>SUM('Historical Data'!G83:G85)</f>
        <v>6820.7400000000007</v>
      </c>
      <c r="H76" s="25">
        <f>G76</f>
        <v>6820.7400000000007</v>
      </c>
      <c r="I76" s="25">
        <f t="shared" ref="I76:Q76" si="145">H76</f>
        <v>6820.7400000000007</v>
      </c>
      <c r="J76" s="25">
        <f t="shared" si="145"/>
        <v>6820.7400000000007</v>
      </c>
      <c r="K76" s="25">
        <f t="shared" si="145"/>
        <v>6820.7400000000007</v>
      </c>
      <c r="L76" s="25">
        <f t="shared" si="145"/>
        <v>6820.7400000000007</v>
      </c>
      <c r="M76" s="25">
        <f t="shared" si="145"/>
        <v>6820.7400000000007</v>
      </c>
      <c r="N76" s="25">
        <f t="shared" si="145"/>
        <v>6820.7400000000007</v>
      </c>
      <c r="O76" s="25">
        <f t="shared" si="145"/>
        <v>6820.7400000000007</v>
      </c>
      <c r="P76" s="25">
        <f t="shared" si="145"/>
        <v>6820.7400000000007</v>
      </c>
      <c r="Q76" s="25">
        <f t="shared" si="145"/>
        <v>6820.7400000000007</v>
      </c>
    </row>
    <row r="77" spans="1:17" x14ac:dyDescent="0.25">
      <c r="A77" s="1"/>
      <c r="B77" s="10" t="s">
        <v>185</v>
      </c>
      <c r="C77" s="26">
        <f>SUM(C75:C76)</f>
        <v>31587.279999999999</v>
      </c>
      <c r="D77" s="26">
        <f t="shared" ref="D77:H77" si="146">SUM(D75:D76)</f>
        <v>39071.17</v>
      </c>
      <c r="E77" s="26">
        <f t="shared" si="146"/>
        <v>44253.69</v>
      </c>
      <c r="F77" s="26">
        <f t="shared" si="146"/>
        <v>59938.049999999996</v>
      </c>
      <c r="G77" s="26">
        <f t="shared" si="146"/>
        <v>35083.279999999999</v>
      </c>
      <c r="H77" s="26">
        <f t="shared" si="146"/>
        <v>35083.279999999999</v>
      </c>
      <c r="I77" s="26">
        <f t="shared" ref="I77" si="147">SUM(I75:I76)</f>
        <v>35083.279999999999</v>
      </c>
      <c r="J77" s="26">
        <f t="shared" ref="J77" si="148">SUM(J75:J76)</f>
        <v>35083.279999999999</v>
      </c>
      <c r="K77" s="26">
        <f t="shared" ref="K77" si="149">SUM(K75:K76)</f>
        <v>35083.279999999999</v>
      </c>
      <c r="L77" s="26">
        <f t="shared" ref="L77" si="150">SUM(L75:L76)</f>
        <v>35083.279999999999</v>
      </c>
      <c r="M77" s="26">
        <f t="shared" ref="M77" si="151">SUM(M75:M76)</f>
        <v>35083.279999999999</v>
      </c>
      <c r="N77" s="26">
        <f t="shared" ref="N77" si="152">SUM(N75:N76)</f>
        <v>35083.279999999999</v>
      </c>
      <c r="O77" s="26">
        <f t="shared" ref="O77" si="153">SUM(O75:O76)</f>
        <v>35083.279999999999</v>
      </c>
      <c r="P77" s="26">
        <f t="shared" ref="P77" si="154">SUM(P75:P76)</f>
        <v>35083.279999999999</v>
      </c>
      <c r="Q77" s="26">
        <f t="shared" ref="Q77" si="155">SUM(Q75:Q76)</f>
        <v>35083.279999999999</v>
      </c>
    </row>
    <row r="78" spans="1:17" s="1" customFormat="1" x14ac:dyDescent="0.25">
      <c r="A78"/>
      <c r="B78"/>
      <c r="C78" s="25"/>
      <c r="D78" s="25"/>
      <c r="E78" s="25"/>
      <c r="F78" s="25"/>
      <c r="G78" s="25"/>
      <c r="H78" s="25"/>
      <c r="I78" s="25"/>
      <c r="J78" s="25"/>
      <c r="K78" s="25"/>
      <c r="L78" s="25"/>
      <c r="M78" s="25"/>
      <c r="N78" s="25"/>
      <c r="O78" s="25"/>
      <c r="P78" s="25"/>
      <c r="Q78" s="25"/>
    </row>
    <row r="79" spans="1:17" ht="15.75" thickBot="1" x14ac:dyDescent="0.3">
      <c r="A79" s="1"/>
      <c r="B79" s="23" t="s">
        <v>173</v>
      </c>
      <c r="C79" s="27">
        <f>C77+C72</f>
        <v>48695.94</v>
      </c>
      <c r="D79" s="27">
        <f t="shared" ref="D79:H79" si="156">D77+D72</f>
        <v>53851.93</v>
      </c>
      <c r="E79" s="27">
        <f t="shared" si="156"/>
        <v>64027.560000000005</v>
      </c>
      <c r="F79" s="27">
        <f t="shared" si="156"/>
        <v>81025.299999999988</v>
      </c>
      <c r="G79" s="27">
        <f t="shared" si="156"/>
        <v>64042.74</v>
      </c>
      <c r="H79" s="27">
        <f t="shared" si="156"/>
        <v>67192.917108525377</v>
      </c>
      <c r="I79" s="27">
        <f t="shared" ref="I79:Q79" si="157">I77+I72</f>
        <v>72826.229810812845</v>
      </c>
      <c r="J79" s="27">
        <f t="shared" si="157"/>
        <v>79419.092223382831</v>
      </c>
      <c r="K79" s="27">
        <f t="shared" si="157"/>
        <v>86956.721067652936</v>
      </c>
      <c r="L79" s="27">
        <f t="shared" si="157"/>
        <v>95391.111131430327</v>
      </c>
      <c r="M79" s="27">
        <f t="shared" si="157"/>
        <v>104644.26232509002</v>
      </c>
      <c r="N79" s="27">
        <f t="shared" si="157"/>
        <v>114613.29950020682</v>
      </c>
      <c r="O79" s="27">
        <f t="shared" si="157"/>
        <v>125176.7908638021</v>
      </c>
      <c r="P79" s="27">
        <f t="shared" si="157"/>
        <v>136201.55868325138</v>
      </c>
      <c r="Q79" s="27">
        <f t="shared" si="157"/>
        <v>147549.35595667711</v>
      </c>
    </row>
    <row r="80" spans="1:17" x14ac:dyDescent="0.25">
      <c r="C80" s="25"/>
      <c r="D80" s="25"/>
      <c r="E80" s="25"/>
      <c r="F80" s="25"/>
      <c r="G80" s="25"/>
      <c r="H80" s="25"/>
      <c r="I80" s="25"/>
      <c r="J80" s="25"/>
      <c r="K80" s="25"/>
      <c r="L80" s="25"/>
      <c r="M80" s="25"/>
      <c r="N80" s="25"/>
      <c r="O80" s="25"/>
      <c r="P80" s="25"/>
      <c r="Q80" s="25"/>
    </row>
    <row r="81" spans="1:17" x14ac:dyDescent="0.25">
      <c r="B81" t="s">
        <v>174</v>
      </c>
      <c r="C81" s="25">
        <f>'Historical Data'!C72</f>
        <v>2886.89</v>
      </c>
      <c r="D81" s="25">
        <f>'Historical Data'!D72</f>
        <v>4330.33</v>
      </c>
      <c r="E81" s="25">
        <f>'Historical Data'!E72</f>
        <v>6495.5</v>
      </c>
      <c r="F81" s="25">
        <f>'Historical Data'!F72</f>
        <v>6496.07</v>
      </c>
      <c r="G81" s="25">
        <f>'Historical Data'!G72</f>
        <v>6763.02</v>
      </c>
      <c r="H81" s="25">
        <f>G81</f>
        <v>6763.02</v>
      </c>
      <c r="I81" s="25">
        <f t="shared" ref="I81:Q81" si="158">H81</f>
        <v>6763.02</v>
      </c>
      <c r="J81" s="25">
        <f t="shared" si="158"/>
        <v>6763.02</v>
      </c>
      <c r="K81" s="25">
        <f t="shared" si="158"/>
        <v>6763.02</v>
      </c>
      <c r="L81" s="25">
        <f t="shared" si="158"/>
        <v>6763.02</v>
      </c>
      <c r="M81" s="25">
        <f t="shared" si="158"/>
        <v>6763.02</v>
      </c>
      <c r="N81" s="25">
        <f t="shared" si="158"/>
        <v>6763.02</v>
      </c>
      <c r="O81" s="25">
        <f t="shared" si="158"/>
        <v>6763.02</v>
      </c>
      <c r="P81" s="25">
        <f t="shared" si="158"/>
        <v>6763.02</v>
      </c>
      <c r="Q81" s="25">
        <f t="shared" si="158"/>
        <v>6763.02</v>
      </c>
    </row>
    <row r="82" spans="1:17" s="1" customFormat="1" x14ac:dyDescent="0.25">
      <c r="A82"/>
      <c r="B82" s="6" t="s">
        <v>175</v>
      </c>
      <c r="C82" s="25">
        <f>'Historical Data'!C73</f>
        <v>32353.119999999999</v>
      </c>
      <c r="D82" s="25">
        <f>'Historical Data'!D73</f>
        <v>36468.75</v>
      </c>
      <c r="E82" s="25">
        <f>'Historical Data'!E73</f>
        <v>44528.3</v>
      </c>
      <c r="F82" s="25">
        <f>'Historical Data'!F73</f>
        <v>62868.91</v>
      </c>
      <c r="G82" s="25">
        <f>'Historical Data'!G73</f>
        <v>159335.26999999999</v>
      </c>
      <c r="H82" s="25">
        <f>G82+H43+H113</f>
        <v>188825.17679130271</v>
      </c>
      <c r="I82" s="25">
        <f t="shared" ref="I82:Q82" si="159">H82+I43+I113</f>
        <v>228429.22875191155</v>
      </c>
      <c r="J82" s="25">
        <f t="shared" si="159"/>
        <v>280157.1476328104</v>
      </c>
      <c r="K82" s="25">
        <f t="shared" si="159"/>
        <v>346015.99339004816</v>
      </c>
      <c r="L82" s="25">
        <f t="shared" si="159"/>
        <v>427943.8502312855</v>
      </c>
      <c r="M82" s="25">
        <f t="shared" si="159"/>
        <v>527747.56779042049</v>
      </c>
      <c r="N82" s="25">
        <f t="shared" si="159"/>
        <v>647048.88484033372</v>
      </c>
      <c r="O82" s="25">
        <f t="shared" si="159"/>
        <v>787241.91224172653</v>
      </c>
      <c r="P82" s="25">
        <f t="shared" si="159"/>
        <v>949463.53618525818</v>
      </c>
      <c r="Q82" s="25">
        <f t="shared" si="159"/>
        <v>1134577.0018860092</v>
      </c>
    </row>
    <row r="83" spans="1:17" x14ac:dyDescent="0.25">
      <c r="A83" s="1"/>
      <c r="B83" s="10" t="s">
        <v>176</v>
      </c>
      <c r="C83" s="26">
        <f>SUM(C81:C82)</f>
        <v>35240.01</v>
      </c>
      <c r="D83" s="26">
        <f t="shared" ref="D83:H83" si="160">SUM(D81:D82)</f>
        <v>40799.08</v>
      </c>
      <c r="E83" s="26">
        <f t="shared" si="160"/>
        <v>51023.8</v>
      </c>
      <c r="F83" s="26">
        <f t="shared" si="160"/>
        <v>69364.98000000001</v>
      </c>
      <c r="G83" s="26">
        <f t="shared" si="160"/>
        <v>166098.28999999998</v>
      </c>
      <c r="H83" s="26">
        <f t="shared" si="160"/>
        <v>195588.1967913027</v>
      </c>
      <c r="I83" s="26">
        <f t="shared" ref="I83" si="161">SUM(I81:I82)</f>
        <v>235192.24875191154</v>
      </c>
      <c r="J83" s="26">
        <f t="shared" ref="J83" si="162">SUM(J81:J82)</f>
        <v>286920.16763281042</v>
      </c>
      <c r="K83" s="26">
        <f t="shared" ref="K83" si="163">SUM(K81:K82)</f>
        <v>352779.01339004817</v>
      </c>
      <c r="L83" s="26">
        <f t="shared" ref="L83" si="164">SUM(L81:L82)</f>
        <v>434706.87023128552</v>
      </c>
      <c r="M83" s="26">
        <f t="shared" ref="M83" si="165">SUM(M81:M82)</f>
        <v>534510.58779042051</v>
      </c>
      <c r="N83" s="26">
        <f t="shared" ref="N83" si="166">SUM(N81:N82)</f>
        <v>653811.90484033374</v>
      </c>
      <c r="O83" s="26">
        <f t="shared" ref="O83" si="167">SUM(O81:O82)</f>
        <v>794004.93224172655</v>
      </c>
      <c r="P83" s="26">
        <f t="shared" ref="P83" si="168">SUM(P81:P82)</f>
        <v>956226.5561852582</v>
      </c>
      <c r="Q83" s="26">
        <f t="shared" ref="Q83" si="169">SUM(Q81:Q82)</f>
        <v>1141340.0218860093</v>
      </c>
    </row>
    <row r="84" spans="1:17" s="1" customFormat="1" x14ac:dyDescent="0.25">
      <c r="A84"/>
      <c r="B84" t="s">
        <v>177</v>
      </c>
      <c r="C84" s="25">
        <f>'Historical Data'!C75</f>
        <v>647.88</v>
      </c>
      <c r="D84" s="25">
        <f>'Historical Data'!D75</f>
        <v>1167.8900000000001</v>
      </c>
      <c r="E84" s="25">
        <f>'Historical Data'!E75</f>
        <v>1131.07</v>
      </c>
      <c r="F84" s="25">
        <f>'Historical Data'!F75</f>
        <v>1481.55</v>
      </c>
      <c r="G84" s="25">
        <f>'Historical Data'!G75</f>
        <v>1298.07</v>
      </c>
      <c r="H84" s="25">
        <f>G84</f>
        <v>1298.07</v>
      </c>
      <c r="I84" s="25">
        <f t="shared" ref="I84:Q84" si="170">H84</f>
        <v>1298.07</v>
      </c>
      <c r="J84" s="25">
        <f t="shared" si="170"/>
        <v>1298.07</v>
      </c>
      <c r="K84" s="25">
        <f t="shared" si="170"/>
        <v>1298.07</v>
      </c>
      <c r="L84" s="25">
        <f t="shared" si="170"/>
        <v>1298.07</v>
      </c>
      <c r="M84" s="25">
        <f t="shared" si="170"/>
        <v>1298.07</v>
      </c>
      <c r="N84" s="25">
        <f t="shared" si="170"/>
        <v>1298.07</v>
      </c>
      <c r="O84" s="25">
        <f t="shared" si="170"/>
        <v>1298.07</v>
      </c>
      <c r="P84" s="25">
        <f t="shared" si="170"/>
        <v>1298.07</v>
      </c>
      <c r="Q84" s="25">
        <f t="shared" si="170"/>
        <v>1298.07</v>
      </c>
    </row>
    <row r="85" spans="1:17" ht="15.75" thickBot="1" x14ac:dyDescent="0.3">
      <c r="A85" s="1"/>
      <c r="B85" s="23" t="s">
        <v>186</v>
      </c>
      <c r="C85" s="27">
        <f>SUM(C83:C84)</f>
        <v>35887.89</v>
      </c>
      <c r="D85" s="27">
        <f t="shared" ref="D85:H85" si="171">SUM(D83:D84)</f>
        <v>41966.97</v>
      </c>
      <c r="E85" s="27">
        <f t="shared" si="171"/>
        <v>52154.87</v>
      </c>
      <c r="F85" s="27">
        <f t="shared" si="171"/>
        <v>70846.530000000013</v>
      </c>
      <c r="G85" s="27">
        <f t="shared" si="171"/>
        <v>167396.35999999999</v>
      </c>
      <c r="H85" s="27">
        <f t="shared" si="171"/>
        <v>196886.26679130271</v>
      </c>
      <c r="I85" s="27">
        <f t="shared" ref="I85" si="172">SUM(I83:I84)</f>
        <v>236490.31875191155</v>
      </c>
      <c r="J85" s="27">
        <f t="shared" ref="J85" si="173">SUM(J83:J84)</f>
        <v>288218.23763281043</v>
      </c>
      <c r="K85" s="27">
        <f t="shared" ref="K85" si="174">SUM(K83:K84)</f>
        <v>354077.08339004818</v>
      </c>
      <c r="L85" s="27">
        <f t="shared" ref="L85" si="175">SUM(L83:L84)</f>
        <v>436004.94023128552</v>
      </c>
      <c r="M85" s="27">
        <f t="shared" ref="M85" si="176">SUM(M83:M84)</f>
        <v>535808.65779042046</v>
      </c>
      <c r="N85" s="27">
        <f t="shared" ref="N85" si="177">SUM(N83:N84)</f>
        <v>655109.97484033369</v>
      </c>
      <c r="O85" s="27">
        <f t="shared" ref="O85" si="178">SUM(O83:O84)</f>
        <v>795303.0022417265</v>
      </c>
      <c r="P85" s="27">
        <f t="shared" ref="P85" si="179">SUM(P83:P84)</f>
        <v>957524.62618525815</v>
      </c>
      <c r="Q85" s="27">
        <f t="shared" ref="Q85" si="180">SUM(Q83:Q84)</f>
        <v>1142638.0918860093</v>
      </c>
    </row>
    <row r="86" spans="1:17" s="1" customFormat="1" x14ac:dyDescent="0.25">
      <c r="A86"/>
      <c r="B86"/>
      <c r="C86" s="25"/>
      <c r="D86" s="25"/>
      <c r="E86" s="25"/>
      <c r="F86" s="25"/>
      <c r="G86" s="25"/>
      <c r="H86" s="25"/>
      <c r="I86" s="25"/>
      <c r="J86" s="25"/>
      <c r="K86" s="25"/>
      <c r="L86" s="25"/>
      <c r="M86" s="25"/>
      <c r="N86" s="25"/>
      <c r="O86" s="25"/>
      <c r="P86" s="25"/>
      <c r="Q86" s="25"/>
    </row>
    <row r="87" spans="1:17" ht="15.75" thickBot="1" x14ac:dyDescent="0.3">
      <c r="A87" s="1"/>
      <c r="B87" s="23" t="s">
        <v>178</v>
      </c>
      <c r="C87" s="27">
        <f>C85+C79</f>
        <v>84583.83</v>
      </c>
      <c r="D87" s="27">
        <f t="shared" ref="D87:H87" si="181">D85+D79</f>
        <v>95818.9</v>
      </c>
      <c r="E87" s="27">
        <f t="shared" si="181"/>
        <v>116182.43000000001</v>
      </c>
      <c r="F87" s="27">
        <f t="shared" si="181"/>
        <v>151871.83000000002</v>
      </c>
      <c r="G87" s="27">
        <f t="shared" si="181"/>
        <v>231439.09999999998</v>
      </c>
      <c r="H87" s="27">
        <f t="shared" si="181"/>
        <v>264079.18389982812</v>
      </c>
      <c r="I87" s="27">
        <f t="shared" ref="I87:Q87" si="182">I85+I79</f>
        <v>309316.54856272438</v>
      </c>
      <c r="J87" s="27">
        <f t="shared" si="182"/>
        <v>367637.32985619328</v>
      </c>
      <c r="K87" s="27">
        <f t="shared" si="182"/>
        <v>441033.8044577011</v>
      </c>
      <c r="L87" s="27">
        <f t="shared" si="182"/>
        <v>531396.05136271589</v>
      </c>
      <c r="M87" s="27">
        <f t="shared" si="182"/>
        <v>640452.92011551047</v>
      </c>
      <c r="N87" s="27">
        <f t="shared" si="182"/>
        <v>769723.27434054052</v>
      </c>
      <c r="O87" s="27">
        <f t="shared" si="182"/>
        <v>920479.79310552857</v>
      </c>
      <c r="P87" s="27">
        <f t="shared" si="182"/>
        <v>1093726.1848685094</v>
      </c>
      <c r="Q87" s="27">
        <f t="shared" si="182"/>
        <v>1290187.4478426864</v>
      </c>
    </row>
    <row r="89" spans="1:17" x14ac:dyDescent="0.25">
      <c r="B89" s="1" t="s">
        <v>82</v>
      </c>
      <c r="C89" s="28">
        <f>C87-C66</f>
        <v>0</v>
      </c>
      <c r="D89" s="28">
        <f t="shared" ref="D89:H89" si="183">D87-D66</f>
        <v>0</v>
      </c>
      <c r="E89" s="28">
        <f t="shared" si="183"/>
        <v>0</v>
      </c>
      <c r="F89" s="28">
        <f t="shared" si="183"/>
        <v>0</v>
      </c>
      <c r="G89" s="28">
        <f t="shared" si="183"/>
        <v>0</v>
      </c>
      <c r="H89" s="28">
        <f t="shared" si="183"/>
        <v>0</v>
      </c>
      <c r="I89" s="28">
        <f t="shared" ref="I89:Q89" si="184">I87-I66</f>
        <v>0</v>
      </c>
      <c r="J89" s="28">
        <f t="shared" si="184"/>
        <v>0</v>
      </c>
      <c r="K89" s="28">
        <f t="shared" si="184"/>
        <v>0</v>
      </c>
      <c r="L89" s="28">
        <f t="shared" si="184"/>
        <v>0</v>
      </c>
      <c r="M89" s="28">
        <f t="shared" si="184"/>
        <v>0</v>
      </c>
      <c r="N89" s="28">
        <f t="shared" si="184"/>
        <v>0</v>
      </c>
      <c r="O89" s="28">
        <f t="shared" si="184"/>
        <v>0</v>
      </c>
      <c r="P89" s="28">
        <f t="shared" si="184"/>
        <v>0</v>
      </c>
      <c r="Q89" s="28">
        <f t="shared" si="184"/>
        <v>0</v>
      </c>
    </row>
    <row r="92" spans="1:17" x14ac:dyDescent="0.25">
      <c r="A92" s="166" t="s">
        <v>27</v>
      </c>
      <c r="B92" s="163" t="s">
        <v>84</v>
      </c>
      <c r="C92" s="164">
        <v>2020</v>
      </c>
      <c r="D92" s="164">
        <f>C92+1</f>
        <v>2021</v>
      </c>
      <c r="E92" s="164">
        <f t="shared" ref="E92" si="185">D92+1</f>
        <v>2022</v>
      </c>
      <c r="F92" s="164">
        <f t="shared" ref="F92" si="186">E92+1</f>
        <v>2023</v>
      </c>
      <c r="G92" s="164">
        <f t="shared" ref="G92" si="187">F92+1</f>
        <v>2024</v>
      </c>
      <c r="H92" s="165">
        <f t="shared" ref="H92" si="188">G92+1</f>
        <v>2025</v>
      </c>
      <c r="I92" s="165">
        <f t="shared" ref="I92" si="189">H92+1</f>
        <v>2026</v>
      </c>
      <c r="J92" s="165">
        <f t="shared" ref="J92" si="190">I92+1</f>
        <v>2027</v>
      </c>
      <c r="K92" s="165">
        <f t="shared" ref="K92" si="191">J92+1</f>
        <v>2028</v>
      </c>
      <c r="L92" s="165">
        <f t="shared" ref="L92" si="192">K92+1</f>
        <v>2029</v>
      </c>
      <c r="M92" s="165">
        <f t="shared" ref="M92" si="193">L92+1</f>
        <v>2030</v>
      </c>
      <c r="N92" s="165">
        <f t="shared" ref="N92" si="194">M92+1</f>
        <v>2031</v>
      </c>
      <c r="O92" s="165">
        <f t="shared" ref="O92" si="195">N92+1</f>
        <v>2032</v>
      </c>
      <c r="P92" s="165">
        <f t="shared" ref="P92" si="196">O92+1</f>
        <v>2033</v>
      </c>
      <c r="Q92" s="165">
        <f t="shared" ref="Q92" si="197">P92+1</f>
        <v>2034</v>
      </c>
    </row>
    <row r="95" spans="1:17" x14ac:dyDescent="0.25">
      <c r="B95" s="1" t="s">
        <v>187</v>
      </c>
    </row>
    <row r="96" spans="1:17" x14ac:dyDescent="0.25">
      <c r="B96" t="s">
        <v>188</v>
      </c>
      <c r="C96" s="25">
        <f>'Historical Data'!C110+'Historical Data'!C133</f>
        <v>2849.86</v>
      </c>
      <c r="D96" s="25">
        <f>'Historical Data'!D110+'Historical Data'!D133</f>
        <v>8823.7999999999993</v>
      </c>
      <c r="E96" s="25">
        <f>'Historical Data'!E110+'Historical Data'!E133</f>
        <v>16503.14</v>
      </c>
      <c r="F96" s="25">
        <f>'Historical Data'!F110+'Historical Data'!F133</f>
        <v>20719</v>
      </c>
      <c r="G96" s="25">
        <f>'Historical Data'!G110+'Historical Data'!G133</f>
        <v>27070.01</v>
      </c>
      <c r="H96" s="25">
        <f>H43</f>
        <v>34158.304837217875</v>
      </c>
      <c r="I96" s="25">
        <f t="shared" ref="I96:Q96" si="198">I43</f>
        <v>45873.569192102979</v>
      </c>
      <c r="J96" s="25">
        <f t="shared" si="198"/>
        <v>59916.704187404634</v>
      </c>
      <c r="K96" s="25">
        <f t="shared" si="198"/>
        <v>76284.62665288955</v>
      </c>
      <c r="L96" s="25">
        <f t="shared" si="198"/>
        <v>94897.441638176999</v>
      </c>
      <c r="M96" s="25">
        <f t="shared" si="198"/>
        <v>115603.13948764191</v>
      </c>
      <c r="N96" s="25">
        <f t="shared" si="198"/>
        <v>138187.30537576231</v>
      </c>
      <c r="O96" s="25">
        <f t="shared" si="198"/>
        <v>162386.27676644723</v>
      </c>
      <c r="P96" s="25">
        <f t="shared" si="198"/>
        <v>187902.10905264423</v>
      </c>
      <c r="Q96" s="25">
        <f t="shared" si="198"/>
        <v>214417.84253943391</v>
      </c>
    </row>
    <row r="97" spans="1:17" x14ac:dyDescent="0.25">
      <c r="B97" t="s">
        <v>189</v>
      </c>
      <c r="C97" s="25">
        <f>C37</f>
        <v>5287.02</v>
      </c>
      <c r="D97" s="25">
        <f t="shared" ref="D97:G97" si="199">D37</f>
        <v>5312.62</v>
      </c>
      <c r="E97" s="25">
        <f t="shared" si="199"/>
        <v>6171.89</v>
      </c>
      <c r="F97" s="25">
        <f t="shared" si="199"/>
        <v>6809.06</v>
      </c>
      <c r="G97" s="25">
        <f t="shared" si="199"/>
        <v>9473.86</v>
      </c>
      <c r="H97" s="25">
        <f>H37</f>
        <v>12693.286818662766</v>
      </c>
      <c r="I97" s="25">
        <f t="shared" ref="I97:Q97" si="200">I37</f>
        <v>15282.313025463385</v>
      </c>
      <c r="J97" s="25">
        <f t="shared" si="200"/>
        <v>17899.717101300255</v>
      </c>
      <c r="K97" s="25">
        <f t="shared" si="200"/>
        <v>20504.363287334985</v>
      </c>
      <c r="L97" s="25">
        <f t="shared" si="200"/>
        <v>23049.434471075696</v>
      </c>
      <c r="M97" s="25">
        <f t="shared" si="200"/>
        <v>25486.415797896261</v>
      </c>
      <c r="N97" s="25">
        <f t="shared" si="200"/>
        <v>27768.612058339171</v>
      </c>
      <c r="O97" s="25">
        <f t="shared" si="200"/>
        <v>29854.029941627981</v>
      </c>
      <c r="P97" s="25">
        <f t="shared" si="200"/>
        <v>31707.512699163992</v>
      </c>
      <c r="Q97" s="25">
        <f t="shared" si="200"/>
        <v>33302.093014434002</v>
      </c>
    </row>
    <row r="98" spans="1:17" x14ac:dyDescent="0.25">
      <c r="B98" t="s">
        <v>190</v>
      </c>
      <c r="C98" s="25">
        <f>SUM('Historical Data'!C114:C125)</f>
        <v>3091.4300000000003</v>
      </c>
      <c r="D98" s="25">
        <f>SUM('Historical Data'!D114:D125)</f>
        <v>865.25999999999976</v>
      </c>
      <c r="E98" s="25">
        <f>SUM('Historical Data'!E114:E125)</f>
        <v>1077.1899999999998</v>
      </c>
      <c r="F98" s="25">
        <f>SUM('Historical Data'!F114:F125)</f>
        <v>3114.5299999999993</v>
      </c>
      <c r="G98" s="25">
        <f>SUM('Historical Data'!G114:G125)</f>
        <v>3960.9799999999991</v>
      </c>
      <c r="H98" s="25">
        <f>H39-H40</f>
        <v>1030.3024512860256</v>
      </c>
      <c r="I98" s="25">
        <f t="shared" ref="I98:Q98" si="201">I39-I40</f>
        <v>756.96364584109165</v>
      </c>
      <c r="J98" s="25">
        <f t="shared" si="201"/>
        <v>437.06570451379184</v>
      </c>
      <c r="K98" s="25">
        <f t="shared" si="201"/>
        <v>71.325939465163628</v>
      </c>
      <c r="L98" s="25">
        <f t="shared" si="201"/>
        <v>-337.92634716067573</v>
      </c>
      <c r="M98" s="25">
        <f t="shared" si="201"/>
        <v>-786.90644600185692</v>
      </c>
      <c r="N98" s="25">
        <f t="shared" si="201"/>
        <v>-1270.6226635972482</v>
      </c>
      <c r="O98" s="25">
        <f t="shared" si="201"/>
        <v>-1783.1829035925446</v>
      </c>
      <c r="P98" s="25">
        <f t="shared" si="201"/>
        <v>-2318.125134804447</v>
      </c>
      <c r="Q98" s="25">
        <f t="shared" si="201"/>
        <v>-2868.7413556810106</v>
      </c>
    </row>
    <row r="99" spans="1:17" x14ac:dyDescent="0.25">
      <c r="B99" t="s">
        <v>191</v>
      </c>
      <c r="C99" s="25">
        <f>C129</f>
        <v>-1108.44</v>
      </c>
      <c r="D99" s="25">
        <f t="shared" ref="D99:G99" si="202">D129</f>
        <v>-2687.4599999999996</v>
      </c>
      <c r="E99" s="25">
        <f t="shared" si="202"/>
        <v>-5851.93</v>
      </c>
      <c r="F99" s="25">
        <f t="shared" si="202"/>
        <v>-6734.8099999999995</v>
      </c>
      <c r="G99" s="25">
        <f t="shared" si="202"/>
        <v>-6693.88</v>
      </c>
      <c r="H99" s="25">
        <f>H129</f>
        <v>-7901.0947949706388</v>
      </c>
      <c r="I99" s="25">
        <f t="shared" ref="I99:Q99" si="203">I129</f>
        <v>-8610.9427078764493</v>
      </c>
      <c r="J99" s="25">
        <f t="shared" si="203"/>
        <v>-10077.686703331769</v>
      </c>
      <c r="K99" s="25">
        <f t="shared" si="203"/>
        <v>-11521.83334415131</v>
      </c>
      <c r="L99" s="25">
        <f t="shared" si="203"/>
        <v>-12892.600402881613</v>
      </c>
      <c r="M99" s="25">
        <f t="shared" si="203"/>
        <v>-14144.138450465922</v>
      </c>
      <c r="N99" s="25">
        <f t="shared" si="203"/>
        <v>-15238.424086197789</v>
      </c>
      <c r="O99" s="25">
        <f t="shared" si="203"/>
        <v>-16147.092081384144</v>
      </c>
      <c r="P99" s="25">
        <f t="shared" si="203"/>
        <v>-16852.187882694445</v>
      </c>
      <c r="Q99" s="25">
        <f t="shared" si="203"/>
        <v>-17345.962730310916</v>
      </c>
    </row>
    <row r="100" spans="1:17" ht="15.75" thickBot="1" x14ac:dyDescent="0.3">
      <c r="B100" s="23" t="s">
        <v>192</v>
      </c>
      <c r="C100" s="27">
        <f>SUM(C96:C99)</f>
        <v>10119.870000000001</v>
      </c>
      <c r="D100" s="27">
        <f t="shared" ref="D100:H100" si="204">SUM(D96:D99)</f>
        <v>12314.22</v>
      </c>
      <c r="E100" s="27">
        <f t="shared" si="204"/>
        <v>17900.289999999997</v>
      </c>
      <c r="F100" s="27">
        <f t="shared" si="204"/>
        <v>23907.78</v>
      </c>
      <c r="G100" s="27">
        <f t="shared" si="204"/>
        <v>33810.969999999994</v>
      </c>
      <c r="H100" s="27">
        <f t="shared" si="204"/>
        <v>39980.799312196032</v>
      </c>
      <c r="I100" s="27">
        <f t="shared" ref="I100" si="205">SUM(I96:I99)</f>
        <v>53301.903155531007</v>
      </c>
      <c r="J100" s="27">
        <f t="shared" ref="J100" si="206">SUM(J96:J99)</f>
        <v>68175.800289886916</v>
      </c>
      <c r="K100" s="27">
        <f t="shared" ref="K100" si="207">SUM(K96:K99)</f>
        <v>85338.482535538395</v>
      </c>
      <c r="L100" s="27">
        <f t="shared" ref="L100" si="208">SUM(L96:L99)</f>
        <v>104716.34935921041</v>
      </c>
      <c r="M100" s="27">
        <f t="shared" ref="M100" si="209">SUM(M96:M99)</f>
        <v>126158.51038907038</v>
      </c>
      <c r="N100" s="27">
        <f t="shared" ref="N100" si="210">SUM(N96:N99)</f>
        <v>149446.87068430643</v>
      </c>
      <c r="O100" s="27">
        <f t="shared" ref="O100" si="211">SUM(O96:O99)</f>
        <v>174310.03172309854</v>
      </c>
      <c r="P100" s="27">
        <f t="shared" ref="P100" si="212">SUM(P96:P99)</f>
        <v>200439.30873430931</v>
      </c>
      <c r="Q100" s="27">
        <f t="shared" ref="Q100" si="213">SUM(Q96:Q99)</f>
        <v>227505.231467876</v>
      </c>
    </row>
    <row r="101" spans="1:17" x14ac:dyDescent="0.25">
      <c r="C101" s="25"/>
      <c r="D101" s="25"/>
      <c r="E101" s="25"/>
      <c r="F101" s="25"/>
      <c r="G101" s="25"/>
      <c r="H101" s="25"/>
      <c r="I101" s="25"/>
      <c r="J101" s="25"/>
      <c r="K101" s="25"/>
      <c r="L101" s="25"/>
      <c r="M101" s="25"/>
      <c r="N101" s="25"/>
      <c r="O101" s="25"/>
      <c r="P101" s="25"/>
      <c r="Q101" s="25"/>
    </row>
    <row r="102" spans="1:17" x14ac:dyDescent="0.25">
      <c r="B102" s="1" t="s">
        <v>193</v>
      </c>
      <c r="C102" s="25"/>
      <c r="D102" s="25"/>
      <c r="E102" s="25"/>
      <c r="F102" s="25"/>
      <c r="G102" s="25"/>
      <c r="H102" s="25"/>
      <c r="I102" s="25"/>
      <c r="J102" s="25"/>
      <c r="K102" s="25"/>
      <c r="L102" s="25"/>
      <c r="M102" s="25"/>
      <c r="N102" s="25"/>
      <c r="O102" s="25"/>
      <c r="P102" s="25"/>
      <c r="Q102" s="25"/>
    </row>
    <row r="103" spans="1:17" x14ac:dyDescent="0.25">
      <c r="B103" t="s">
        <v>194</v>
      </c>
      <c r="C103" s="25">
        <f>'Historical Data'!C136</f>
        <v>-5596.74</v>
      </c>
      <c r="D103" s="25">
        <f>'Historical Data'!D136</f>
        <v>-8348</v>
      </c>
      <c r="E103" s="25">
        <f>'Historical Data'!E136</f>
        <v>-18009.919999999998</v>
      </c>
      <c r="F103" s="25">
        <f>'Historical Data'!F136</f>
        <v>-32640.49</v>
      </c>
      <c r="G103" s="25">
        <f>'Historical Data'!G136</f>
        <v>-37790.1</v>
      </c>
      <c r="H103" s="25">
        <f>-H134</f>
        <v>-41794.464797643959</v>
      </c>
      <c r="I103" s="25">
        <f t="shared" ref="I103:Q103" si="214">-I134</f>
        <v>-44702.463989468393</v>
      </c>
      <c r="J103" s="25">
        <f t="shared" si="214"/>
        <v>-47176.466804710464</v>
      </c>
      <c r="K103" s="25">
        <f t="shared" si="214"/>
        <v>-49111.477920886638</v>
      </c>
      <c r="L103" s="25">
        <f t="shared" si="214"/>
        <v>-50441.597260689523</v>
      </c>
      <c r="M103" s="25">
        <f t="shared" si="214"/>
        <v>-51138.763149059698</v>
      </c>
      <c r="N103" s="25">
        <f t="shared" si="214"/>
        <v>-51209.130668281345</v>
      </c>
      <c r="O103" s="25">
        <f t="shared" si="214"/>
        <v>-50687.550848580358</v>
      </c>
      <c r="P103" s="25">
        <f t="shared" si="214"/>
        <v>-49630.917813628337</v>
      </c>
      <c r="Q103" s="25">
        <f t="shared" si="214"/>
        <v>-48111.184287242409</v>
      </c>
    </row>
    <row r="104" spans="1:17" x14ac:dyDescent="0.25">
      <c r="B104" t="s">
        <v>195</v>
      </c>
      <c r="C104" s="25">
        <f>'Historical Data'!C137</f>
        <v>240.59</v>
      </c>
      <c r="D104" s="25">
        <f>'Historical Data'!D137</f>
        <v>193.51</v>
      </c>
      <c r="E104" s="25">
        <f>'Historical Data'!E137</f>
        <v>510.93</v>
      </c>
      <c r="F104" s="25">
        <f>'Historical Data'!F137</f>
        <v>701.31</v>
      </c>
      <c r="G104" s="25">
        <f>'Historical Data'!G137</f>
        <v>386.37</v>
      </c>
      <c r="H104" s="25">
        <v>0</v>
      </c>
      <c r="I104" s="25">
        <v>0</v>
      </c>
      <c r="J104" s="25">
        <v>0</v>
      </c>
      <c r="K104" s="25">
        <v>0</v>
      </c>
      <c r="L104" s="25">
        <v>0</v>
      </c>
      <c r="M104" s="25">
        <v>0</v>
      </c>
      <c r="N104" s="25">
        <v>0</v>
      </c>
      <c r="O104" s="25">
        <v>0</v>
      </c>
      <c r="P104" s="25">
        <v>0</v>
      </c>
      <c r="Q104" s="25">
        <v>0</v>
      </c>
    </row>
    <row r="105" spans="1:17" x14ac:dyDescent="0.25">
      <c r="B105" t="s">
        <v>196</v>
      </c>
      <c r="C105" s="25">
        <f>SUM('Historical Data'!C138:C141,'Historical Data'!C144:C146)</f>
        <v>558.29000000000008</v>
      </c>
      <c r="D105" s="25">
        <f>SUM('Historical Data'!D138:D141,'Historical Data'!D144:D146)</f>
        <v>-2084.36</v>
      </c>
      <c r="E105" s="25">
        <f>SUM('Historical Data'!E138:E141,'Historical Data'!E144:E146)</f>
        <v>220.59</v>
      </c>
      <c r="F105" s="25">
        <f>SUM('Historical Data'!F138:F141,'Historical Data'!F144:F146)</f>
        <v>-1179.6500000000001</v>
      </c>
      <c r="G105" s="25">
        <f>SUM('Historical Data'!G138:G141,'Historical Data'!G144:G146)</f>
        <v>-6045.2</v>
      </c>
      <c r="H105" s="25">
        <v>0</v>
      </c>
      <c r="I105" s="25">
        <v>0</v>
      </c>
      <c r="J105" s="25">
        <v>0</v>
      </c>
      <c r="K105" s="25">
        <v>0</v>
      </c>
      <c r="L105" s="25">
        <v>0</v>
      </c>
      <c r="M105" s="25">
        <v>0</v>
      </c>
      <c r="N105" s="25">
        <v>0</v>
      </c>
      <c r="O105" s="25">
        <v>0</v>
      </c>
      <c r="P105" s="25">
        <v>0</v>
      </c>
      <c r="Q105" s="25">
        <v>0</v>
      </c>
    </row>
    <row r="106" spans="1:17" x14ac:dyDescent="0.25">
      <c r="B106" t="s">
        <v>197</v>
      </c>
      <c r="C106" s="25" t="str">
        <f>'Historical Data'!C143</f>
        <v>-</v>
      </c>
      <c r="D106" s="25">
        <f>'Historical Data'!D143</f>
        <v>0</v>
      </c>
      <c r="E106" s="25">
        <f>'Historical Data'!E143</f>
        <v>0</v>
      </c>
      <c r="F106" s="25">
        <f>'Historical Data'!F143</f>
        <v>0</v>
      </c>
      <c r="G106" s="25">
        <f>'Historical Data'!G143</f>
        <v>0</v>
      </c>
      <c r="H106" s="25">
        <v>0</v>
      </c>
      <c r="I106" s="25">
        <v>0</v>
      </c>
      <c r="J106" s="25">
        <v>0</v>
      </c>
      <c r="K106" s="25">
        <v>0</v>
      </c>
      <c r="L106" s="25">
        <v>0</v>
      </c>
      <c r="M106" s="25">
        <v>0</v>
      </c>
      <c r="N106" s="25">
        <v>0</v>
      </c>
      <c r="O106" s="25">
        <v>0</v>
      </c>
      <c r="P106" s="25">
        <v>0</v>
      </c>
      <c r="Q106" s="25">
        <v>0</v>
      </c>
    </row>
    <row r="107" spans="1:17" s="1" customFormat="1" x14ac:dyDescent="0.25">
      <c r="A107"/>
      <c r="B107" t="s">
        <v>111</v>
      </c>
      <c r="C107" s="25">
        <f>'Historical Data'!C142</f>
        <v>86.9</v>
      </c>
      <c r="D107" s="25">
        <f>'Historical Data'!D142</f>
        <v>132.46</v>
      </c>
      <c r="E107" s="25">
        <f>'Historical Data'!E142</f>
        <v>232.42</v>
      </c>
      <c r="F107" s="25">
        <f>'Historical Data'!F142</f>
        <v>220.16</v>
      </c>
      <c r="G107" s="25">
        <f>'Historical Data'!G142</f>
        <v>281.13</v>
      </c>
      <c r="H107" s="25">
        <f>H40</f>
        <v>910.00064089162481</v>
      </c>
      <c r="I107" s="25">
        <f t="shared" ref="I107:Q107" si="215">I40</f>
        <v>1183.3394463365589</v>
      </c>
      <c r="J107" s="25">
        <f t="shared" si="215"/>
        <v>1503.2373876638587</v>
      </c>
      <c r="K107" s="25">
        <f t="shared" si="215"/>
        <v>1868.9771527124869</v>
      </c>
      <c r="L107" s="25">
        <f t="shared" si="215"/>
        <v>2278.2294393383263</v>
      </c>
      <c r="M107" s="25">
        <f t="shared" si="215"/>
        <v>2727.2095381795075</v>
      </c>
      <c r="N107" s="25">
        <f t="shared" si="215"/>
        <v>3210.9257557748988</v>
      </c>
      <c r="O107" s="25">
        <f t="shared" si="215"/>
        <v>3723.4859957701951</v>
      </c>
      <c r="P107" s="25">
        <f t="shared" si="215"/>
        <v>4258.4282269820978</v>
      </c>
      <c r="Q107" s="25">
        <f t="shared" si="215"/>
        <v>4809.0444478586614</v>
      </c>
    </row>
    <row r="108" spans="1:17" ht="15.75" thickBot="1" x14ac:dyDescent="0.3">
      <c r="A108" s="1"/>
      <c r="B108" s="23" t="s">
        <v>198</v>
      </c>
      <c r="C108" s="27">
        <f>SUM(C103:C107)</f>
        <v>-4710.96</v>
      </c>
      <c r="D108" s="27">
        <f t="shared" ref="D108:H108" si="216">SUM(D103:D107)</f>
        <v>-10106.390000000001</v>
      </c>
      <c r="E108" s="27">
        <f t="shared" si="216"/>
        <v>-17045.98</v>
      </c>
      <c r="F108" s="27">
        <f t="shared" si="216"/>
        <v>-32898.67</v>
      </c>
      <c r="G108" s="27">
        <f t="shared" si="216"/>
        <v>-43167.799999999996</v>
      </c>
      <c r="H108" s="27">
        <f t="shared" si="216"/>
        <v>-40884.464156752336</v>
      </c>
      <c r="I108" s="27">
        <f t="shared" ref="I108" si="217">SUM(I103:I107)</f>
        <v>-43519.124543131831</v>
      </c>
      <c r="J108" s="27">
        <f t="shared" ref="J108" si="218">SUM(J103:J107)</f>
        <v>-45673.229417046605</v>
      </c>
      <c r="K108" s="27">
        <f t="shared" ref="K108" si="219">SUM(K103:K107)</f>
        <v>-47242.500768174148</v>
      </c>
      <c r="L108" s="27">
        <f t="shared" ref="L108" si="220">SUM(L103:L107)</f>
        <v>-48163.367821351196</v>
      </c>
      <c r="M108" s="27">
        <f t="shared" ref="M108" si="221">SUM(M103:M107)</f>
        <v>-48411.55361088019</v>
      </c>
      <c r="N108" s="27">
        <f t="shared" ref="N108" si="222">SUM(N103:N107)</f>
        <v>-47998.204912506444</v>
      </c>
      <c r="O108" s="27">
        <f t="shared" ref="O108" si="223">SUM(O103:O107)</f>
        <v>-46964.064852810166</v>
      </c>
      <c r="P108" s="27">
        <f t="shared" ref="P108" si="224">SUM(P103:P107)</f>
        <v>-45372.489586646239</v>
      </c>
      <c r="Q108" s="27">
        <f t="shared" ref="Q108" si="225">SUM(Q103:Q107)</f>
        <v>-43302.139839383744</v>
      </c>
    </row>
    <row r="109" spans="1:17" x14ac:dyDescent="0.25">
      <c r="C109" s="25"/>
      <c r="D109" s="25"/>
      <c r="E109" s="25"/>
      <c r="F109" s="25"/>
      <c r="G109" s="25"/>
      <c r="H109" s="25"/>
      <c r="I109" s="25"/>
      <c r="J109" s="25"/>
      <c r="K109" s="25"/>
      <c r="L109" s="25"/>
      <c r="M109" s="25"/>
      <c r="N109" s="25"/>
      <c r="O109" s="25"/>
      <c r="P109" s="25"/>
      <c r="Q109" s="25"/>
    </row>
    <row r="110" spans="1:17" x14ac:dyDescent="0.25">
      <c r="B110" s="1" t="s">
        <v>199</v>
      </c>
      <c r="C110" s="25"/>
      <c r="D110" s="25"/>
      <c r="E110" s="25"/>
      <c r="F110" s="25"/>
      <c r="G110" s="25"/>
      <c r="H110" s="25"/>
      <c r="I110" s="25"/>
      <c r="J110" s="25"/>
      <c r="K110" s="25"/>
      <c r="L110" s="25"/>
      <c r="M110" s="25"/>
      <c r="N110" s="25"/>
      <c r="O110" s="25"/>
      <c r="P110" s="25"/>
      <c r="Q110" s="25"/>
    </row>
    <row r="111" spans="1:17" x14ac:dyDescent="0.25">
      <c r="B111" t="s">
        <v>200</v>
      </c>
      <c r="C111" s="25">
        <f>SUM('Historical Data'!C149:C152)</f>
        <v>-2241.9400000000005</v>
      </c>
      <c r="D111" s="25">
        <f>SUM('Historical Data'!D149:D152)</f>
        <v>1097.2399999999993</v>
      </c>
      <c r="E111" s="25">
        <f>SUM('Historical Data'!E149:E152)</f>
        <v>3161.2400000000007</v>
      </c>
      <c r="F111" s="25">
        <f>SUM('Historical Data'!F149:F152)</f>
        <v>14768.980000000001</v>
      </c>
      <c r="G111" s="25">
        <f>SUM('Historical Data'!G149:G152)</f>
        <v>-37074.58</v>
      </c>
      <c r="H111" s="25">
        <v>0</v>
      </c>
      <c r="I111" s="25">
        <v>0</v>
      </c>
      <c r="J111" s="25">
        <v>0</v>
      </c>
      <c r="K111" s="25">
        <v>0</v>
      </c>
      <c r="L111" s="25">
        <v>0</v>
      </c>
      <c r="M111" s="25">
        <v>0</v>
      </c>
      <c r="N111" s="25">
        <v>0</v>
      </c>
      <c r="O111" s="25">
        <v>0</v>
      </c>
      <c r="P111" s="25">
        <v>0</v>
      </c>
      <c r="Q111" s="25">
        <v>0</v>
      </c>
    </row>
    <row r="112" spans="1:17" x14ac:dyDescent="0.25">
      <c r="B112" t="s">
        <v>201</v>
      </c>
      <c r="C112" s="25">
        <f>'Historical Data'!C153+'Historical Data'!C155+'Historical Data'!C156</f>
        <v>0</v>
      </c>
      <c r="D112" s="25">
        <f>'Historical Data'!D153+'Historical Data'!D155+'Historical Data'!D156</f>
        <v>0</v>
      </c>
      <c r="E112" s="25">
        <f>'Historical Data'!E153+'Historical Data'!E155+'Historical Data'!E156</f>
        <v>0</v>
      </c>
      <c r="F112" s="25">
        <f>'Historical Data'!F153+'Historical Data'!F155+'Historical Data'!F156</f>
        <v>47.919999999999995</v>
      </c>
      <c r="G112" s="25">
        <f>'Historical Data'!G153+'Historical Data'!G155+'Historical Data'!G156</f>
        <v>74507.7</v>
      </c>
      <c r="H112" s="25">
        <v>0</v>
      </c>
      <c r="I112" s="25">
        <v>0</v>
      </c>
      <c r="J112" s="25">
        <v>0</v>
      </c>
      <c r="K112" s="25">
        <v>0</v>
      </c>
      <c r="L112" s="25">
        <v>0</v>
      </c>
      <c r="M112" s="25">
        <v>0</v>
      </c>
      <c r="N112" s="25">
        <v>0</v>
      </c>
      <c r="O112" s="25">
        <v>0</v>
      </c>
      <c r="P112" s="25">
        <v>0</v>
      </c>
      <c r="Q112" s="25">
        <v>0</v>
      </c>
    </row>
    <row r="113" spans="1:17" x14ac:dyDescent="0.25">
      <c r="B113" t="s">
        <v>123</v>
      </c>
      <c r="C113" s="25">
        <f>'Historical Data'!C157</f>
        <v>-721.72</v>
      </c>
      <c r="D113" s="25">
        <f>'Historical Data'!D157</f>
        <v>-1082.58</v>
      </c>
      <c r="E113" s="25">
        <f>'Historical Data'!E157</f>
        <v>-1623.87</v>
      </c>
      <c r="F113" s="25">
        <f>'Historical Data'!F157</f>
        <v>-2273.48</v>
      </c>
      <c r="G113" s="25">
        <f>'Historical Data'!G157</f>
        <v>-3248.2</v>
      </c>
      <c r="H113" s="25">
        <f>-H43*H19</f>
        <v>-4668.3980459151553</v>
      </c>
      <c r="I113" s="25">
        <f t="shared" ref="I113:Q113" si="226">-I43*I19</f>
        <v>-6269.5172314941437</v>
      </c>
      <c r="J113" s="25">
        <f t="shared" si="226"/>
        <v>-8188.7853065058143</v>
      </c>
      <c r="K113" s="25">
        <f t="shared" si="226"/>
        <v>-10425.780895651806</v>
      </c>
      <c r="L113" s="25">
        <f t="shared" si="226"/>
        <v>-12969.584796939707</v>
      </c>
      <c r="M113" s="25">
        <f t="shared" si="226"/>
        <v>-15799.421928506936</v>
      </c>
      <c r="N113" s="25">
        <f t="shared" si="226"/>
        <v>-18885.988325849044</v>
      </c>
      <c r="O113" s="25">
        <f t="shared" si="226"/>
        <v>-22193.249365054391</v>
      </c>
      <c r="P113" s="25">
        <f t="shared" si="226"/>
        <v>-25680.485109112549</v>
      </c>
      <c r="Q113" s="25">
        <f t="shared" si="226"/>
        <v>-29304.376838682878</v>
      </c>
    </row>
    <row r="114" spans="1:17" s="1" customFormat="1" x14ac:dyDescent="0.25">
      <c r="A114"/>
      <c r="B114" t="s">
        <v>202</v>
      </c>
      <c r="C114" s="25">
        <f>'Historical Data'!C154</f>
        <v>-2773.51</v>
      </c>
      <c r="D114" s="25">
        <f>'Historical Data'!D154</f>
        <v>-1791.48</v>
      </c>
      <c r="E114" s="25">
        <f>'Historical Data'!E154</f>
        <v>-1716.79</v>
      </c>
      <c r="F114" s="25">
        <f>'Historical Data'!F154</f>
        <v>-2694.42</v>
      </c>
      <c r="G114" s="25">
        <f>'Historical Data'!G154</f>
        <v>-4649.55</v>
      </c>
      <c r="H114" s="25">
        <f>-H142</f>
        <v>-1940.3030921776506</v>
      </c>
      <c r="I114" s="25">
        <f t="shared" ref="I114:Q114" si="227">-I142</f>
        <v>-1940.3030921776506</v>
      </c>
      <c r="J114" s="25">
        <f t="shared" si="227"/>
        <v>-1940.3030921776506</v>
      </c>
      <c r="K114" s="25">
        <f t="shared" si="227"/>
        <v>-1940.3030921776506</v>
      </c>
      <c r="L114" s="25">
        <f t="shared" si="227"/>
        <v>-1940.3030921776506</v>
      </c>
      <c r="M114" s="25">
        <f t="shared" si="227"/>
        <v>-1940.3030921776506</v>
      </c>
      <c r="N114" s="25">
        <f t="shared" si="227"/>
        <v>-1940.3030921776506</v>
      </c>
      <c r="O114" s="25">
        <f t="shared" si="227"/>
        <v>-1940.3030921776506</v>
      </c>
      <c r="P114" s="25">
        <f t="shared" si="227"/>
        <v>-1940.3030921776506</v>
      </c>
      <c r="Q114" s="25">
        <f t="shared" si="227"/>
        <v>-1940.3030921776506</v>
      </c>
    </row>
    <row r="115" spans="1:17" ht="15.75" thickBot="1" x14ac:dyDescent="0.3">
      <c r="A115" s="1"/>
      <c r="B115" s="23" t="s">
        <v>203</v>
      </c>
      <c r="C115" s="27">
        <f>SUM(C111:C114)</f>
        <v>-5737.170000000001</v>
      </c>
      <c r="D115" s="27">
        <f t="shared" ref="D115:F115" si="228">SUM(D111:D114)</f>
        <v>-1776.8200000000006</v>
      </c>
      <c r="E115" s="27">
        <f t="shared" si="228"/>
        <v>-179.41999999999916</v>
      </c>
      <c r="F115" s="27">
        <f t="shared" si="228"/>
        <v>9849.0000000000018</v>
      </c>
      <c r="G115" s="27">
        <f>SUM(G111:G114)</f>
        <v>29535.37</v>
      </c>
      <c r="H115" s="27">
        <f>SUM(H111:H114)</f>
        <v>-6608.7011380928061</v>
      </c>
      <c r="I115" s="27">
        <f t="shared" ref="I115:Q115" si="229">SUM(I111:I114)</f>
        <v>-8209.8203236717945</v>
      </c>
      <c r="J115" s="27">
        <f t="shared" si="229"/>
        <v>-10129.088398683465</v>
      </c>
      <c r="K115" s="27">
        <f t="shared" si="229"/>
        <v>-12366.083987829456</v>
      </c>
      <c r="L115" s="27">
        <f t="shared" si="229"/>
        <v>-14909.887889117357</v>
      </c>
      <c r="M115" s="27">
        <f t="shared" si="229"/>
        <v>-17739.725020684586</v>
      </c>
      <c r="N115" s="27">
        <f t="shared" si="229"/>
        <v>-20826.291418026696</v>
      </c>
      <c r="O115" s="27">
        <f t="shared" si="229"/>
        <v>-24133.552457232043</v>
      </c>
      <c r="P115" s="27">
        <f t="shared" si="229"/>
        <v>-27620.788201290201</v>
      </c>
      <c r="Q115" s="27">
        <f t="shared" si="229"/>
        <v>-31244.67993086053</v>
      </c>
    </row>
    <row r="116" spans="1:17" x14ac:dyDescent="0.25">
      <c r="C116" s="25"/>
      <c r="D116" s="25"/>
      <c r="E116" s="25"/>
      <c r="F116" s="25"/>
      <c r="G116" s="25"/>
      <c r="H116" s="25"/>
      <c r="I116" s="25"/>
      <c r="J116" s="25"/>
      <c r="K116" s="25"/>
      <c r="L116" s="25"/>
      <c r="M116" s="25"/>
      <c r="N116" s="25"/>
      <c r="O116" s="25"/>
      <c r="P116" s="25"/>
      <c r="Q116" s="25"/>
    </row>
    <row r="117" spans="1:17" ht="15.75" thickBot="1" x14ac:dyDescent="0.3">
      <c r="B117" s="23" t="s">
        <v>204</v>
      </c>
      <c r="C117" s="27">
        <f>C115+C108+C100</f>
        <v>-328.26000000000022</v>
      </c>
      <c r="D117" s="27">
        <f t="shared" ref="D117:H117" si="230">D115+D108+D100</f>
        <v>431.00999999999658</v>
      </c>
      <c r="E117" s="27">
        <f t="shared" si="230"/>
        <v>674.88999999999942</v>
      </c>
      <c r="F117" s="27">
        <f t="shared" si="230"/>
        <v>858.11000000000058</v>
      </c>
      <c r="G117" s="27">
        <f t="shared" si="230"/>
        <v>20178.539999999997</v>
      </c>
      <c r="H117" s="27">
        <f t="shared" si="230"/>
        <v>-7512.365982649113</v>
      </c>
      <c r="I117" s="27">
        <f t="shared" ref="I117:Q117" si="231">I115+I108+I100</f>
        <v>1572.9582887273791</v>
      </c>
      <c r="J117" s="27">
        <f t="shared" si="231"/>
        <v>12373.482474156845</v>
      </c>
      <c r="K117" s="27">
        <f t="shared" si="231"/>
        <v>25729.897779534789</v>
      </c>
      <c r="L117" s="27">
        <f t="shared" si="231"/>
        <v>41643.093648741851</v>
      </c>
      <c r="M117" s="27">
        <f t="shared" si="231"/>
        <v>60007.231757505593</v>
      </c>
      <c r="N117" s="27">
        <f t="shared" si="231"/>
        <v>80622.374353773281</v>
      </c>
      <c r="O117" s="27">
        <f t="shared" si="231"/>
        <v>103212.41441305634</v>
      </c>
      <c r="P117" s="27">
        <f t="shared" si="231"/>
        <v>127446.03094637286</v>
      </c>
      <c r="Q117" s="27">
        <f t="shared" si="231"/>
        <v>152958.41169763173</v>
      </c>
    </row>
    <row r="118" spans="1:17" x14ac:dyDescent="0.25">
      <c r="B118" t="s">
        <v>205</v>
      </c>
      <c r="C118" s="25">
        <f>'Historical Data'!C160+'Historical Data'!C161</f>
        <v>1373.8400000000001</v>
      </c>
      <c r="D118" s="25">
        <f>'Historical Data'!D160+'Historical Data'!D161</f>
        <v>1076.49</v>
      </c>
      <c r="E118" s="25">
        <f>'Historical Data'!E160+'Historical Data'!E161</f>
        <v>868.43</v>
      </c>
      <c r="F118" s="25">
        <f>'Historical Data'!F160+'Historical Data'!F161</f>
        <v>1564.01</v>
      </c>
      <c r="G118" s="25">
        <f>'Historical Data'!G160+'Historical Data'!G161</f>
        <v>2484.29</v>
      </c>
      <c r="H118" s="25">
        <f>G52</f>
        <v>22662.83</v>
      </c>
      <c r="I118" s="25">
        <f t="shared" ref="I118:Q118" si="232">H52</f>
        <v>15150.464017350889</v>
      </c>
      <c r="J118" s="25">
        <f t="shared" si="232"/>
        <v>16723.422306078268</v>
      </c>
      <c r="K118" s="25">
        <f t="shared" si="232"/>
        <v>29096.904780235112</v>
      </c>
      <c r="L118" s="25">
        <f t="shared" si="232"/>
        <v>54826.802559769902</v>
      </c>
      <c r="M118" s="25">
        <f t="shared" si="232"/>
        <v>96469.896208511753</v>
      </c>
      <c r="N118" s="25">
        <f t="shared" si="232"/>
        <v>156477.12796601735</v>
      </c>
      <c r="O118" s="25">
        <f t="shared" si="232"/>
        <v>237099.50231979063</v>
      </c>
      <c r="P118" s="25">
        <f t="shared" si="232"/>
        <v>340311.91673284699</v>
      </c>
      <c r="Q118" s="25">
        <f t="shared" si="232"/>
        <v>467757.94767921988</v>
      </c>
    </row>
    <row r="119" spans="1:17" ht="15.75" thickBot="1" x14ac:dyDescent="0.3">
      <c r="B119" s="23" t="s">
        <v>206</v>
      </c>
      <c r="C119" s="27">
        <f>SUM(C117:C118)</f>
        <v>1045.58</v>
      </c>
      <c r="D119" s="27">
        <f t="shared" ref="D119:H119" si="233">SUM(D117:D118)</f>
        <v>1507.4999999999966</v>
      </c>
      <c r="E119" s="27">
        <f t="shared" si="233"/>
        <v>1543.3199999999993</v>
      </c>
      <c r="F119" s="27">
        <f t="shared" si="233"/>
        <v>2422.1200000000008</v>
      </c>
      <c r="G119" s="27">
        <f t="shared" si="233"/>
        <v>22662.829999999998</v>
      </c>
      <c r="H119" s="27">
        <f t="shared" si="233"/>
        <v>15150.464017350889</v>
      </c>
      <c r="I119" s="27">
        <f t="shared" ref="I119" si="234">SUM(I117:I118)</f>
        <v>16723.422306078268</v>
      </c>
      <c r="J119" s="27">
        <f t="shared" ref="J119" si="235">SUM(J117:J118)</f>
        <v>29096.904780235112</v>
      </c>
      <c r="K119" s="27">
        <f t="shared" ref="K119" si="236">SUM(K117:K118)</f>
        <v>54826.802559769902</v>
      </c>
      <c r="L119" s="27">
        <f t="shared" ref="L119" si="237">SUM(L117:L118)</f>
        <v>96469.896208511753</v>
      </c>
      <c r="M119" s="27">
        <f t="shared" ref="M119" si="238">SUM(M117:M118)</f>
        <v>156477.12796601735</v>
      </c>
      <c r="N119" s="27">
        <f t="shared" ref="N119" si="239">SUM(N117:N118)</f>
        <v>237099.50231979063</v>
      </c>
      <c r="O119" s="27">
        <f t="shared" ref="O119" si="240">SUM(O117:O118)</f>
        <v>340311.91673284699</v>
      </c>
      <c r="P119" s="27">
        <f t="shared" ref="P119" si="241">SUM(P117:P118)</f>
        <v>467757.94767921988</v>
      </c>
      <c r="Q119" s="27">
        <f t="shared" ref="Q119" si="242">SUM(Q117:Q118)</f>
        <v>620716.35937685159</v>
      </c>
    </row>
    <row r="122" spans="1:17" x14ac:dyDescent="0.25">
      <c r="A122" s="166" t="s">
        <v>27</v>
      </c>
      <c r="B122" s="163" t="s">
        <v>207</v>
      </c>
      <c r="C122" s="164">
        <v>2020</v>
      </c>
      <c r="D122" s="164">
        <f>C122+1</f>
        <v>2021</v>
      </c>
      <c r="E122" s="164">
        <f t="shared" ref="E122" si="243">D122+1</f>
        <v>2022</v>
      </c>
      <c r="F122" s="164">
        <f t="shared" ref="F122" si="244">E122+1</f>
        <v>2023</v>
      </c>
      <c r="G122" s="164">
        <f t="shared" ref="G122" si="245">F122+1</f>
        <v>2024</v>
      </c>
      <c r="H122" s="165">
        <f t="shared" ref="H122" si="246">G122+1</f>
        <v>2025</v>
      </c>
      <c r="I122" s="165">
        <f t="shared" ref="I122" si="247">H122+1</f>
        <v>2026</v>
      </c>
      <c r="J122" s="165">
        <f t="shared" ref="J122" si="248">I122+1</f>
        <v>2027</v>
      </c>
      <c r="K122" s="165">
        <f t="shared" ref="K122" si="249">J122+1</f>
        <v>2028</v>
      </c>
      <c r="L122" s="165">
        <f t="shared" ref="L122" si="250">K122+1</f>
        <v>2029</v>
      </c>
      <c r="M122" s="165">
        <f t="shared" ref="M122" si="251">L122+1</f>
        <v>2030</v>
      </c>
      <c r="N122" s="165">
        <f t="shared" ref="N122" si="252">M122+1</f>
        <v>2031</v>
      </c>
      <c r="O122" s="165">
        <f t="shared" ref="O122" si="253">N122+1</f>
        <v>2032</v>
      </c>
      <c r="P122" s="165">
        <f t="shared" ref="P122" si="254">O122+1</f>
        <v>2033</v>
      </c>
      <c r="Q122" s="165">
        <f t="shared" ref="Q122" si="255">P122+1</f>
        <v>2034</v>
      </c>
    </row>
    <row r="124" spans="1:17" x14ac:dyDescent="0.25">
      <c r="B124" s="1" t="s">
        <v>208</v>
      </c>
    </row>
    <row r="125" spans="1:17" x14ac:dyDescent="0.25">
      <c r="B125" t="s">
        <v>209</v>
      </c>
      <c r="C125" s="25">
        <f>'Historical Data'!C129</f>
        <v>-757.45</v>
      </c>
      <c r="D125" s="25">
        <f>'Historical Data'!D129</f>
        <v>146.56</v>
      </c>
      <c r="E125" s="25">
        <f>'Historical Data'!E129</f>
        <v>-1233.8</v>
      </c>
      <c r="F125" s="25">
        <f>'Historical Data'!F129</f>
        <v>-730.18</v>
      </c>
      <c r="G125" s="25">
        <f>'Historical Data'!G129</f>
        <v>-1332.15</v>
      </c>
      <c r="H125" s="25">
        <f>G54-H54</f>
        <v>413.42980982424433</v>
      </c>
      <c r="I125" s="25">
        <f t="shared" ref="I125:Q125" si="256">H54-I54</f>
        <v>-2416.4906150442393</v>
      </c>
      <c r="J125" s="25">
        <f t="shared" si="256"/>
        <v>-2828.1032827778454</v>
      </c>
      <c r="K125" s="25">
        <f t="shared" si="256"/>
        <v>-3233.3744502536192</v>
      </c>
      <c r="L125" s="25">
        <f t="shared" si="256"/>
        <v>-3618.0530905845626</v>
      </c>
      <c r="M125" s="25">
        <f t="shared" si="256"/>
        <v>-3969.272469107651</v>
      </c>
      <c r="N125" s="25">
        <f t="shared" si="256"/>
        <v>-4276.3620710980249</v>
      </c>
      <c r="O125" s="25">
        <f t="shared" si="256"/>
        <v>-4531.3617566203247</v>
      </c>
      <c r="P125" s="25">
        <f t="shared" si="256"/>
        <v>-4729.2329356974806</v>
      </c>
      <c r="Q125" s="25">
        <f t="shared" si="256"/>
        <v>-4867.8010722754552</v>
      </c>
    </row>
    <row r="126" spans="1:17" x14ac:dyDescent="0.25">
      <c r="B126" t="s">
        <v>210</v>
      </c>
      <c r="C126" s="25">
        <f>'Historical Data'!C128</f>
        <v>-472.91</v>
      </c>
      <c r="D126" s="25">
        <f>'Historical Data'!D128</f>
        <v>-5192.83</v>
      </c>
      <c r="E126" s="25">
        <f>'Historical Data'!E128</f>
        <v>-5568.33</v>
      </c>
      <c r="F126" s="25">
        <f>'Historical Data'!F128</f>
        <v>-1601.73</v>
      </c>
      <c r="G126" s="25">
        <f>'Historical Data'!G128</f>
        <v>-4787.7</v>
      </c>
      <c r="H126" s="25">
        <f>G55-H55</f>
        <v>-11464.701713320257</v>
      </c>
      <c r="I126" s="25">
        <f t="shared" ref="I126:Q126" si="257">H55-I55</f>
        <v>-11827.764795119678</v>
      </c>
      <c r="J126" s="25">
        <f t="shared" si="257"/>
        <v>-13842.445833123915</v>
      </c>
      <c r="K126" s="25">
        <f t="shared" si="257"/>
        <v>-15826.087738167793</v>
      </c>
      <c r="L126" s="25">
        <f t="shared" si="257"/>
        <v>-17708.937376074435</v>
      </c>
      <c r="M126" s="25">
        <f t="shared" si="257"/>
        <v>-19428.017175017972</v>
      </c>
      <c r="N126" s="25">
        <f t="shared" si="257"/>
        <v>-20931.099190216555</v>
      </c>
      <c r="O126" s="25">
        <f t="shared" si="257"/>
        <v>-22179.221688359103</v>
      </c>
      <c r="P126" s="25">
        <f t="shared" si="257"/>
        <v>-23147.722766446241</v>
      </c>
      <c r="Q126" s="25">
        <f t="shared" si="257"/>
        <v>-23825.95893146118</v>
      </c>
    </row>
    <row r="127" spans="1:17" x14ac:dyDescent="0.25">
      <c r="B127" t="s">
        <v>170</v>
      </c>
      <c r="C127" s="25">
        <f>'Historical Data'!C131</f>
        <v>-122.76</v>
      </c>
      <c r="D127" s="25">
        <f>'Historical Data'!D131</f>
        <v>3280.66</v>
      </c>
      <c r="E127" s="25">
        <f>'Historical Data'!E131</f>
        <v>4207.33</v>
      </c>
      <c r="F127" s="25">
        <f>'Historical Data'!F131</f>
        <v>169.28</v>
      </c>
      <c r="G127" s="25">
        <f>'Historical Data'!G131</f>
        <v>4650.2700000000004</v>
      </c>
      <c r="H127" s="25">
        <f>H70-G70</f>
        <v>3150.1771085253749</v>
      </c>
      <c r="I127" s="25">
        <f t="shared" ref="I127:Q127" si="258">I70-H70</f>
        <v>5633.3127022874687</v>
      </c>
      <c r="J127" s="25">
        <f t="shared" si="258"/>
        <v>6592.8624125699935</v>
      </c>
      <c r="K127" s="25">
        <f t="shared" si="258"/>
        <v>7537.6288442701043</v>
      </c>
      <c r="L127" s="25">
        <f t="shared" si="258"/>
        <v>8434.3900637773841</v>
      </c>
      <c r="M127" s="25">
        <f t="shared" si="258"/>
        <v>9253.1511936597017</v>
      </c>
      <c r="N127" s="25">
        <f t="shared" si="258"/>
        <v>9969.0371751167913</v>
      </c>
      <c r="O127" s="25">
        <f t="shared" si="258"/>
        <v>10563.491363595283</v>
      </c>
      <c r="P127" s="25">
        <f t="shared" si="258"/>
        <v>11024.767819449276</v>
      </c>
      <c r="Q127" s="25">
        <f t="shared" si="258"/>
        <v>11347.79727342572</v>
      </c>
    </row>
    <row r="128" spans="1:17" s="1" customFormat="1" x14ac:dyDescent="0.25">
      <c r="A128"/>
      <c r="B128" t="s">
        <v>48</v>
      </c>
      <c r="C128" s="25">
        <f>'Historical Data'!C130</f>
        <v>244.68</v>
      </c>
      <c r="D128" s="25">
        <f>'Historical Data'!D130</f>
        <v>-921.85</v>
      </c>
      <c r="E128" s="25">
        <f>'Historical Data'!E130</f>
        <v>-3257.13</v>
      </c>
      <c r="F128" s="25">
        <f>'Historical Data'!F130</f>
        <v>-4572.18</v>
      </c>
      <c r="G128" s="25">
        <f>'Historical Data'!G130</f>
        <v>-5224.3</v>
      </c>
      <c r="H128" s="25">
        <f>G56-H56</f>
        <v>0</v>
      </c>
      <c r="I128" s="25">
        <f t="shared" ref="I128:Q128" si="259">H56-I56</f>
        <v>0</v>
      </c>
      <c r="J128" s="25">
        <f t="shared" si="259"/>
        <v>0</v>
      </c>
      <c r="K128" s="25">
        <f t="shared" si="259"/>
        <v>0</v>
      </c>
      <c r="L128" s="25">
        <f t="shared" si="259"/>
        <v>0</v>
      </c>
      <c r="M128" s="25">
        <f t="shared" si="259"/>
        <v>0</v>
      </c>
      <c r="N128" s="25">
        <f t="shared" si="259"/>
        <v>0</v>
      </c>
      <c r="O128" s="25">
        <f t="shared" si="259"/>
        <v>0</v>
      </c>
      <c r="P128" s="25">
        <f t="shared" si="259"/>
        <v>0</v>
      </c>
      <c r="Q128" s="25">
        <f t="shared" si="259"/>
        <v>0</v>
      </c>
    </row>
    <row r="129" spans="1:17" ht="15.75" thickBot="1" x14ac:dyDescent="0.3">
      <c r="A129" s="1"/>
      <c r="B129" s="23" t="s">
        <v>211</v>
      </c>
      <c r="C129" s="27">
        <f>SUM(C125:C128)</f>
        <v>-1108.44</v>
      </c>
      <c r="D129" s="27">
        <f t="shared" ref="D129:G129" si="260">SUM(D125:D128)</f>
        <v>-2687.4599999999996</v>
      </c>
      <c r="E129" s="27">
        <f t="shared" si="260"/>
        <v>-5851.93</v>
      </c>
      <c r="F129" s="27">
        <f t="shared" si="260"/>
        <v>-6734.8099999999995</v>
      </c>
      <c r="G129" s="27">
        <f t="shared" si="260"/>
        <v>-6693.88</v>
      </c>
      <c r="H129" s="27">
        <f t="shared" ref="H129" si="261">SUM(H125:H128)</f>
        <v>-7901.0947949706388</v>
      </c>
      <c r="I129" s="27">
        <f t="shared" ref="I129" si="262">SUM(I125:I128)</f>
        <v>-8610.9427078764493</v>
      </c>
      <c r="J129" s="27">
        <f t="shared" ref="J129" si="263">SUM(J125:J128)</f>
        <v>-10077.686703331769</v>
      </c>
      <c r="K129" s="27">
        <f t="shared" ref="K129" si="264">SUM(K125:K128)</f>
        <v>-11521.83334415131</v>
      </c>
      <c r="L129" s="27">
        <f t="shared" ref="L129" si="265">SUM(L125:L128)</f>
        <v>-12892.600402881613</v>
      </c>
      <c r="M129" s="27">
        <f t="shared" ref="M129" si="266">SUM(M125:M128)</f>
        <v>-14144.138450465922</v>
      </c>
      <c r="N129" s="27">
        <f t="shared" ref="N129" si="267">SUM(N125:N128)</f>
        <v>-15238.424086197789</v>
      </c>
      <c r="O129" s="27">
        <f t="shared" ref="O129" si="268">SUM(O125:O128)</f>
        <v>-16147.092081384144</v>
      </c>
      <c r="P129" s="27">
        <f t="shared" ref="P129" si="269">SUM(P125:P128)</f>
        <v>-16852.187882694445</v>
      </c>
      <c r="Q129" s="27">
        <f t="shared" ref="Q129" si="270">SUM(Q125:Q128)</f>
        <v>-17345.962730310916</v>
      </c>
    </row>
    <row r="130" spans="1:17" x14ac:dyDescent="0.25">
      <c r="C130" s="25"/>
      <c r="D130" s="25"/>
      <c r="E130" s="25"/>
      <c r="F130" s="25"/>
      <c r="G130" s="25"/>
      <c r="H130" s="25"/>
      <c r="I130" s="25"/>
      <c r="J130" s="25"/>
      <c r="K130" s="25"/>
      <c r="L130" s="25"/>
      <c r="M130" s="25"/>
      <c r="N130" s="25"/>
      <c r="O130" s="25"/>
      <c r="P130" s="25"/>
      <c r="Q130" s="25"/>
    </row>
    <row r="131" spans="1:17" x14ac:dyDescent="0.25">
      <c r="C131" s="25"/>
      <c r="D131" s="25"/>
      <c r="E131" s="25"/>
      <c r="F131" s="25"/>
      <c r="G131" s="25"/>
      <c r="H131" s="25"/>
      <c r="I131" s="25"/>
      <c r="J131" s="25"/>
      <c r="K131" s="25"/>
      <c r="L131" s="25"/>
      <c r="M131" s="25"/>
      <c r="N131" s="25"/>
      <c r="O131" s="25"/>
      <c r="P131" s="25"/>
      <c r="Q131" s="25"/>
    </row>
    <row r="132" spans="1:17" x14ac:dyDescent="0.25">
      <c r="B132" s="1" t="s">
        <v>216</v>
      </c>
      <c r="C132" s="25"/>
      <c r="D132" s="25"/>
      <c r="E132" s="25"/>
      <c r="F132" s="25"/>
      <c r="G132" s="25"/>
      <c r="H132" s="25"/>
      <c r="I132" s="25"/>
      <c r="J132" s="25"/>
      <c r="K132" s="25"/>
      <c r="L132" s="25"/>
      <c r="M132" s="25"/>
      <c r="N132" s="25"/>
      <c r="O132" s="25"/>
      <c r="P132" s="25"/>
      <c r="Q132" s="25"/>
    </row>
    <row r="133" spans="1:17" x14ac:dyDescent="0.25">
      <c r="B133" s="6" t="s">
        <v>212</v>
      </c>
      <c r="C133" s="25"/>
      <c r="D133" s="25">
        <f>C136</f>
        <v>64512.04</v>
      </c>
      <c r="E133" s="25">
        <f t="shared" ref="E133:H133" si="271">D136</f>
        <v>67831.53</v>
      </c>
      <c r="F133" s="25">
        <f t="shared" si="271"/>
        <v>75146.210000000006</v>
      </c>
      <c r="G133" s="25">
        <f t="shared" si="271"/>
        <v>103071.61000000002</v>
      </c>
      <c r="H133" s="25">
        <f t="shared" si="271"/>
        <v>142675.11000000002</v>
      </c>
      <c r="I133" s="25">
        <f t="shared" ref="I133:Q133" si="272">H136</f>
        <v>171776.28797898121</v>
      </c>
      <c r="J133" s="25">
        <f t="shared" si="272"/>
        <v>201196.43894298625</v>
      </c>
      <c r="K133" s="25">
        <f t="shared" si="272"/>
        <v>230473.18864639645</v>
      </c>
      <c r="L133" s="25">
        <f t="shared" si="272"/>
        <v>259080.30327994813</v>
      </c>
      <c r="M133" s="25">
        <f t="shared" si="272"/>
        <v>286472.46606956195</v>
      </c>
      <c r="N133" s="25">
        <f t="shared" si="272"/>
        <v>312124.81342072535</v>
      </c>
      <c r="O133" s="25">
        <f t="shared" si="272"/>
        <v>335565.33203066752</v>
      </c>
      <c r="P133" s="25">
        <f t="shared" si="272"/>
        <v>356398.8529376199</v>
      </c>
      <c r="Q133" s="25">
        <f t="shared" si="272"/>
        <v>374322.25805208425</v>
      </c>
    </row>
    <row r="134" spans="1:17" x14ac:dyDescent="0.25">
      <c r="B134" s="6" t="s">
        <v>213</v>
      </c>
      <c r="C134" s="25"/>
      <c r="D134" s="25">
        <f>D136-D133-D135</f>
        <v>8632.1099999999969</v>
      </c>
      <c r="E134" s="25">
        <f t="shared" ref="E134:G134" si="273">E136-E133-E135</f>
        <v>13486.570000000007</v>
      </c>
      <c r="F134" s="25">
        <f t="shared" si="273"/>
        <v>34734.460000000006</v>
      </c>
      <c r="G134" s="25">
        <f t="shared" si="273"/>
        <v>49077.36</v>
      </c>
      <c r="H134" s="25">
        <f>(H29-G29)/H23</f>
        <v>41794.464797643959</v>
      </c>
      <c r="I134" s="25">
        <f t="shared" ref="I134:Q134" si="274">(I29-H29)/I23</f>
        <v>44702.463989468393</v>
      </c>
      <c r="J134" s="25">
        <f t="shared" si="274"/>
        <v>47176.466804710464</v>
      </c>
      <c r="K134" s="25">
        <f t="shared" si="274"/>
        <v>49111.477920886638</v>
      </c>
      <c r="L134" s="25">
        <f t="shared" si="274"/>
        <v>50441.597260689523</v>
      </c>
      <c r="M134" s="25">
        <f t="shared" si="274"/>
        <v>51138.763149059698</v>
      </c>
      <c r="N134" s="25">
        <f t="shared" si="274"/>
        <v>51209.130668281345</v>
      </c>
      <c r="O134" s="25">
        <f t="shared" si="274"/>
        <v>50687.550848580358</v>
      </c>
      <c r="P134" s="25">
        <f t="shared" si="274"/>
        <v>49630.917813628337</v>
      </c>
      <c r="Q134" s="25">
        <f t="shared" si="274"/>
        <v>48111.184287242409</v>
      </c>
    </row>
    <row r="135" spans="1:17" s="1" customFormat="1" x14ac:dyDescent="0.25">
      <c r="A135"/>
      <c r="B135" s="6" t="s">
        <v>214</v>
      </c>
      <c r="C135" s="25">
        <f>-C37</f>
        <v>-5287.02</v>
      </c>
      <c r="D135" s="25">
        <f t="shared" ref="D135:G135" si="275">-D37</f>
        <v>-5312.62</v>
      </c>
      <c r="E135" s="25">
        <f t="shared" si="275"/>
        <v>-6171.89</v>
      </c>
      <c r="F135" s="25">
        <f t="shared" si="275"/>
        <v>-6809.06</v>
      </c>
      <c r="G135" s="25">
        <f t="shared" si="275"/>
        <v>-9473.86</v>
      </c>
      <c r="H135" s="25">
        <f>-H133*H15</f>
        <v>-12693.286818662766</v>
      </c>
      <c r="I135" s="25">
        <f t="shared" ref="I135:Q135" si="276">-I133*I15</f>
        <v>-15282.313025463385</v>
      </c>
      <c r="J135" s="25">
        <f t="shared" si="276"/>
        <v>-17899.717101300255</v>
      </c>
      <c r="K135" s="25">
        <f t="shared" si="276"/>
        <v>-20504.363287334985</v>
      </c>
      <c r="L135" s="25">
        <f t="shared" si="276"/>
        <v>-23049.434471075696</v>
      </c>
      <c r="M135" s="25">
        <f t="shared" si="276"/>
        <v>-25486.415797896261</v>
      </c>
      <c r="N135" s="25">
        <f t="shared" si="276"/>
        <v>-27768.612058339171</v>
      </c>
      <c r="O135" s="25">
        <f t="shared" si="276"/>
        <v>-29854.029941627981</v>
      </c>
      <c r="P135" s="25">
        <f t="shared" si="276"/>
        <v>-31707.512699163992</v>
      </c>
      <c r="Q135" s="25">
        <f t="shared" si="276"/>
        <v>-33302.093014434002</v>
      </c>
    </row>
    <row r="136" spans="1:17" ht="15.75" thickBot="1" x14ac:dyDescent="0.3">
      <c r="A136" s="1"/>
      <c r="B136" s="23" t="s">
        <v>215</v>
      </c>
      <c r="C136" s="27">
        <f>C60</f>
        <v>64512.04</v>
      </c>
      <c r="D136" s="27">
        <f t="shared" ref="D136:G136" si="277">D60</f>
        <v>67831.53</v>
      </c>
      <c r="E136" s="27">
        <f t="shared" si="277"/>
        <v>75146.210000000006</v>
      </c>
      <c r="F136" s="27">
        <f t="shared" si="277"/>
        <v>103071.61000000002</v>
      </c>
      <c r="G136" s="27">
        <f t="shared" si="277"/>
        <v>142675.11000000002</v>
      </c>
      <c r="H136" s="27">
        <f>SUM(H133:H135)</f>
        <v>171776.28797898121</v>
      </c>
      <c r="I136" s="27">
        <f t="shared" ref="I136:Q136" si="278">SUM(I133:I135)</f>
        <v>201196.43894298625</v>
      </c>
      <c r="J136" s="27">
        <f t="shared" si="278"/>
        <v>230473.18864639645</v>
      </c>
      <c r="K136" s="27">
        <f t="shared" si="278"/>
        <v>259080.30327994813</v>
      </c>
      <c r="L136" s="27">
        <f t="shared" si="278"/>
        <v>286472.46606956195</v>
      </c>
      <c r="M136" s="27">
        <f t="shared" si="278"/>
        <v>312124.81342072535</v>
      </c>
      <c r="N136" s="27">
        <f t="shared" si="278"/>
        <v>335565.33203066752</v>
      </c>
      <c r="O136" s="27">
        <f t="shared" si="278"/>
        <v>356398.8529376199</v>
      </c>
      <c r="P136" s="27">
        <f t="shared" si="278"/>
        <v>374322.25805208425</v>
      </c>
      <c r="Q136" s="27">
        <f t="shared" si="278"/>
        <v>389131.34932489268</v>
      </c>
    </row>
    <row r="137" spans="1:17" x14ac:dyDescent="0.25">
      <c r="C137" s="25"/>
      <c r="D137" s="25"/>
      <c r="E137" s="25"/>
      <c r="F137" s="25"/>
      <c r="G137" s="25"/>
      <c r="H137" s="25"/>
      <c r="I137" s="25"/>
      <c r="J137" s="25"/>
      <c r="K137" s="25"/>
      <c r="L137" s="25"/>
      <c r="M137" s="25"/>
      <c r="N137" s="25"/>
      <c r="O137" s="25"/>
      <c r="P137" s="25"/>
      <c r="Q137" s="25"/>
    </row>
    <row r="138" spans="1:17" x14ac:dyDescent="0.25">
      <c r="B138" s="1" t="s">
        <v>221</v>
      </c>
      <c r="C138" s="25"/>
      <c r="D138" s="25"/>
      <c r="E138" s="25"/>
      <c r="F138" s="25"/>
      <c r="G138" s="25"/>
      <c r="H138" s="25"/>
      <c r="I138" s="25"/>
      <c r="J138" s="25"/>
      <c r="K138" s="25"/>
      <c r="L138" s="25"/>
      <c r="M138" s="25"/>
      <c r="N138" s="25"/>
      <c r="O138" s="25"/>
      <c r="P138" s="25"/>
      <c r="Q138" s="25"/>
    </row>
    <row r="139" spans="1:17" x14ac:dyDescent="0.25">
      <c r="B139" t="s">
        <v>217</v>
      </c>
      <c r="C139" s="25"/>
      <c r="D139" s="25">
        <f>C141</f>
        <v>27281.45</v>
      </c>
      <c r="E139" s="25">
        <f t="shared" ref="E139:H139" si="279">D141</f>
        <v>33867.599999999999</v>
      </c>
      <c r="F139" s="25">
        <f t="shared" si="279"/>
        <v>38838.14</v>
      </c>
      <c r="G139" s="25">
        <f t="shared" si="279"/>
        <v>54313.1</v>
      </c>
      <c r="H139" s="25">
        <f t="shared" si="279"/>
        <v>28262.54</v>
      </c>
      <c r="I139" s="25">
        <f t="shared" ref="I139:Q139" si="280">H141</f>
        <v>28262.54</v>
      </c>
      <c r="J139" s="25">
        <f t="shared" si="280"/>
        <v>28262.54</v>
      </c>
      <c r="K139" s="25">
        <f t="shared" si="280"/>
        <v>28262.54</v>
      </c>
      <c r="L139" s="25">
        <f t="shared" si="280"/>
        <v>28262.54</v>
      </c>
      <c r="M139" s="25">
        <f t="shared" si="280"/>
        <v>28262.54</v>
      </c>
      <c r="N139" s="25">
        <f t="shared" si="280"/>
        <v>28262.54</v>
      </c>
      <c r="O139" s="25">
        <f t="shared" si="280"/>
        <v>28262.54</v>
      </c>
      <c r="P139" s="25">
        <f t="shared" si="280"/>
        <v>28262.54</v>
      </c>
      <c r="Q139" s="25">
        <f t="shared" si="280"/>
        <v>28262.54</v>
      </c>
    </row>
    <row r="140" spans="1:17" s="1" customFormat="1" x14ac:dyDescent="0.25">
      <c r="A140"/>
      <c r="B140" t="s">
        <v>218</v>
      </c>
      <c r="C140" s="25"/>
      <c r="D140" s="25">
        <f>D141-D139</f>
        <v>6586.1499999999978</v>
      </c>
      <c r="E140" s="25">
        <f t="shared" ref="E140:G140" si="281">E141-E139</f>
        <v>4970.5400000000009</v>
      </c>
      <c r="F140" s="25">
        <f t="shared" si="281"/>
        <v>15474.96</v>
      </c>
      <c r="G140" s="25">
        <f t="shared" si="281"/>
        <v>-26050.559999999998</v>
      </c>
      <c r="H140" s="25">
        <v>0</v>
      </c>
      <c r="I140" s="25">
        <v>0</v>
      </c>
      <c r="J140" s="25">
        <v>0</v>
      </c>
      <c r="K140" s="25">
        <v>0</v>
      </c>
      <c r="L140" s="25">
        <v>0</v>
      </c>
      <c r="M140" s="25">
        <v>0</v>
      </c>
      <c r="N140" s="25">
        <v>0</v>
      </c>
      <c r="O140" s="25">
        <v>0</v>
      </c>
      <c r="P140" s="25">
        <v>0</v>
      </c>
      <c r="Q140" s="25">
        <v>0</v>
      </c>
    </row>
    <row r="141" spans="1:17" ht="15.75" thickBot="1" x14ac:dyDescent="0.3">
      <c r="A141" s="1"/>
      <c r="B141" s="23" t="s">
        <v>219</v>
      </c>
      <c r="C141" s="27">
        <f>C75</f>
        <v>27281.45</v>
      </c>
      <c r="D141" s="27">
        <f t="shared" ref="D141:G141" si="282">D75</f>
        <v>33867.599999999999</v>
      </c>
      <c r="E141" s="27">
        <f t="shared" si="282"/>
        <v>38838.14</v>
      </c>
      <c r="F141" s="27">
        <f t="shared" si="282"/>
        <v>54313.1</v>
      </c>
      <c r="G141" s="27">
        <f t="shared" si="282"/>
        <v>28262.54</v>
      </c>
      <c r="H141" s="27">
        <f>SUM(H139:H140)</f>
        <v>28262.54</v>
      </c>
      <c r="I141" s="27">
        <f t="shared" ref="I141:Q141" si="283">SUM(I139:I140)</f>
        <v>28262.54</v>
      </c>
      <c r="J141" s="27">
        <f t="shared" si="283"/>
        <v>28262.54</v>
      </c>
      <c r="K141" s="27">
        <f t="shared" si="283"/>
        <v>28262.54</v>
      </c>
      <c r="L141" s="27">
        <f t="shared" si="283"/>
        <v>28262.54</v>
      </c>
      <c r="M141" s="27">
        <f t="shared" si="283"/>
        <v>28262.54</v>
      </c>
      <c r="N141" s="27">
        <f t="shared" si="283"/>
        <v>28262.54</v>
      </c>
      <c r="O141" s="27">
        <f t="shared" si="283"/>
        <v>28262.54</v>
      </c>
      <c r="P141" s="27">
        <f t="shared" si="283"/>
        <v>28262.54</v>
      </c>
      <c r="Q141" s="27">
        <f t="shared" si="283"/>
        <v>28262.54</v>
      </c>
    </row>
    <row r="142" spans="1:17" x14ac:dyDescent="0.25">
      <c r="B142" t="s">
        <v>220</v>
      </c>
      <c r="C142" s="25">
        <f>C39</f>
        <v>2811.04</v>
      </c>
      <c r="D142" s="25">
        <f t="shared" ref="D142:G142" si="284">D39</f>
        <v>1847</v>
      </c>
      <c r="E142" s="25">
        <f t="shared" si="284"/>
        <v>1861.22</v>
      </c>
      <c r="F142" s="25">
        <f t="shared" si="284"/>
        <v>2680.99</v>
      </c>
      <c r="G142" s="25">
        <f t="shared" si="284"/>
        <v>4503.8599999999997</v>
      </c>
      <c r="H142" s="25">
        <f>H139*H16</f>
        <v>1940.3030921776506</v>
      </c>
      <c r="I142" s="25">
        <f t="shared" ref="I142:Q142" si="285">I139*I16</f>
        <v>1940.3030921776506</v>
      </c>
      <c r="J142" s="25">
        <f t="shared" si="285"/>
        <v>1940.3030921776506</v>
      </c>
      <c r="K142" s="25">
        <f t="shared" si="285"/>
        <v>1940.3030921776506</v>
      </c>
      <c r="L142" s="25">
        <f t="shared" si="285"/>
        <v>1940.3030921776506</v>
      </c>
      <c r="M142" s="25">
        <f t="shared" si="285"/>
        <v>1940.3030921776506</v>
      </c>
      <c r="N142" s="25">
        <f t="shared" si="285"/>
        <v>1940.3030921776506</v>
      </c>
      <c r="O142" s="25">
        <f t="shared" si="285"/>
        <v>1940.3030921776506</v>
      </c>
      <c r="P142" s="25">
        <f t="shared" si="285"/>
        <v>1940.3030921776506</v>
      </c>
      <c r="Q142" s="25">
        <f t="shared" si="285"/>
        <v>1940.3030921776506</v>
      </c>
    </row>
    <row r="144" spans="1:17" x14ac:dyDescent="0.25">
      <c r="A144" s="162"/>
      <c r="B144" s="162"/>
      <c r="C144" s="162"/>
      <c r="D144" s="162"/>
      <c r="E144" s="162"/>
      <c r="F144" s="162"/>
      <c r="G144" s="162"/>
      <c r="H144" s="162"/>
      <c r="I144" s="162"/>
      <c r="J144" s="162"/>
      <c r="K144" s="162"/>
      <c r="L144" s="162"/>
      <c r="M144" s="162"/>
      <c r="N144" s="162"/>
      <c r="O144" s="162"/>
      <c r="P144" s="162"/>
      <c r="Q144" s="162"/>
    </row>
  </sheetData>
  <dataValidations count="1">
    <dataValidation type="list" allowBlank="1" showInputMessage="1" showErrorMessage="1" sqref="C10">
      <formula1>"Base,Bull,Bear"</formula1>
    </dataValidation>
  </dataValidations>
  <pageMargins left="0.7" right="0.7" top="0.75" bottom="0.75" header="0.3" footer="0.3"/>
  <ignoredErrors>
    <ignoredError sqref="C30:G30 C56:Q56 C62:Q63 C71:Q71" formulaRange="1"/>
  </ignoredErrors>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1:N11"/>
  <sheetViews>
    <sheetView showGridLines="0" workbookViewId="0">
      <selection activeCell="N15" sqref="N15"/>
    </sheetView>
  </sheetViews>
  <sheetFormatPr defaultRowHeight="15" x14ac:dyDescent="0.25"/>
  <cols>
    <col min="1" max="1" width="2.140625" customWidth="1"/>
    <col min="2" max="2" width="24.42578125" bestFit="1" customWidth="1"/>
  </cols>
  <sheetData>
    <row r="1" spans="2:14" ht="5.25" customHeight="1" x14ac:dyDescent="0.25">
      <c r="B1" s="162"/>
      <c r="C1" s="162"/>
      <c r="D1" s="162"/>
      <c r="E1" s="162"/>
      <c r="F1" s="162"/>
      <c r="G1" s="162"/>
      <c r="H1" s="162"/>
      <c r="I1" s="162"/>
      <c r="J1" s="162"/>
      <c r="K1" s="162"/>
      <c r="L1" s="162"/>
      <c r="M1" s="162"/>
      <c r="N1" s="162"/>
    </row>
    <row r="2" spans="2:14" ht="26.25" x14ac:dyDescent="0.25">
      <c r="B2" s="161" t="s">
        <v>378</v>
      </c>
    </row>
    <row r="3" spans="2:14" x14ac:dyDescent="0.25">
      <c r="B3" s="160" t="s">
        <v>382</v>
      </c>
    </row>
    <row r="4" spans="2:14" x14ac:dyDescent="0.25">
      <c r="B4" s="159" t="s">
        <v>380</v>
      </c>
    </row>
    <row r="5" spans="2:14" x14ac:dyDescent="0.25">
      <c r="B5" s="159" t="s">
        <v>381</v>
      </c>
    </row>
    <row r="6" spans="2:14" ht="7.5" customHeight="1" x14ac:dyDescent="0.25"/>
    <row r="7" spans="2:14" ht="15.75" x14ac:dyDescent="0.25">
      <c r="B7" s="40" t="s">
        <v>225</v>
      </c>
      <c r="C7" s="41" t="s">
        <v>230</v>
      </c>
      <c r="D7" s="41"/>
      <c r="E7" s="41">
        <v>2025</v>
      </c>
      <c r="F7" s="41">
        <f>E7+1</f>
        <v>2026</v>
      </c>
      <c r="G7" s="41">
        <f t="shared" ref="G7:M7" si="0">F7+1</f>
        <v>2027</v>
      </c>
      <c r="H7" s="41">
        <f t="shared" si="0"/>
        <v>2028</v>
      </c>
      <c r="I7" s="41">
        <f t="shared" si="0"/>
        <v>2029</v>
      </c>
      <c r="J7" s="41">
        <f t="shared" si="0"/>
        <v>2030</v>
      </c>
      <c r="K7" s="41">
        <f t="shared" si="0"/>
        <v>2031</v>
      </c>
      <c r="L7" s="41">
        <f t="shared" si="0"/>
        <v>2032</v>
      </c>
      <c r="M7" s="41">
        <f t="shared" si="0"/>
        <v>2033</v>
      </c>
      <c r="N7" s="41">
        <f>M7+1</f>
        <v>2034</v>
      </c>
    </row>
    <row r="8" spans="2:14" x14ac:dyDescent="0.25">
      <c r="B8" s="36" t="s">
        <v>226</v>
      </c>
      <c r="C8" s="39">
        <f>AVERAGE(Model!D11:G11)</f>
        <v>0.33374678014526193</v>
      </c>
      <c r="D8" s="33"/>
      <c r="E8" s="32">
        <f>C8</f>
        <v>0.33374678014526193</v>
      </c>
      <c r="F8" s="34">
        <f>E8*(1-$C$11)</f>
        <v>0.30037210213073573</v>
      </c>
      <c r="G8" s="34">
        <f t="shared" ref="G8:N8" si="1">F8*(1-$C$11)</f>
        <v>0.27033489191766219</v>
      </c>
      <c r="H8" s="34">
        <f t="shared" si="1"/>
        <v>0.24330140272589598</v>
      </c>
      <c r="I8" s="34">
        <f t="shared" si="1"/>
        <v>0.21897126245330639</v>
      </c>
      <c r="J8" s="34">
        <f t="shared" si="1"/>
        <v>0.19707413620797576</v>
      </c>
      <c r="K8" s="34">
        <f t="shared" si="1"/>
        <v>0.1773667225871782</v>
      </c>
      <c r="L8" s="34">
        <f t="shared" si="1"/>
        <v>0.15963005032846039</v>
      </c>
      <c r="M8" s="34">
        <f t="shared" si="1"/>
        <v>0.14366704529561436</v>
      </c>
      <c r="N8" s="34">
        <f t="shared" si="1"/>
        <v>0.12930034076605293</v>
      </c>
    </row>
    <row r="9" spans="2:14" x14ac:dyDescent="0.25">
      <c r="B9" s="36" t="s">
        <v>227</v>
      </c>
      <c r="C9" s="39">
        <f>MAX(Model!D11:G11)</f>
        <v>0.49476702643394788</v>
      </c>
      <c r="D9" s="33"/>
      <c r="E9" s="32">
        <f t="shared" ref="E9:E10" si="2">C9</f>
        <v>0.49476702643394788</v>
      </c>
      <c r="F9" s="34">
        <f t="shared" ref="F9:N10" si="3">E9*(1-$C$11)</f>
        <v>0.44529032379055311</v>
      </c>
      <c r="G9" s="34">
        <f t="shared" si="3"/>
        <v>0.4007612914114978</v>
      </c>
      <c r="H9" s="34">
        <f t="shared" si="3"/>
        <v>0.36068516227034803</v>
      </c>
      <c r="I9" s="34">
        <f t="shared" si="3"/>
        <v>0.32461664604331325</v>
      </c>
      <c r="J9" s="34">
        <f t="shared" si="3"/>
        <v>0.29215498143898194</v>
      </c>
      <c r="K9" s="34">
        <f t="shared" si="3"/>
        <v>0.26293948329508376</v>
      </c>
      <c r="L9" s="34">
        <f t="shared" si="3"/>
        <v>0.23664553496557539</v>
      </c>
      <c r="M9" s="34">
        <f t="shared" si="3"/>
        <v>0.21298098146901787</v>
      </c>
      <c r="N9" s="34">
        <f t="shared" si="3"/>
        <v>0.19168288332211608</v>
      </c>
    </row>
    <row r="10" spans="2:14" x14ac:dyDescent="0.25">
      <c r="B10" s="37" t="s">
        <v>228</v>
      </c>
      <c r="C10" s="39">
        <f>MIN(Model!D11:G11)</f>
        <v>0.21884860959491026</v>
      </c>
      <c r="D10" s="33"/>
      <c r="E10" s="32">
        <f t="shared" si="2"/>
        <v>0.21884860959491026</v>
      </c>
      <c r="F10" s="34">
        <f t="shared" si="3"/>
        <v>0.19696374863541924</v>
      </c>
      <c r="G10" s="34">
        <f t="shared" si="3"/>
        <v>0.17726737377187732</v>
      </c>
      <c r="H10" s="34">
        <f t="shared" si="3"/>
        <v>0.1595406363946896</v>
      </c>
      <c r="I10" s="34">
        <f t="shared" si="3"/>
        <v>0.14358657275522063</v>
      </c>
      <c r="J10" s="34">
        <f t="shared" si="3"/>
        <v>0.12922791547969859</v>
      </c>
      <c r="K10" s="34">
        <f t="shared" si="3"/>
        <v>0.11630512393172873</v>
      </c>
      <c r="L10" s="34">
        <f t="shared" si="3"/>
        <v>0.10467461153855587</v>
      </c>
      <c r="M10" s="34">
        <f t="shared" si="3"/>
        <v>9.4207150384700289E-2</v>
      </c>
      <c r="N10" s="34">
        <f t="shared" si="3"/>
        <v>8.478643534623026E-2</v>
      </c>
    </row>
    <row r="11" spans="2:14" ht="15.75" thickBot="1" x14ac:dyDescent="0.3">
      <c r="B11" s="38" t="s">
        <v>229</v>
      </c>
      <c r="C11" s="30">
        <v>0.1</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1:L2485"/>
  <sheetViews>
    <sheetView showGridLines="0" workbookViewId="0">
      <pane ySplit="5" topLeftCell="A15" activePane="bottomLeft" state="frozen"/>
      <selection pane="bottomLeft" activeCell="F27" sqref="F27"/>
    </sheetView>
  </sheetViews>
  <sheetFormatPr defaultRowHeight="15" x14ac:dyDescent="0.25"/>
  <cols>
    <col min="2" max="2" width="10.140625" bestFit="1" customWidth="1"/>
    <col min="3" max="3" width="2.42578125" customWidth="1"/>
    <col min="6" max="6" width="13.85546875" bestFit="1" customWidth="1"/>
    <col min="11" max="11" width="10.140625" bestFit="1" customWidth="1"/>
  </cols>
  <sheetData>
    <row r="1" spans="2:12" ht="6" customHeight="1" x14ac:dyDescent="0.25">
      <c r="B1" s="162"/>
      <c r="C1" s="162"/>
      <c r="D1" s="162"/>
      <c r="E1" s="162"/>
      <c r="F1" s="162"/>
      <c r="G1" s="162"/>
      <c r="H1" s="162"/>
    </row>
    <row r="2" spans="2:12" ht="26.25" x14ac:dyDescent="0.25">
      <c r="B2" s="161" t="s">
        <v>378</v>
      </c>
    </row>
    <row r="3" spans="2:12" x14ac:dyDescent="0.25">
      <c r="B3" s="160" t="s">
        <v>382</v>
      </c>
    </row>
    <row r="4" spans="2:12" x14ac:dyDescent="0.25">
      <c r="B4" s="159" t="s">
        <v>380</v>
      </c>
    </row>
    <row r="5" spans="2:12" x14ac:dyDescent="0.25">
      <c r="B5" s="159" t="s">
        <v>381</v>
      </c>
    </row>
    <row r="7" spans="2:12" ht="15.75" thickBot="1" x14ac:dyDescent="0.3">
      <c r="B7" s="47" t="s">
        <v>233</v>
      </c>
      <c r="C7" s="47"/>
      <c r="D7" s="47" t="s">
        <v>238</v>
      </c>
      <c r="F7" s="46" t="s">
        <v>234</v>
      </c>
      <c r="G7" s="46" t="s">
        <v>235</v>
      </c>
    </row>
    <row r="8" spans="2:12" x14ac:dyDescent="0.25">
      <c r="B8" s="42">
        <v>45806</v>
      </c>
      <c r="D8">
        <v>37066.339999999997</v>
      </c>
    </row>
    <row r="9" spans="2:12" x14ac:dyDescent="0.25">
      <c r="B9" s="42">
        <v>45805</v>
      </c>
      <c r="D9">
        <v>36943.42</v>
      </c>
      <c r="F9" s="43" t="s">
        <v>236</v>
      </c>
      <c r="G9" s="43">
        <f>YEARFRAC(B2485,B8)</f>
        <v>10</v>
      </c>
      <c r="K9" s="42"/>
      <c r="L9" s="14"/>
    </row>
    <row r="10" spans="2:12" ht="15.75" thickBot="1" x14ac:dyDescent="0.3">
      <c r="B10" s="42">
        <v>45804</v>
      </c>
      <c r="D10">
        <v>37029.33</v>
      </c>
      <c r="F10" s="44" t="s">
        <v>237</v>
      </c>
      <c r="G10" s="45">
        <f>_xlfn.RRI(G9,D2485,D8)</f>
        <v>0.12778323228484867</v>
      </c>
      <c r="K10" s="42"/>
      <c r="L10" s="14"/>
    </row>
    <row r="11" spans="2:12" x14ac:dyDescent="0.25">
      <c r="B11" s="42">
        <v>45803</v>
      </c>
      <c r="D11">
        <v>37290.300000000003</v>
      </c>
      <c r="K11" s="42"/>
      <c r="L11" s="14"/>
    </row>
    <row r="12" spans="2:12" x14ac:dyDescent="0.25">
      <c r="B12" s="42">
        <v>45800</v>
      </c>
      <c r="D12">
        <v>37069.550000000003</v>
      </c>
      <c r="K12" s="42"/>
      <c r="L12" s="14"/>
    </row>
    <row r="13" spans="2:12" x14ac:dyDescent="0.25">
      <c r="B13" s="42">
        <v>45799</v>
      </c>
      <c r="D13">
        <v>36706.44</v>
      </c>
      <c r="K13" s="42"/>
      <c r="L13" s="14"/>
    </row>
    <row r="14" spans="2:12" x14ac:dyDescent="0.25">
      <c r="B14" s="42">
        <v>45798</v>
      </c>
      <c r="D14">
        <v>37010.35</v>
      </c>
      <c r="K14" s="42"/>
      <c r="L14" s="14"/>
    </row>
    <row r="15" spans="2:12" x14ac:dyDescent="0.25">
      <c r="B15" s="42">
        <v>45797</v>
      </c>
      <c r="D15">
        <v>36817.14</v>
      </c>
      <c r="K15" s="42"/>
      <c r="L15" s="14"/>
    </row>
    <row r="16" spans="2:12" x14ac:dyDescent="0.25">
      <c r="B16" s="42">
        <v>45796</v>
      </c>
      <c r="D16">
        <v>37207.25</v>
      </c>
      <c r="K16" s="42"/>
      <c r="L16" s="14"/>
    </row>
    <row r="17" spans="2:12" x14ac:dyDescent="0.25">
      <c r="B17" s="42">
        <v>45793</v>
      </c>
      <c r="D17">
        <v>37318.129999999997</v>
      </c>
      <c r="K17" s="42"/>
      <c r="L17" s="14"/>
    </row>
    <row r="18" spans="2:12" x14ac:dyDescent="0.25">
      <c r="B18" s="42">
        <v>45792</v>
      </c>
      <c r="D18">
        <v>37361.050000000003</v>
      </c>
      <c r="K18" s="42"/>
      <c r="L18" s="14"/>
    </row>
    <row r="19" spans="2:12" x14ac:dyDescent="0.25">
      <c r="B19" s="42">
        <v>45791</v>
      </c>
      <c r="D19">
        <v>36771.94</v>
      </c>
      <c r="K19" s="42"/>
      <c r="L19" s="14"/>
    </row>
    <row r="20" spans="2:12" x14ac:dyDescent="0.25">
      <c r="B20" s="42">
        <v>45790</v>
      </c>
      <c r="D20">
        <v>36639.870000000003</v>
      </c>
      <c r="K20" s="42"/>
      <c r="L20" s="14"/>
    </row>
    <row r="21" spans="2:12" x14ac:dyDescent="0.25">
      <c r="B21" s="42">
        <v>45789</v>
      </c>
      <c r="D21">
        <v>37156.25</v>
      </c>
      <c r="K21" s="42"/>
      <c r="L21" s="14"/>
    </row>
    <row r="22" spans="2:12" x14ac:dyDescent="0.25">
      <c r="B22" s="42">
        <v>45786</v>
      </c>
      <c r="D22">
        <v>35789.629999999997</v>
      </c>
      <c r="K22" s="42"/>
      <c r="L22" s="14"/>
    </row>
    <row r="23" spans="2:12" x14ac:dyDescent="0.25">
      <c r="B23" s="42">
        <v>45785</v>
      </c>
      <c r="D23">
        <v>36184.82</v>
      </c>
      <c r="K23" s="42"/>
      <c r="L23" s="14"/>
    </row>
    <row r="24" spans="2:12" x14ac:dyDescent="0.25">
      <c r="B24" s="42">
        <v>45784</v>
      </c>
      <c r="D24">
        <v>36394.46</v>
      </c>
      <c r="K24" s="42"/>
      <c r="L24" s="14"/>
    </row>
    <row r="25" spans="2:12" x14ac:dyDescent="0.25">
      <c r="B25" s="42">
        <v>45783</v>
      </c>
      <c r="D25">
        <v>36342.6</v>
      </c>
      <c r="K25" s="42"/>
      <c r="L25" s="14"/>
    </row>
    <row r="26" spans="2:12" x14ac:dyDescent="0.25">
      <c r="B26" s="42">
        <v>45782</v>
      </c>
      <c r="D26">
        <v>36464.1</v>
      </c>
      <c r="K26" s="42"/>
      <c r="L26" s="14"/>
    </row>
    <row r="27" spans="2:12" x14ac:dyDescent="0.25">
      <c r="B27" s="42">
        <v>45779</v>
      </c>
      <c r="D27">
        <v>36293.51</v>
      </c>
      <c r="K27" s="42"/>
      <c r="L27" s="14"/>
    </row>
    <row r="28" spans="2:12" x14ac:dyDescent="0.25">
      <c r="B28" s="42">
        <v>45777</v>
      </c>
      <c r="D28">
        <v>36274.870000000003</v>
      </c>
      <c r="K28" s="42"/>
      <c r="L28" s="14"/>
    </row>
    <row r="29" spans="2:12" x14ac:dyDescent="0.25">
      <c r="B29" s="42">
        <v>45776</v>
      </c>
      <c r="D29">
        <v>36277.480000000003</v>
      </c>
      <c r="K29" s="42"/>
      <c r="L29" s="14"/>
    </row>
    <row r="30" spans="2:12" x14ac:dyDescent="0.25">
      <c r="B30" s="42">
        <v>45775</v>
      </c>
      <c r="D30">
        <v>36266.410000000003</v>
      </c>
      <c r="K30" s="42"/>
      <c r="L30" s="14"/>
    </row>
    <row r="31" spans="2:12" x14ac:dyDescent="0.25">
      <c r="B31" s="42">
        <v>45772</v>
      </c>
      <c r="D31">
        <v>35829.160000000003</v>
      </c>
      <c r="K31" s="42"/>
      <c r="L31" s="14"/>
    </row>
    <row r="32" spans="2:12" x14ac:dyDescent="0.25">
      <c r="B32" s="42">
        <v>45771</v>
      </c>
      <c r="D32">
        <v>36138.21</v>
      </c>
      <c r="K32" s="42"/>
      <c r="L32" s="14"/>
    </row>
    <row r="33" spans="2:12" x14ac:dyDescent="0.25">
      <c r="B33" s="42">
        <v>45770</v>
      </c>
      <c r="D33">
        <v>36260.74</v>
      </c>
      <c r="K33" s="42"/>
      <c r="L33" s="14"/>
    </row>
    <row r="34" spans="2:12" x14ac:dyDescent="0.25">
      <c r="B34" s="42">
        <v>45769</v>
      </c>
      <c r="D34">
        <v>36019.75</v>
      </c>
      <c r="K34" s="42"/>
      <c r="L34" s="14"/>
    </row>
    <row r="35" spans="2:12" x14ac:dyDescent="0.25">
      <c r="B35" s="42">
        <v>45768</v>
      </c>
      <c r="D35">
        <v>35957.620000000003</v>
      </c>
      <c r="K35" s="42"/>
      <c r="L35" s="14"/>
    </row>
    <row r="36" spans="2:12" x14ac:dyDescent="0.25">
      <c r="B36" s="42">
        <v>45764</v>
      </c>
      <c r="D36">
        <v>35549.39</v>
      </c>
      <c r="K36" s="42"/>
      <c r="L36" s="14"/>
    </row>
    <row r="37" spans="2:12" x14ac:dyDescent="0.25">
      <c r="B37" s="42">
        <v>45763</v>
      </c>
      <c r="D37">
        <v>34931.660000000003</v>
      </c>
      <c r="K37" s="42"/>
      <c r="L37" s="14"/>
    </row>
    <row r="38" spans="2:12" x14ac:dyDescent="0.25">
      <c r="B38" s="42">
        <v>45762</v>
      </c>
      <c r="D38">
        <v>34769.71</v>
      </c>
      <c r="K38" s="42"/>
      <c r="L38" s="14"/>
    </row>
    <row r="39" spans="2:12" x14ac:dyDescent="0.25">
      <c r="B39" s="42">
        <v>45758</v>
      </c>
      <c r="D39">
        <v>34024.5</v>
      </c>
      <c r="K39" s="42"/>
      <c r="L39" s="14"/>
    </row>
    <row r="40" spans="2:12" x14ac:dyDescent="0.25">
      <c r="B40" s="42">
        <v>45756</v>
      </c>
      <c r="D40">
        <v>33384.559999999998</v>
      </c>
      <c r="K40" s="42"/>
      <c r="L40" s="14"/>
    </row>
    <row r="41" spans="2:12" x14ac:dyDescent="0.25">
      <c r="B41" s="42">
        <v>45755</v>
      </c>
      <c r="D41">
        <v>33588.28</v>
      </c>
      <c r="K41" s="42"/>
      <c r="L41" s="14"/>
    </row>
    <row r="42" spans="2:12" x14ac:dyDescent="0.25">
      <c r="B42" s="42">
        <v>45754</v>
      </c>
      <c r="D42">
        <v>33030.49</v>
      </c>
      <c r="K42" s="42"/>
      <c r="L42" s="14"/>
    </row>
    <row r="43" spans="2:12" x14ac:dyDescent="0.25">
      <c r="B43" s="42">
        <v>45751</v>
      </c>
      <c r="D43">
        <v>34137.61</v>
      </c>
      <c r="K43" s="42"/>
      <c r="L43" s="14"/>
    </row>
    <row r="44" spans="2:12" x14ac:dyDescent="0.25">
      <c r="B44" s="42">
        <v>45750</v>
      </c>
      <c r="D44">
        <v>34652.839999999997</v>
      </c>
      <c r="K44" s="42"/>
      <c r="L44" s="14"/>
    </row>
    <row r="45" spans="2:12" x14ac:dyDescent="0.25">
      <c r="B45" s="42">
        <v>45749</v>
      </c>
      <c r="D45">
        <v>34775.4</v>
      </c>
      <c r="K45" s="42"/>
      <c r="L45" s="14"/>
    </row>
    <row r="46" spans="2:12" x14ac:dyDescent="0.25">
      <c r="B46" s="42">
        <v>45748</v>
      </c>
      <c r="D46">
        <v>34527.01</v>
      </c>
      <c r="K46" s="42"/>
      <c r="L46" s="14"/>
    </row>
    <row r="47" spans="2:12" x14ac:dyDescent="0.25">
      <c r="B47" s="42">
        <v>45744</v>
      </c>
      <c r="D47">
        <v>35054.080000000002</v>
      </c>
      <c r="K47" s="42"/>
      <c r="L47" s="14"/>
    </row>
    <row r="48" spans="2:12" x14ac:dyDescent="0.25">
      <c r="B48" s="42">
        <v>45743</v>
      </c>
      <c r="D48">
        <v>35162.32</v>
      </c>
      <c r="K48" s="42"/>
      <c r="L48" s="14"/>
    </row>
    <row r="49" spans="2:12" x14ac:dyDescent="0.25">
      <c r="B49" s="42">
        <v>45742</v>
      </c>
      <c r="D49">
        <v>35005.67</v>
      </c>
      <c r="K49" s="42"/>
      <c r="L49" s="14"/>
    </row>
    <row r="50" spans="2:12" x14ac:dyDescent="0.25">
      <c r="B50" s="42">
        <v>45741</v>
      </c>
      <c r="D50">
        <v>35276.65</v>
      </c>
      <c r="K50" s="42"/>
      <c r="L50" s="14"/>
    </row>
    <row r="51" spans="2:12" x14ac:dyDescent="0.25">
      <c r="B51" s="42">
        <v>45740</v>
      </c>
      <c r="D51">
        <v>35261.269999999997</v>
      </c>
      <c r="K51" s="42"/>
      <c r="L51" s="14"/>
    </row>
    <row r="52" spans="2:12" x14ac:dyDescent="0.25">
      <c r="B52" s="42">
        <v>45737</v>
      </c>
      <c r="D52">
        <v>34802.300000000003</v>
      </c>
      <c r="K52" s="42"/>
      <c r="L52" s="14"/>
    </row>
    <row r="53" spans="2:12" x14ac:dyDescent="0.25">
      <c r="B53" s="42">
        <v>45736</v>
      </c>
      <c r="D53">
        <v>34564.18</v>
      </c>
      <c r="K53" s="42"/>
      <c r="L53" s="14"/>
    </row>
    <row r="54" spans="2:12" x14ac:dyDescent="0.25">
      <c r="B54" s="42">
        <v>45735</v>
      </c>
      <c r="D54">
        <v>34142.35</v>
      </c>
      <c r="K54" s="42"/>
      <c r="L54" s="14"/>
    </row>
    <row r="55" spans="2:12" x14ac:dyDescent="0.25">
      <c r="B55" s="42">
        <v>45734</v>
      </c>
      <c r="D55">
        <v>34033.06</v>
      </c>
      <c r="K55" s="42"/>
      <c r="L55" s="14"/>
    </row>
    <row r="56" spans="2:12" x14ac:dyDescent="0.25">
      <c r="B56" s="42">
        <v>45733</v>
      </c>
      <c r="D56">
        <v>33547.879999999997</v>
      </c>
      <c r="K56" s="42"/>
      <c r="L56" s="14"/>
    </row>
    <row r="57" spans="2:12" x14ac:dyDescent="0.25">
      <c r="B57" s="42">
        <v>45729</v>
      </c>
      <c r="D57">
        <v>33381.620000000003</v>
      </c>
      <c r="K57" s="42"/>
      <c r="L57" s="14"/>
    </row>
    <row r="58" spans="2:12" x14ac:dyDescent="0.25">
      <c r="B58" s="42">
        <v>45728</v>
      </c>
      <c r="D58">
        <v>33490.870000000003</v>
      </c>
      <c r="K58" s="42"/>
      <c r="L58" s="14"/>
    </row>
    <row r="59" spans="2:12" x14ac:dyDescent="0.25">
      <c r="B59" s="42">
        <v>45727</v>
      </c>
      <c r="D59">
        <v>33531.68</v>
      </c>
      <c r="K59" s="42"/>
      <c r="L59" s="14"/>
    </row>
    <row r="60" spans="2:12" x14ac:dyDescent="0.25">
      <c r="B60" s="42">
        <v>45726</v>
      </c>
      <c r="D60">
        <v>33473.919999999998</v>
      </c>
      <c r="K60" s="42"/>
      <c r="L60" s="14"/>
    </row>
    <row r="61" spans="2:12" x14ac:dyDescent="0.25">
      <c r="B61" s="42">
        <v>45723</v>
      </c>
      <c r="D61">
        <v>33611.300000000003</v>
      </c>
      <c r="K61" s="42"/>
      <c r="L61" s="14"/>
    </row>
    <row r="62" spans="2:12" x14ac:dyDescent="0.25">
      <c r="B62" s="42">
        <v>45722</v>
      </c>
      <c r="D62">
        <v>33599.300000000003</v>
      </c>
      <c r="K62" s="42"/>
      <c r="L62" s="14"/>
    </row>
    <row r="63" spans="2:12" x14ac:dyDescent="0.25">
      <c r="B63" s="42">
        <v>45721</v>
      </c>
      <c r="D63">
        <v>33290.199999999997</v>
      </c>
      <c r="K63" s="42"/>
      <c r="L63" s="14"/>
    </row>
    <row r="64" spans="2:12" x14ac:dyDescent="0.25">
      <c r="B64" s="42">
        <v>45720</v>
      </c>
      <c r="D64">
        <v>32910.629999999997</v>
      </c>
      <c r="K64" s="42"/>
      <c r="L64" s="14"/>
    </row>
    <row r="65" spans="2:12" x14ac:dyDescent="0.25">
      <c r="B65" s="42">
        <v>45719</v>
      </c>
      <c r="D65">
        <v>32965.25</v>
      </c>
      <c r="K65" s="42"/>
      <c r="L65" s="14"/>
    </row>
    <row r="66" spans="2:12" x14ac:dyDescent="0.25">
      <c r="B66" s="42">
        <v>45716</v>
      </c>
      <c r="D66">
        <v>32973.360000000001</v>
      </c>
      <c r="K66" s="42"/>
      <c r="L66" s="14"/>
    </row>
    <row r="67" spans="2:12" x14ac:dyDescent="0.25">
      <c r="B67" s="42">
        <v>45715</v>
      </c>
      <c r="D67">
        <v>33599.79</v>
      </c>
      <c r="K67" s="42"/>
      <c r="L67" s="14"/>
    </row>
    <row r="68" spans="2:12" x14ac:dyDescent="0.25">
      <c r="B68" s="42">
        <v>45713</v>
      </c>
      <c r="D68">
        <v>33603.550000000003</v>
      </c>
      <c r="K68" s="42"/>
      <c r="L68" s="14"/>
    </row>
    <row r="69" spans="2:12" x14ac:dyDescent="0.25">
      <c r="B69" s="42">
        <v>45712</v>
      </c>
      <c r="D69">
        <v>33612.18</v>
      </c>
      <c r="K69" s="42"/>
      <c r="L69" s="14"/>
    </row>
    <row r="70" spans="2:12" x14ac:dyDescent="0.25">
      <c r="B70" s="42">
        <v>45709</v>
      </c>
      <c r="D70">
        <v>33973.61</v>
      </c>
      <c r="K70" s="42"/>
      <c r="L70" s="14"/>
    </row>
    <row r="71" spans="2:12" x14ac:dyDescent="0.25">
      <c r="B71" s="42">
        <v>45708</v>
      </c>
      <c r="D71">
        <v>34148.36</v>
      </c>
      <c r="K71" s="42"/>
      <c r="L71" s="14"/>
    </row>
    <row r="72" spans="2:12" x14ac:dyDescent="0.25">
      <c r="B72" s="42">
        <v>45707</v>
      </c>
      <c r="D72">
        <v>34177.82</v>
      </c>
      <c r="K72" s="42"/>
      <c r="L72" s="14"/>
    </row>
    <row r="73" spans="2:12" x14ac:dyDescent="0.25">
      <c r="B73" s="42">
        <v>45706</v>
      </c>
      <c r="D73">
        <v>34196.32</v>
      </c>
      <c r="K73" s="42"/>
      <c r="L73" s="14"/>
    </row>
    <row r="74" spans="2:12" x14ac:dyDescent="0.25">
      <c r="B74" s="42">
        <v>45705</v>
      </c>
      <c r="D74">
        <v>34217.480000000003</v>
      </c>
      <c r="K74" s="42"/>
      <c r="L74" s="14"/>
    </row>
    <row r="75" spans="2:12" x14ac:dyDescent="0.25">
      <c r="B75" s="42">
        <v>45702</v>
      </c>
      <c r="D75">
        <v>34172.379999999997</v>
      </c>
      <c r="K75" s="42"/>
      <c r="L75" s="14"/>
    </row>
    <row r="76" spans="2:12" x14ac:dyDescent="0.25">
      <c r="B76" s="42">
        <v>45701</v>
      </c>
      <c r="D76">
        <v>34324.31</v>
      </c>
      <c r="K76" s="42"/>
      <c r="L76" s="14"/>
    </row>
    <row r="77" spans="2:12" x14ac:dyDescent="0.25">
      <c r="B77" s="42">
        <v>45700</v>
      </c>
      <c r="D77">
        <v>34344.93</v>
      </c>
      <c r="K77" s="42"/>
      <c r="L77" s="14"/>
    </row>
    <row r="78" spans="2:12" x14ac:dyDescent="0.25">
      <c r="B78" s="42">
        <v>45699</v>
      </c>
      <c r="D78">
        <v>34364.39</v>
      </c>
      <c r="K78" s="42"/>
      <c r="L78" s="14"/>
    </row>
    <row r="79" spans="2:12" x14ac:dyDescent="0.25">
      <c r="B79" s="42">
        <v>45698</v>
      </c>
      <c r="D79">
        <v>34825.870000000003</v>
      </c>
      <c r="K79" s="42"/>
      <c r="L79" s="14"/>
    </row>
    <row r="80" spans="2:12" x14ac:dyDescent="0.25">
      <c r="B80" s="42">
        <v>45695</v>
      </c>
      <c r="D80">
        <v>35091.5</v>
      </c>
      <c r="K80" s="42"/>
      <c r="L80" s="14"/>
    </row>
    <row r="81" spans="2:12" x14ac:dyDescent="0.25">
      <c r="B81" s="42">
        <v>45694</v>
      </c>
      <c r="D81">
        <v>35143.08</v>
      </c>
      <c r="K81" s="42"/>
      <c r="L81" s="14"/>
    </row>
    <row r="82" spans="2:12" x14ac:dyDescent="0.25">
      <c r="B82" s="42">
        <v>45693</v>
      </c>
      <c r="D82">
        <v>35277.699999999997</v>
      </c>
      <c r="K82" s="42"/>
      <c r="L82" s="14"/>
    </row>
    <row r="83" spans="2:12" x14ac:dyDescent="0.25">
      <c r="B83" s="42">
        <v>45692</v>
      </c>
      <c r="D83">
        <v>35341.64</v>
      </c>
      <c r="K83" s="42"/>
      <c r="L83" s="14"/>
    </row>
    <row r="84" spans="2:12" x14ac:dyDescent="0.25">
      <c r="B84" s="42">
        <v>45691</v>
      </c>
      <c r="D84">
        <v>34778.660000000003</v>
      </c>
      <c r="K84" s="42"/>
      <c r="L84" s="14"/>
    </row>
    <row r="85" spans="2:12" x14ac:dyDescent="0.25">
      <c r="B85" s="42">
        <v>45689</v>
      </c>
      <c r="D85">
        <v>34958.89</v>
      </c>
      <c r="K85" s="42"/>
      <c r="L85" s="14"/>
    </row>
    <row r="86" spans="2:12" x14ac:dyDescent="0.25">
      <c r="B86" s="42">
        <v>45688</v>
      </c>
      <c r="D86">
        <v>34998.01</v>
      </c>
      <c r="K86" s="42"/>
      <c r="L86" s="14"/>
    </row>
    <row r="87" spans="2:12" x14ac:dyDescent="0.25">
      <c r="B87" s="42">
        <v>45687</v>
      </c>
      <c r="D87">
        <v>34603.4</v>
      </c>
      <c r="K87" s="42"/>
      <c r="L87" s="14"/>
    </row>
    <row r="88" spans="2:12" x14ac:dyDescent="0.25">
      <c r="B88" s="42">
        <v>45686</v>
      </c>
      <c r="D88">
        <v>34474.800000000003</v>
      </c>
      <c r="K88" s="42"/>
      <c r="L88" s="14"/>
    </row>
    <row r="89" spans="2:12" x14ac:dyDescent="0.25">
      <c r="B89" s="42">
        <v>45685</v>
      </c>
      <c r="D89">
        <v>34165.22</v>
      </c>
      <c r="K89" s="42"/>
      <c r="L89" s="14"/>
    </row>
    <row r="90" spans="2:12" x14ac:dyDescent="0.25">
      <c r="B90" s="42">
        <v>45684</v>
      </c>
      <c r="D90">
        <v>33974.58</v>
      </c>
      <c r="K90" s="42"/>
      <c r="L90" s="14"/>
    </row>
    <row r="91" spans="2:12" x14ac:dyDescent="0.25">
      <c r="B91" s="42">
        <v>45681</v>
      </c>
      <c r="D91">
        <v>34366.04</v>
      </c>
      <c r="K91" s="42"/>
      <c r="L91" s="14"/>
    </row>
    <row r="92" spans="2:12" x14ac:dyDescent="0.25">
      <c r="B92" s="42">
        <v>45680</v>
      </c>
      <c r="D92">
        <v>34534.46</v>
      </c>
      <c r="K92" s="42"/>
      <c r="L92" s="14"/>
    </row>
    <row r="93" spans="2:12" x14ac:dyDescent="0.25">
      <c r="B93" s="42">
        <v>45679</v>
      </c>
      <c r="D93">
        <v>34460.03</v>
      </c>
      <c r="K93" s="42"/>
      <c r="L93" s="14"/>
    </row>
    <row r="94" spans="2:12" x14ac:dyDescent="0.25">
      <c r="B94" s="42">
        <v>45678</v>
      </c>
      <c r="D94">
        <v>34265.550000000003</v>
      </c>
      <c r="K94" s="42"/>
      <c r="L94" s="14"/>
    </row>
    <row r="95" spans="2:12" x14ac:dyDescent="0.25">
      <c r="B95" s="42">
        <v>45677</v>
      </c>
      <c r="D95">
        <v>34741.89</v>
      </c>
      <c r="K95" s="42"/>
      <c r="L95" s="14"/>
    </row>
    <row r="96" spans="2:12" x14ac:dyDescent="0.25">
      <c r="B96" s="42">
        <v>45674</v>
      </c>
      <c r="D96">
        <v>34531.21</v>
      </c>
      <c r="K96" s="42"/>
      <c r="L96" s="14"/>
    </row>
    <row r="97" spans="2:12" x14ac:dyDescent="0.25">
      <c r="B97" s="42">
        <v>45673</v>
      </c>
      <c r="D97">
        <v>34660.67</v>
      </c>
      <c r="K97" s="42"/>
      <c r="L97" s="14"/>
    </row>
    <row r="98" spans="2:12" x14ac:dyDescent="0.25">
      <c r="B98" s="42">
        <v>45672</v>
      </c>
      <c r="D98">
        <v>34514.06</v>
      </c>
      <c r="K98" s="42"/>
      <c r="L98" s="14"/>
    </row>
    <row r="99" spans="2:12" x14ac:dyDescent="0.25">
      <c r="B99" s="42">
        <v>45671</v>
      </c>
      <c r="D99">
        <v>34458.870000000003</v>
      </c>
      <c r="K99" s="42"/>
      <c r="L99" s="14"/>
    </row>
    <row r="100" spans="2:12" x14ac:dyDescent="0.25">
      <c r="B100" s="42">
        <v>45670</v>
      </c>
      <c r="D100">
        <v>34324.870000000003</v>
      </c>
      <c r="K100" s="42"/>
      <c r="L100" s="14"/>
    </row>
    <row r="101" spans="2:12" x14ac:dyDescent="0.25">
      <c r="B101" s="42">
        <v>45667</v>
      </c>
      <c r="D101">
        <v>34838.660000000003</v>
      </c>
      <c r="K101" s="42"/>
      <c r="L101" s="14"/>
    </row>
    <row r="102" spans="2:12" x14ac:dyDescent="0.25">
      <c r="B102" s="42">
        <v>45666</v>
      </c>
      <c r="D102">
        <v>34979.910000000003</v>
      </c>
      <c r="K102" s="42"/>
      <c r="L102" s="14"/>
    </row>
    <row r="103" spans="2:12" x14ac:dyDescent="0.25">
      <c r="B103" s="42">
        <v>45665</v>
      </c>
      <c r="D103">
        <v>35221.43</v>
      </c>
      <c r="K103" s="42"/>
      <c r="L103" s="14"/>
    </row>
    <row r="104" spans="2:12" x14ac:dyDescent="0.25">
      <c r="B104" s="42">
        <v>45664</v>
      </c>
      <c r="D104">
        <v>35249.64</v>
      </c>
      <c r="K104" s="42"/>
      <c r="L104" s="14"/>
    </row>
    <row r="105" spans="2:12" x14ac:dyDescent="0.25">
      <c r="B105" s="42">
        <v>45663</v>
      </c>
      <c r="D105">
        <v>35113.040000000001</v>
      </c>
      <c r="K105" s="42"/>
      <c r="L105" s="14"/>
    </row>
    <row r="106" spans="2:12" x14ac:dyDescent="0.25">
      <c r="B106" s="42">
        <v>45660</v>
      </c>
      <c r="D106">
        <v>35690.959999999999</v>
      </c>
      <c r="K106" s="42"/>
      <c r="L106" s="14"/>
    </row>
    <row r="107" spans="2:12" x14ac:dyDescent="0.25">
      <c r="B107" s="42">
        <v>45659</v>
      </c>
      <c r="D107">
        <v>35964.43</v>
      </c>
      <c r="K107" s="42"/>
      <c r="L107" s="14"/>
    </row>
    <row r="108" spans="2:12" x14ac:dyDescent="0.25">
      <c r="B108" s="42">
        <v>45658</v>
      </c>
      <c r="D108">
        <v>35301.629999999997</v>
      </c>
      <c r="K108" s="42"/>
      <c r="L108" s="14"/>
    </row>
    <row r="109" spans="2:12" x14ac:dyDescent="0.25">
      <c r="B109" s="42">
        <v>45657</v>
      </c>
      <c r="D109">
        <v>35155.769999999997</v>
      </c>
      <c r="K109" s="42"/>
      <c r="L109" s="14"/>
    </row>
    <row r="110" spans="2:12" x14ac:dyDescent="0.25">
      <c r="B110" s="42">
        <v>45656</v>
      </c>
      <c r="D110">
        <v>35155.94</v>
      </c>
      <c r="K110" s="42"/>
      <c r="L110" s="14"/>
    </row>
    <row r="111" spans="2:12" x14ac:dyDescent="0.25">
      <c r="B111" s="42">
        <v>45653</v>
      </c>
      <c r="D111">
        <v>35406.5</v>
      </c>
      <c r="K111" s="42"/>
      <c r="L111" s="14"/>
    </row>
    <row r="112" spans="2:12" x14ac:dyDescent="0.25">
      <c r="B112" s="42">
        <v>45652</v>
      </c>
      <c r="D112">
        <v>35312.5</v>
      </c>
      <c r="K112" s="42"/>
      <c r="L112" s="14"/>
    </row>
    <row r="113" spans="2:12" x14ac:dyDescent="0.25">
      <c r="B113" s="42">
        <v>45650</v>
      </c>
      <c r="D113">
        <v>35278.97</v>
      </c>
      <c r="K113" s="42"/>
      <c r="L113" s="14"/>
    </row>
    <row r="114" spans="2:12" x14ac:dyDescent="0.25">
      <c r="B114" s="42">
        <v>45649</v>
      </c>
      <c r="D114">
        <v>35317.360000000001</v>
      </c>
      <c r="K114" s="42"/>
      <c r="L114" s="14"/>
    </row>
    <row r="115" spans="2:12" x14ac:dyDescent="0.25">
      <c r="B115" s="42">
        <v>45646</v>
      </c>
      <c r="D115">
        <v>35070.589999999997</v>
      </c>
      <c r="K115" s="42"/>
      <c r="L115" s="14"/>
    </row>
    <row r="116" spans="2:12" x14ac:dyDescent="0.25">
      <c r="B116" s="42">
        <v>45645</v>
      </c>
      <c r="D116">
        <v>35612.11</v>
      </c>
      <c r="K116" s="42"/>
      <c r="L116" s="14"/>
    </row>
    <row r="117" spans="2:12" x14ac:dyDescent="0.25">
      <c r="B117" s="42">
        <v>45644</v>
      </c>
      <c r="D117">
        <v>35979.58</v>
      </c>
      <c r="K117" s="42"/>
      <c r="L117" s="14"/>
    </row>
    <row r="118" spans="2:12" x14ac:dyDescent="0.25">
      <c r="B118" s="42">
        <v>45643</v>
      </c>
      <c r="D118">
        <v>36183.53</v>
      </c>
      <c r="K118" s="42"/>
      <c r="L118" s="14"/>
    </row>
    <row r="119" spans="2:12" x14ac:dyDescent="0.25">
      <c r="B119" s="42">
        <v>45642</v>
      </c>
      <c r="D119">
        <v>36677.480000000003</v>
      </c>
      <c r="K119" s="42"/>
      <c r="L119" s="14"/>
    </row>
    <row r="120" spans="2:12" x14ac:dyDescent="0.25">
      <c r="B120" s="42">
        <v>45639</v>
      </c>
      <c r="D120">
        <v>36826.269999999997</v>
      </c>
      <c r="K120" s="42"/>
      <c r="L120" s="14"/>
    </row>
    <row r="121" spans="2:12" x14ac:dyDescent="0.25">
      <c r="B121" s="42">
        <v>45638</v>
      </c>
      <c r="D121">
        <v>36499.75</v>
      </c>
      <c r="K121" s="42"/>
      <c r="L121" s="14"/>
    </row>
    <row r="122" spans="2:12" x14ac:dyDescent="0.25">
      <c r="B122" s="42">
        <v>45637</v>
      </c>
      <c r="D122">
        <v>36638.14</v>
      </c>
      <c r="K122" s="42"/>
      <c r="L122" s="14"/>
    </row>
    <row r="123" spans="2:12" x14ac:dyDescent="0.25">
      <c r="B123" s="42">
        <v>45636</v>
      </c>
      <c r="D123">
        <v>36590.980000000003</v>
      </c>
      <c r="K123" s="42"/>
      <c r="L123" s="14"/>
    </row>
    <row r="124" spans="2:12" x14ac:dyDescent="0.25">
      <c r="B124" s="42">
        <v>45635</v>
      </c>
      <c r="D124">
        <v>36604.29</v>
      </c>
      <c r="K124" s="42"/>
      <c r="L124" s="14"/>
    </row>
    <row r="125" spans="2:12" x14ac:dyDescent="0.25">
      <c r="B125" s="42">
        <v>45632</v>
      </c>
      <c r="D125">
        <v>36691.68</v>
      </c>
      <c r="K125" s="42"/>
      <c r="L125" s="14"/>
    </row>
    <row r="126" spans="2:12" x14ac:dyDescent="0.25">
      <c r="B126" s="42">
        <v>45631</v>
      </c>
      <c r="D126">
        <v>36737.18</v>
      </c>
      <c r="K126" s="42"/>
      <c r="L126" s="14"/>
    </row>
    <row r="127" spans="2:12" x14ac:dyDescent="0.25">
      <c r="B127" s="42">
        <v>45630</v>
      </c>
      <c r="D127">
        <v>36378.910000000003</v>
      </c>
      <c r="K127" s="42"/>
      <c r="L127" s="14"/>
    </row>
    <row r="128" spans="2:12" x14ac:dyDescent="0.25">
      <c r="B128" s="42">
        <v>45629</v>
      </c>
      <c r="D128">
        <v>36363.629999999997</v>
      </c>
      <c r="K128" s="42"/>
      <c r="L128" s="14"/>
    </row>
    <row r="129" spans="2:12" x14ac:dyDescent="0.25">
      <c r="B129" s="42">
        <v>45628</v>
      </c>
      <c r="D129">
        <v>36094.39</v>
      </c>
      <c r="K129" s="42"/>
      <c r="L129" s="14"/>
    </row>
    <row r="130" spans="2:12" x14ac:dyDescent="0.25">
      <c r="B130" s="42">
        <v>45625</v>
      </c>
      <c r="D130">
        <v>35878.82</v>
      </c>
      <c r="K130" s="42"/>
      <c r="L130" s="14"/>
    </row>
    <row r="131" spans="2:12" x14ac:dyDescent="0.25">
      <c r="B131" s="42">
        <v>45624</v>
      </c>
      <c r="D131">
        <v>35556.269999999997</v>
      </c>
      <c r="K131" s="42"/>
      <c r="L131" s="14"/>
    </row>
    <row r="132" spans="2:12" x14ac:dyDescent="0.25">
      <c r="B132" s="42">
        <v>45623</v>
      </c>
      <c r="D132">
        <v>36092.65</v>
      </c>
      <c r="K132" s="42"/>
      <c r="L132" s="14"/>
    </row>
    <row r="133" spans="2:12" x14ac:dyDescent="0.25">
      <c r="B133" s="42">
        <v>45622</v>
      </c>
      <c r="D133">
        <v>35973.11</v>
      </c>
      <c r="K133" s="42"/>
      <c r="L133" s="14"/>
    </row>
    <row r="134" spans="2:12" x14ac:dyDescent="0.25">
      <c r="B134" s="42">
        <v>45621</v>
      </c>
      <c r="D134">
        <v>36013.85</v>
      </c>
      <c r="K134" s="42"/>
      <c r="L134" s="14"/>
    </row>
    <row r="135" spans="2:12" x14ac:dyDescent="0.25">
      <c r="B135" s="42">
        <v>45618</v>
      </c>
      <c r="D135">
        <v>35546.01</v>
      </c>
      <c r="K135" s="42"/>
      <c r="L135" s="14"/>
    </row>
    <row r="136" spans="2:12" x14ac:dyDescent="0.25">
      <c r="B136" s="42">
        <v>45617</v>
      </c>
      <c r="D136">
        <v>34717.32</v>
      </c>
      <c r="K136" s="42"/>
      <c r="L136" s="14"/>
    </row>
    <row r="137" spans="2:12" x14ac:dyDescent="0.25">
      <c r="B137" s="42">
        <v>45615</v>
      </c>
      <c r="D137">
        <v>34968</v>
      </c>
      <c r="K137" s="42"/>
      <c r="L137" s="14"/>
    </row>
    <row r="138" spans="2:12" x14ac:dyDescent="0.25">
      <c r="B138" s="42">
        <v>45614</v>
      </c>
      <c r="D138">
        <v>34871.21</v>
      </c>
      <c r="K138" s="42"/>
      <c r="L138" s="14"/>
    </row>
    <row r="139" spans="2:12" x14ac:dyDescent="0.25">
      <c r="B139" s="42">
        <v>45610</v>
      </c>
      <c r="D139">
        <v>34988.480000000003</v>
      </c>
      <c r="K139" s="42"/>
      <c r="L139" s="14"/>
    </row>
    <row r="140" spans="2:12" x14ac:dyDescent="0.25">
      <c r="B140" s="42">
        <v>45609</v>
      </c>
      <c r="D140">
        <v>35020.93</v>
      </c>
      <c r="K140" s="42"/>
      <c r="L140" s="14"/>
    </row>
    <row r="141" spans="2:12" x14ac:dyDescent="0.25">
      <c r="B141" s="42">
        <v>45608</v>
      </c>
      <c r="D141">
        <v>35503.11</v>
      </c>
      <c r="K141" s="42"/>
      <c r="L141" s="14"/>
    </row>
    <row r="142" spans="2:12" x14ac:dyDescent="0.25">
      <c r="B142" s="42">
        <v>45607</v>
      </c>
      <c r="D142">
        <v>35886.42</v>
      </c>
      <c r="K142" s="42"/>
      <c r="L142" s="14"/>
    </row>
    <row r="143" spans="2:12" x14ac:dyDescent="0.25">
      <c r="B143" s="42">
        <v>45604</v>
      </c>
      <c r="D143">
        <v>35896.71</v>
      </c>
      <c r="K143" s="42"/>
      <c r="L143" s="14"/>
    </row>
    <row r="144" spans="2:12" x14ac:dyDescent="0.25">
      <c r="B144" s="42">
        <v>45603</v>
      </c>
      <c r="D144">
        <v>35972.74</v>
      </c>
      <c r="K144" s="42"/>
      <c r="L144" s="14"/>
    </row>
    <row r="145" spans="2:12" x14ac:dyDescent="0.25">
      <c r="B145" s="42">
        <v>45602</v>
      </c>
      <c r="D145">
        <v>36393.85</v>
      </c>
      <c r="K145" s="42"/>
      <c r="L145" s="14"/>
    </row>
    <row r="146" spans="2:12" x14ac:dyDescent="0.25">
      <c r="B146" s="42">
        <v>45601</v>
      </c>
      <c r="D146">
        <v>35982.959999999999</v>
      </c>
      <c r="K146" s="42"/>
      <c r="L146" s="14"/>
    </row>
    <row r="147" spans="2:12" x14ac:dyDescent="0.25">
      <c r="B147" s="42">
        <v>45600</v>
      </c>
      <c r="D147">
        <v>35659.07</v>
      </c>
      <c r="K147" s="42"/>
      <c r="L147" s="14"/>
    </row>
    <row r="148" spans="2:12" x14ac:dyDescent="0.25">
      <c r="B148" s="42">
        <v>45597</v>
      </c>
      <c r="D148">
        <v>36118.25</v>
      </c>
      <c r="K148" s="42"/>
      <c r="L148" s="14"/>
    </row>
    <row r="149" spans="2:12" x14ac:dyDescent="0.25">
      <c r="B149" s="42">
        <v>45596</v>
      </c>
      <c r="D149">
        <v>35971.14</v>
      </c>
      <c r="K149" s="42"/>
      <c r="L149" s="14"/>
    </row>
    <row r="150" spans="2:12" x14ac:dyDescent="0.25">
      <c r="B150" s="42">
        <v>45595</v>
      </c>
      <c r="D150">
        <v>36165.43</v>
      </c>
      <c r="K150" s="42"/>
      <c r="L150" s="14"/>
    </row>
    <row r="151" spans="2:12" x14ac:dyDescent="0.25">
      <c r="B151" s="42">
        <v>45594</v>
      </c>
      <c r="D151">
        <v>36352.629999999997</v>
      </c>
      <c r="K151" s="42"/>
      <c r="L151" s="14"/>
    </row>
    <row r="152" spans="2:12" x14ac:dyDescent="0.25">
      <c r="B152" s="42">
        <v>45593</v>
      </c>
      <c r="D152">
        <v>36138.03</v>
      </c>
      <c r="K152" s="42"/>
      <c r="L152" s="14"/>
    </row>
    <row r="153" spans="2:12" x14ac:dyDescent="0.25">
      <c r="B153" s="42">
        <v>45590</v>
      </c>
      <c r="D153">
        <v>35902.92</v>
      </c>
      <c r="K153" s="42"/>
      <c r="L153" s="14"/>
    </row>
    <row r="154" spans="2:12" x14ac:dyDescent="0.25">
      <c r="B154" s="42">
        <v>45589</v>
      </c>
      <c r="D154">
        <v>36227.519999999997</v>
      </c>
      <c r="K154" s="42"/>
      <c r="L154" s="14"/>
    </row>
    <row r="155" spans="2:12" x14ac:dyDescent="0.25">
      <c r="B155" s="42">
        <v>45588</v>
      </c>
      <c r="D155">
        <v>36281.1</v>
      </c>
      <c r="K155" s="42"/>
      <c r="L155" s="14"/>
    </row>
    <row r="156" spans="2:12" x14ac:dyDescent="0.25">
      <c r="B156" s="42">
        <v>45587</v>
      </c>
      <c r="D156">
        <v>36335.46</v>
      </c>
      <c r="K156" s="42"/>
      <c r="L156" s="14"/>
    </row>
    <row r="157" spans="2:12" x14ac:dyDescent="0.25">
      <c r="B157" s="42">
        <v>45586</v>
      </c>
      <c r="D157">
        <v>36789.949999999997</v>
      </c>
      <c r="K157" s="42"/>
      <c r="L157" s="14"/>
    </row>
    <row r="158" spans="2:12" x14ac:dyDescent="0.25">
      <c r="B158" s="42">
        <v>45583</v>
      </c>
      <c r="D158">
        <v>36898.25</v>
      </c>
      <c r="K158" s="42"/>
      <c r="L158" s="14"/>
    </row>
    <row r="159" spans="2:12" x14ac:dyDescent="0.25">
      <c r="B159" s="42">
        <v>45582</v>
      </c>
      <c r="D159">
        <v>36740.25</v>
      </c>
      <c r="K159" s="42"/>
      <c r="L159" s="14"/>
    </row>
    <row r="160" spans="2:12" x14ac:dyDescent="0.25">
      <c r="B160" s="42">
        <v>45581</v>
      </c>
      <c r="D160">
        <v>37068.99</v>
      </c>
      <c r="K160" s="42"/>
      <c r="L160" s="14"/>
    </row>
    <row r="161" spans="2:12" x14ac:dyDescent="0.25">
      <c r="B161" s="42">
        <v>45580</v>
      </c>
      <c r="D161">
        <v>37196.69</v>
      </c>
      <c r="K161" s="42"/>
      <c r="L161" s="14"/>
    </row>
    <row r="162" spans="2:12" x14ac:dyDescent="0.25">
      <c r="B162" s="42">
        <v>45579</v>
      </c>
      <c r="D162">
        <v>37301.5</v>
      </c>
      <c r="K162" s="42"/>
      <c r="L162" s="14"/>
    </row>
    <row r="163" spans="2:12" x14ac:dyDescent="0.25">
      <c r="B163" s="42">
        <v>45576</v>
      </c>
      <c r="D163">
        <v>37058.49</v>
      </c>
      <c r="K163" s="42"/>
      <c r="L163" s="14"/>
    </row>
    <row r="164" spans="2:12" x14ac:dyDescent="0.25">
      <c r="B164" s="42">
        <v>45575</v>
      </c>
      <c r="D164">
        <v>37109.26</v>
      </c>
      <c r="K164" s="42"/>
      <c r="L164" s="14"/>
    </row>
    <row r="165" spans="2:12" x14ac:dyDescent="0.25">
      <c r="B165" s="42">
        <v>45574</v>
      </c>
      <c r="D165">
        <v>37084.75</v>
      </c>
      <c r="K165" s="42"/>
      <c r="L165" s="14"/>
    </row>
    <row r="166" spans="2:12" x14ac:dyDescent="0.25">
      <c r="B166" s="42">
        <v>45573</v>
      </c>
      <c r="D166">
        <v>37131.07</v>
      </c>
      <c r="K166" s="42"/>
      <c r="L166" s="14"/>
    </row>
    <row r="167" spans="2:12" x14ac:dyDescent="0.25">
      <c r="B167" s="42">
        <v>45572</v>
      </c>
      <c r="D167">
        <v>36808.370000000003</v>
      </c>
      <c r="K167" s="42"/>
      <c r="L167" s="14"/>
    </row>
    <row r="168" spans="2:12" x14ac:dyDescent="0.25">
      <c r="B168" s="42">
        <v>45569</v>
      </c>
      <c r="D168">
        <v>37133.25</v>
      </c>
      <c r="K168" s="42"/>
      <c r="L168" s="14"/>
    </row>
    <row r="169" spans="2:12" x14ac:dyDescent="0.25">
      <c r="B169" s="42">
        <v>45568</v>
      </c>
      <c r="D169">
        <v>37482.839999999997</v>
      </c>
      <c r="K169" s="42"/>
      <c r="L169" s="14"/>
    </row>
    <row r="170" spans="2:12" x14ac:dyDescent="0.25">
      <c r="B170" s="42">
        <v>45566</v>
      </c>
      <c r="D170">
        <v>38294.54</v>
      </c>
      <c r="K170" s="42"/>
      <c r="L170" s="14"/>
    </row>
    <row r="171" spans="2:12" x14ac:dyDescent="0.25">
      <c r="B171" s="42">
        <v>45565</v>
      </c>
      <c r="D171">
        <v>38315.21</v>
      </c>
      <c r="K171" s="42"/>
      <c r="L171" s="14"/>
    </row>
    <row r="172" spans="2:12" x14ac:dyDescent="0.25">
      <c r="B172" s="42">
        <v>45562</v>
      </c>
      <c r="D172">
        <v>38861.64</v>
      </c>
      <c r="K172" s="42"/>
      <c r="L172" s="14"/>
    </row>
    <row r="173" spans="2:12" x14ac:dyDescent="0.25">
      <c r="B173" s="42">
        <v>45561</v>
      </c>
      <c r="D173">
        <v>38916.76</v>
      </c>
      <c r="K173" s="42"/>
      <c r="L173" s="14"/>
    </row>
    <row r="174" spans="2:12" x14ac:dyDescent="0.25">
      <c r="B174" s="42">
        <v>45560</v>
      </c>
      <c r="D174">
        <v>38602.21</v>
      </c>
      <c r="K174" s="42"/>
      <c r="L174" s="14"/>
    </row>
    <row r="175" spans="2:12" x14ac:dyDescent="0.25">
      <c r="B175" s="42">
        <v>45559</v>
      </c>
      <c r="D175">
        <v>38507.550000000003</v>
      </c>
      <c r="K175" s="42"/>
      <c r="L175" s="14"/>
    </row>
    <row r="176" spans="2:12" x14ac:dyDescent="0.25">
      <c r="B176" s="42">
        <v>45558</v>
      </c>
      <c r="D176">
        <v>38505.51</v>
      </c>
      <c r="K176" s="42"/>
      <c r="L176" s="14"/>
    </row>
    <row r="177" spans="2:12" x14ac:dyDescent="0.25">
      <c r="B177" s="42">
        <v>45555</v>
      </c>
      <c r="D177">
        <v>38285.67</v>
      </c>
      <c r="K177" s="42"/>
      <c r="L177" s="14"/>
    </row>
    <row r="178" spans="2:12" x14ac:dyDescent="0.25">
      <c r="B178" s="42">
        <v>45554</v>
      </c>
      <c r="D178">
        <v>37728.83</v>
      </c>
      <c r="K178" s="42"/>
      <c r="L178" s="14"/>
    </row>
    <row r="179" spans="2:12" x14ac:dyDescent="0.25">
      <c r="B179" s="42">
        <v>45553</v>
      </c>
      <c r="D179">
        <v>37672.03</v>
      </c>
      <c r="K179" s="42"/>
      <c r="L179" s="14"/>
    </row>
    <row r="180" spans="2:12" x14ac:dyDescent="0.25">
      <c r="B180" s="42">
        <v>45552</v>
      </c>
      <c r="D180">
        <v>37732.870000000003</v>
      </c>
      <c r="K180" s="42"/>
      <c r="L180" s="14"/>
    </row>
    <row r="181" spans="2:12" x14ac:dyDescent="0.25">
      <c r="B181" s="42">
        <v>45551</v>
      </c>
      <c r="D181">
        <v>37681.24</v>
      </c>
      <c r="K181" s="42"/>
      <c r="L181" s="14"/>
    </row>
    <row r="182" spans="2:12" x14ac:dyDescent="0.25">
      <c r="B182" s="42">
        <v>45548</v>
      </c>
      <c r="D182">
        <v>37640.800000000003</v>
      </c>
      <c r="K182" s="42"/>
      <c r="L182" s="14"/>
    </row>
    <row r="183" spans="2:12" x14ac:dyDescent="0.25">
      <c r="B183" s="42">
        <v>45547</v>
      </c>
      <c r="D183">
        <v>37688.9</v>
      </c>
      <c r="K183" s="42"/>
      <c r="L183" s="14"/>
    </row>
    <row r="184" spans="2:12" x14ac:dyDescent="0.25">
      <c r="B184" s="42">
        <v>45546</v>
      </c>
      <c r="D184">
        <v>36990.519999999997</v>
      </c>
      <c r="K184" s="42"/>
      <c r="L184" s="14"/>
    </row>
    <row r="185" spans="2:12" x14ac:dyDescent="0.25">
      <c r="B185" s="42">
        <v>45545</v>
      </c>
      <c r="D185">
        <v>37172.57</v>
      </c>
      <c r="K185" s="42"/>
      <c r="L185" s="14"/>
    </row>
    <row r="186" spans="2:12" x14ac:dyDescent="0.25">
      <c r="B186" s="42">
        <v>45544</v>
      </c>
      <c r="D186">
        <v>37017.15</v>
      </c>
      <c r="K186" s="42"/>
      <c r="L186" s="14"/>
    </row>
    <row r="187" spans="2:12" x14ac:dyDescent="0.25">
      <c r="B187" s="42">
        <v>45541</v>
      </c>
      <c r="D187">
        <v>36892.07</v>
      </c>
      <c r="K187" s="42"/>
      <c r="L187" s="14"/>
    </row>
    <row r="188" spans="2:12" x14ac:dyDescent="0.25">
      <c r="B188" s="42">
        <v>45540</v>
      </c>
      <c r="D188">
        <v>37326.99</v>
      </c>
      <c r="K188" s="42"/>
      <c r="L188" s="14"/>
    </row>
    <row r="189" spans="2:12" x14ac:dyDescent="0.25">
      <c r="B189" s="42">
        <v>45539</v>
      </c>
      <c r="D189">
        <v>37406.550000000003</v>
      </c>
      <c r="K189" s="42"/>
      <c r="L189" s="14"/>
    </row>
    <row r="190" spans="2:12" x14ac:dyDescent="0.25">
      <c r="B190" s="42">
        <v>45538</v>
      </c>
      <c r="D190">
        <v>37526.97</v>
      </c>
      <c r="K190" s="42"/>
      <c r="L190" s="14"/>
    </row>
    <row r="191" spans="2:12" x14ac:dyDescent="0.25">
      <c r="B191" s="42">
        <v>45537</v>
      </c>
      <c r="D191">
        <v>37525.279999999999</v>
      </c>
      <c r="K191" s="42"/>
      <c r="L191" s="14"/>
    </row>
    <row r="192" spans="2:12" x14ac:dyDescent="0.25">
      <c r="B192" s="42">
        <v>45534</v>
      </c>
      <c r="D192">
        <v>37461.730000000003</v>
      </c>
      <c r="K192" s="42"/>
      <c r="L192" s="14"/>
    </row>
    <row r="193" spans="2:12" x14ac:dyDescent="0.25">
      <c r="B193" s="42">
        <v>45533</v>
      </c>
      <c r="D193">
        <v>37337.089999999997</v>
      </c>
      <c r="K193" s="42"/>
      <c r="L193" s="14"/>
    </row>
    <row r="194" spans="2:12" x14ac:dyDescent="0.25">
      <c r="B194" s="42">
        <v>45532</v>
      </c>
      <c r="D194">
        <v>37189.269999999997</v>
      </c>
      <c r="K194" s="42"/>
      <c r="L194" s="14"/>
    </row>
    <row r="195" spans="2:12" x14ac:dyDescent="0.25">
      <c r="B195" s="42">
        <v>45531</v>
      </c>
      <c r="D195">
        <v>37137.910000000003</v>
      </c>
      <c r="K195" s="42"/>
      <c r="L195" s="14"/>
    </row>
    <row r="196" spans="2:12" x14ac:dyDescent="0.25">
      <c r="B196" s="42">
        <v>45530</v>
      </c>
      <c r="D196">
        <v>37127.300000000003</v>
      </c>
      <c r="K196" s="42"/>
      <c r="L196" s="14"/>
    </row>
    <row r="197" spans="2:12" x14ac:dyDescent="0.25">
      <c r="B197" s="42">
        <v>45527</v>
      </c>
      <c r="D197">
        <v>36849.019999999997</v>
      </c>
      <c r="K197" s="42"/>
      <c r="L197" s="14"/>
    </row>
    <row r="198" spans="2:12" x14ac:dyDescent="0.25">
      <c r="B198" s="42">
        <v>45526</v>
      </c>
      <c r="D198">
        <v>36828.5</v>
      </c>
      <c r="K198" s="42"/>
      <c r="L198" s="14"/>
    </row>
    <row r="199" spans="2:12" x14ac:dyDescent="0.25">
      <c r="B199" s="42">
        <v>45525</v>
      </c>
      <c r="D199">
        <v>36767.19</v>
      </c>
      <c r="K199" s="42"/>
      <c r="L199" s="14"/>
    </row>
    <row r="200" spans="2:12" x14ac:dyDescent="0.25">
      <c r="B200" s="42">
        <v>45524</v>
      </c>
      <c r="D200">
        <v>36661.24</v>
      </c>
      <c r="K200" s="42"/>
      <c r="L200" s="14"/>
    </row>
    <row r="201" spans="2:12" x14ac:dyDescent="0.25">
      <c r="B201" s="42">
        <v>45523</v>
      </c>
      <c r="D201">
        <v>36473.949999999997</v>
      </c>
      <c r="K201" s="42"/>
      <c r="L201" s="14"/>
    </row>
    <row r="202" spans="2:12" x14ac:dyDescent="0.25">
      <c r="B202" s="42">
        <v>45520</v>
      </c>
      <c r="D202">
        <v>36415.85</v>
      </c>
      <c r="K202" s="42"/>
      <c r="L202" s="14"/>
    </row>
    <row r="203" spans="2:12" x14ac:dyDescent="0.25">
      <c r="B203" s="42">
        <v>45518</v>
      </c>
      <c r="D203">
        <v>35817.89</v>
      </c>
      <c r="K203" s="42"/>
      <c r="L203" s="14"/>
    </row>
    <row r="204" spans="2:12" x14ac:dyDescent="0.25">
      <c r="B204" s="42">
        <v>45517</v>
      </c>
      <c r="D204">
        <v>35810.83</v>
      </c>
      <c r="K204" s="42"/>
      <c r="L204" s="14"/>
    </row>
    <row r="205" spans="2:12" x14ac:dyDescent="0.25">
      <c r="B205" s="42">
        <v>45516</v>
      </c>
      <c r="D205">
        <v>36119.449999999997</v>
      </c>
      <c r="K205" s="42"/>
      <c r="L205" s="14"/>
    </row>
    <row r="206" spans="2:12" x14ac:dyDescent="0.25">
      <c r="B206" s="42">
        <v>45513</v>
      </c>
      <c r="D206">
        <v>36126.230000000003</v>
      </c>
      <c r="K206" s="42"/>
      <c r="L206" s="14"/>
    </row>
    <row r="207" spans="2:12" x14ac:dyDescent="0.25">
      <c r="B207" s="42">
        <v>45512</v>
      </c>
      <c r="D207">
        <v>35753.120000000003</v>
      </c>
      <c r="K207" s="42"/>
      <c r="L207" s="14"/>
    </row>
    <row r="208" spans="2:12" x14ac:dyDescent="0.25">
      <c r="B208" s="42">
        <v>45511</v>
      </c>
      <c r="D208">
        <v>36020.75</v>
      </c>
      <c r="K208" s="42"/>
      <c r="L208" s="14"/>
    </row>
    <row r="209" spans="2:12" x14ac:dyDescent="0.25">
      <c r="B209" s="42">
        <v>45510</v>
      </c>
      <c r="D209">
        <v>35554.15</v>
      </c>
      <c r="K209" s="42"/>
      <c r="L209" s="14"/>
    </row>
    <row r="210" spans="2:12" x14ac:dyDescent="0.25">
      <c r="B210" s="42">
        <v>45509</v>
      </c>
      <c r="D210">
        <v>35646.370000000003</v>
      </c>
      <c r="K210" s="42"/>
      <c r="L210" s="14"/>
    </row>
    <row r="211" spans="2:12" x14ac:dyDescent="0.25">
      <c r="B211" s="42">
        <v>45506</v>
      </c>
      <c r="D211">
        <v>36624.49</v>
      </c>
      <c r="K211" s="42"/>
      <c r="L211" s="14"/>
    </row>
    <row r="212" spans="2:12" x14ac:dyDescent="0.25">
      <c r="B212" s="42">
        <v>45505</v>
      </c>
      <c r="D212">
        <v>37049.699999999997</v>
      </c>
      <c r="K212" s="42"/>
      <c r="L212" s="14"/>
    </row>
    <row r="213" spans="2:12" x14ac:dyDescent="0.25">
      <c r="B213" s="42">
        <v>45504</v>
      </c>
      <c r="D213">
        <v>36959.480000000003</v>
      </c>
      <c r="K213" s="42"/>
      <c r="L213" s="14"/>
    </row>
    <row r="214" spans="2:12" x14ac:dyDescent="0.25">
      <c r="B214" s="42">
        <v>45503</v>
      </c>
      <c r="D214">
        <v>36820.47</v>
      </c>
      <c r="K214" s="42"/>
      <c r="L214" s="14"/>
    </row>
    <row r="215" spans="2:12" x14ac:dyDescent="0.25">
      <c r="B215" s="42">
        <v>45502</v>
      </c>
      <c r="D215">
        <v>36786.300000000003</v>
      </c>
      <c r="K215" s="42"/>
      <c r="L215" s="14"/>
    </row>
    <row r="216" spans="2:12" x14ac:dyDescent="0.25">
      <c r="B216" s="42">
        <v>45499</v>
      </c>
      <c r="D216">
        <v>36784.480000000003</v>
      </c>
      <c r="K216" s="42"/>
      <c r="L216" s="14"/>
    </row>
    <row r="217" spans="2:12" x14ac:dyDescent="0.25">
      <c r="B217" s="42">
        <v>45498</v>
      </c>
      <c r="D217">
        <v>36149.4</v>
      </c>
      <c r="K217" s="42"/>
      <c r="L217" s="14"/>
    </row>
    <row r="218" spans="2:12" x14ac:dyDescent="0.25">
      <c r="B218" s="42">
        <v>45497</v>
      </c>
      <c r="D218">
        <v>36160.36</v>
      </c>
      <c r="K218" s="42"/>
      <c r="L218" s="14"/>
    </row>
    <row r="219" spans="2:12" x14ac:dyDescent="0.25">
      <c r="B219" s="42">
        <v>45496</v>
      </c>
      <c r="D219">
        <v>36257.51</v>
      </c>
      <c r="K219" s="42"/>
      <c r="L219" s="14"/>
    </row>
    <row r="220" spans="2:12" x14ac:dyDescent="0.25">
      <c r="B220" s="42">
        <v>45495</v>
      </c>
      <c r="D220">
        <v>36296.550000000003</v>
      </c>
      <c r="K220" s="42"/>
      <c r="L220" s="14"/>
    </row>
    <row r="221" spans="2:12" x14ac:dyDescent="0.25">
      <c r="B221" s="42">
        <v>45492</v>
      </c>
      <c r="D221">
        <v>36328.6</v>
      </c>
      <c r="K221" s="42"/>
      <c r="L221" s="14"/>
    </row>
    <row r="222" spans="2:12" x14ac:dyDescent="0.25">
      <c r="B222" s="42">
        <v>45491</v>
      </c>
      <c r="D222">
        <v>36723.93</v>
      </c>
      <c r="K222" s="42"/>
      <c r="L222" s="14"/>
    </row>
    <row r="223" spans="2:12" x14ac:dyDescent="0.25">
      <c r="B223" s="42">
        <v>45489</v>
      </c>
      <c r="D223">
        <v>36445.79</v>
      </c>
      <c r="K223" s="42"/>
      <c r="L223" s="14"/>
    </row>
    <row r="224" spans="2:12" x14ac:dyDescent="0.25">
      <c r="B224" s="42">
        <v>45488</v>
      </c>
      <c r="D224">
        <v>36403.86</v>
      </c>
      <c r="K224" s="42"/>
      <c r="L224" s="14"/>
    </row>
    <row r="225" spans="2:12" x14ac:dyDescent="0.25">
      <c r="B225" s="42">
        <v>45485</v>
      </c>
      <c r="D225">
        <v>36278.67</v>
      </c>
      <c r="K225" s="42"/>
      <c r="L225" s="14"/>
    </row>
    <row r="226" spans="2:12" x14ac:dyDescent="0.25">
      <c r="B226" s="42">
        <v>45484</v>
      </c>
      <c r="D226">
        <v>36000.25</v>
      </c>
      <c r="K226" s="42"/>
      <c r="L226" s="14"/>
    </row>
    <row r="227" spans="2:12" x14ac:dyDescent="0.25">
      <c r="B227" s="42">
        <v>45483</v>
      </c>
      <c r="D227">
        <v>36012.82</v>
      </c>
      <c r="K227" s="42"/>
      <c r="L227" s="14"/>
    </row>
    <row r="228" spans="2:12" x14ac:dyDescent="0.25">
      <c r="B228" s="42">
        <v>45482</v>
      </c>
      <c r="D228">
        <v>36173.870000000003</v>
      </c>
      <c r="K228" s="42"/>
      <c r="L228" s="14"/>
    </row>
    <row r="229" spans="2:12" x14ac:dyDescent="0.25">
      <c r="B229" s="42">
        <v>45481</v>
      </c>
      <c r="D229">
        <v>36004.74</v>
      </c>
      <c r="K229" s="42"/>
      <c r="L229" s="14"/>
    </row>
    <row r="230" spans="2:12" x14ac:dyDescent="0.25">
      <c r="B230" s="42">
        <v>45478</v>
      </c>
      <c r="D230">
        <v>36009.61</v>
      </c>
      <c r="K230" s="42"/>
      <c r="L230" s="14"/>
    </row>
    <row r="231" spans="2:12" x14ac:dyDescent="0.25">
      <c r="B231" s="42">
        <v>45477</v>
      </c>
      <c r="D231">
        <v>35970.639999999999</v>
      </c>
      <c r="K231" s="42"/>
      <c r="L231" s="14"/>
    </row>
    <row r="232" spans="2:12" x14ac:dyDescent="0.25">
      <c r="B232" s="42">
        <v>45476</v>
      </c>
      <c r="D232">
        <v>35947.53</v>
      </c>
      <c r="K232" s="42"/>
      <c r="L232" s="14"/>
    </row>
    <row r="233" spans="2:12" x14ac:dyDescent="0.25">
      <c r="B233" s="42">
        <v>45475</v>
      </c>
      <c r="D233">
        <v>35706.769999999997</v>
      </c>
      <c r="K233" s="42"/>
      <c r="L233" s="14"/>
    </row>
    <row r="234" spans="2:12" x14ac:dyDescent="0.25">
      <c r="B234" s="42">
        <v>45474</v>
      </c>
      <c r="D234">
        <v>35733.58</v>
      </c>
      <c r="K234" s="42"/>
      <c r="L234" s="14"/>
    </row>
    <row r="235" spans="2:12" x14ac:dyDescent="0.25">
      <c r="B235" s="42">
        <v>45471</v>
      </c>
      <c r="D235">
        <v>35539.160000000003</v>
      </c>
      <c r="K235" s="42"/>
      <c r="L235" s="14"/>
    </row>
    <row r="236" spans="2:12" x14ac:dyDescent="0.25">
      <c r="B236" s="42">
        <v>45470</v>
      </c>
      <c r="D236">
        <v>35585.620000000003</v>
      </c>
      <c r="K236" s="42"/>
      <c r="L236" s="14"/>
    </row>
    <row r="237" spans="2:12" x14ac:dyDescent="0.25">
      <c r="B237" s="42">
        <v>45469</v>
      </c>
      <c r="D237">
        <v>35324.11</v>
      </c>
      <c r="K237" s="42"/>
      <c r="L237" s="14"/>
    </row>
    <row r="238" spans="2:12" x14ac:dyDescent="0.25">
      <c r="B238" s="42">
        <v>45468</v>
      </c>
      <c r="D238">
        <v>35105.79</v>
      </c>
      <c r="K238" s="42"/>
      <c r="L238" s="14"/>
    </row>
    <row r="239" spans="2:12" x14ac:dyDescent="0.25">
      <c r="B239" s="42">
        <v>45467</v>
      </c>
      <c r="D239">
        <v>34834.33</v>
      </c>
      <c r="K239" s="42"/>
      <c r="L239" s="14"/>
    </row>
    <row r="240" spans="2:12" x14ac:dyDescent="0.25">
      <c r="B240" s="42">
        <v>45464</v>
      </c>
      <c r="D240">
        <v>34779.9</v>
      </c>
      <c r="K240" s="42"/>
      <c r="L240" s="14"/>
    </row>
    <row r="241" spans="2:12" x14ac:dyDescent="0.25">
      <c r="B241" s="42">
        <v>45463</v>
      </c>
      <c r="D241">
        <v>34873.15</v>
      </c>
      <c r="K241" s="42"/>
      <c r="L241" s="14"/>
    </row>
    <row r="242" spans="2:12" x14ac:dyDescent="0.25">
      <c r="B242" s="42">
        <v>45462</v>
      </c>
      <c r="D242">
        <v>34786.58</v>
      </c>
      <c r="K242" s="42"/>
      <c r="L242" s="14"/>
    </row>
    <row r="243" spans="2:12" x14ac:dyDescent="0.25">
      <c r="B243" s="42">
        <v>45461</v>
      </c>
      <c r="D243">
        <v>34847.24</v>
      </c>
      <c r="K243" s="42"/>
      <c r="L243" s="14"/>
    </row>
    <row r="244" spans="2:12" x14ac:dyDescent="0.25">
      <c r="B244" s="42">
        <v>45457</v>
      </c>
      <c r="D244">
        <v>34710.67</v>
      </c>
      <c r="K244" s="42"/>
      <c r="L244" s="14"/>
    </row>
    <row r="245" spans="2:12" x14ac:dyDescent="0.25">
      <c r="B245" s="42">
        <v>45456</v>
      </c>
      <c r="D245">
        <v>34600.19</v>
      </c>
      <c r="K245" s="42"/>
      <c r="L245" s="14"/>
    </row>
    <row r="246" spans="2:12" x14ac:dyDescent="0.25">
      <c r="B246" s="42">
        <v>45455</v>
      </c>
      <c r="D246">
        <v>34487.879999999997</v>
      </c>
      <c r="K246" s="42"/>
      <c r="L246" s="14"/>
    </row>
    <row r="247" spans="2:12" x14ac:dyDescent="0.25">
      <c r="B247" s="42">
        <v>45454</v>
      </c>
      <c r="D247">
        <v>34402</v>
      </c>
      <c r="K247" s="42"/>
      <c r="L247" s="14"/>
    </row>
    <row r="248" spans="2:12" x14ac:dyDescent="0.25">
      <c r="B248" s="42">
        <v>45453</v>
      </c>
      <c r="D248">
        <v>34385.839999999997</v>
      </c>
      <c r="K248" s="42"/>
      <c r="L248" s="14"/>
    </row>
    <row r="249" spans="2:12" x14ac:dyDescent="0.25">
      <c r="B249" s="42">
        <v>45450</v>
      </c>
      <c r="D249">
        <v>34431.61</v>
      </c>
      <c r="K249" s="42"/>
      <c r="L249" s="14"/>
    </row>
    <row r="250" spans="2:12" x14ac:dyDescent="0.25">
      <c r="B250" s="42">
        <v>45449</v>
      </c>
      <c r="D250">
        <v>33738.58</v>
      </c>
      <c r="K250" s="42"/>
      <c r="L250" s="14"/>
    </row>
    <row r="251" spans="2:12" x14ac:dyDescent="0.25">
      <c r="B251" s="42">
        <v>45448</v>
      </c>
      <c r="D251">
        <v>33441.4</v>
      </c>
      <c r="K251" s="42"/>
      <c r="L251" s="14"/>
    </row>
    <row r="252" spans="2:12" x14ac:dyDescent="0.25">
      <c r="B252" s="42">
        <v>45447</v>
      </c>
      <c r="D252">
        <v>32353.5</v>
      </c>
      <c r="K252" s="42"/>
      <c r="L252" s="14"/>
    </row>
    <row r="253" spans="2:12" x14ac:dyDescent="0.25">
      <c r="B253" s="42">
        <v>45446</v>
      </c>
      <c r="D253">
        <v>34369.129999999997</v>
      </c>
      <c r="K253" s="42"/>
      <c r="L253" s="14"/>
    </row>
    <row r="254" spans="2:12" x14ac:dyDescent="0.25">
      <c r="B254" s="42">
        <v>45443</v>
      </c>
      <c r="D254">
        <v>33285.9</v>
      </c>
      <c r="K254" s="42"/>
      <c r="L254" s="14"/>
    </row>
    <row r="255" spans="2:12" x14ac:dyDescent="0.25">
      <c r="B255" s="42">
        <v>45442</v>
      </c>
      <c r="D255">
        <v>33190.35</v>
      </c>
      <c r="K255" s="42"/>
      <c r="L255" s="14"/>
    </row>
    <row r="256" spans="2:12" x14ac:dyDescent="0.25">
      <c r="B256" s="42">
        <v>45441</v>
      </c>
      <c r="D256">
        <v>33509.230000000003</v>
      </c>
      <c r="K256" s="42"/>
      <c r="L256" s="14"/>
    </row>
    <row r="257" spans="2:12" x14ac:dyDescent="0.25">
      <c r="B257" s="42">
        <v>45440</v>
      </c>
      <c r="D257">
        <v>33780.01</v>
      </c>
      <c r="K257" s="42"/>
      <c r="L257" s="14"/>
    </row>
    <row r="258" spans="2:12" x14ac:dyDescent="0.25">
      <c r="B258" s="42">
        <v>45439</v>
      </c>
      <c r="D258">
        <v>33845.39</v>
      </c>
      <c r="K258" s="42"/>
      <c r="L258" s="14"/>
    </row>
    <row r="259" spans="2:12" x14ac:dyDescent="0.25">
      <c r="B259" s="42">
        <v>45436</v>
      </c>
      <c r="D259">
        <v>33881.75</v>
      </c>
      <c r="K259" s="42"/>
      <c r="L259" s="14"/>
    </row>
    <row r="260" spans="2:12" x14ac:dyDescent="0.25">
      <c r="B260" s="42">
        <v>45435</v>
      </c>
      <c r="D260">
        <v>33895.660000000003</v>
      </c>
      <c r="K260" s="42"/>
      <c r="L260" s="14"/>
    </row>
    <row r="261" spans="2:12" x14ac:dyDescent="0.25">
      <c r="B261" s="42">
        <v>45434</v>
      </c>
      <c r="D261">
        <v>33349.839999999997</v>
      </c>
      <c r="K261" s="42"/>
      <c r="L261" s="14"/>
    </row>
    <row r="262" spans="2:12" x14ac:dyDescent="0.25">
      <c r="B262" s="42">
        <v>45433</v>
      </c>
      <c r="D262">
        <v>33230.839999999997</v>
      </c>
      <c r="K262" s="42"/>
      <c r="L262" s="14"/>
    </row>
    <row r="263" spans="2:12" x14ac:dyDescent="0.25">
      <c r="B263" s="42">
        <v>45430</v>
      </c>
      <c r="D263">
        <v>33190.97</v>
      </c>
      <c r="K263" s="42"/>
      <c r="L263" s="14"/>
    </row>
    <row r="264" spans="2:12" x14ac:dyDescent="0.25">
      <c r="B264" s="42">
        <v>45429</v>
      </c>
      <c r="D264">
        <v>33138.019999999997</v>
      </c>
      <c r="K264" s="42"/>
      <c r="L264" s="14"/>
    </row>
    <row r="265" spans="2:12" x14ac:dyDescent="0.25">
      <c r="B265" s="42">
        <v>45428</v>
      </c>
      <c r="D265">
        <v>33046.160000000003</v>
      </c>
      <c r="K265" s="42"/>
      <c r="L265" s="14"/>
    </row>
    <row r="266" spans="2:12" x14ac:dyDescent="0.25">
      <c r="B266" s="42">
        <v>45427</v>
      </c>
      <c r="D266">
        <v>32736.91</v>
      </c>
      <c r="K266" s="42"/>
      <c r="L266" s="14"/>
    </row>
    <row r="267" spans="2:12" x14ac:dyDescent="0.25">
      <c r="B267" s="42">
        <v>45426</v>
      </c>
      <c r="D267">
        <v>32762.37</v>
      </c>
      <c r="K267" s="42"/>
      <c r="L267" s="14"/>
    </row>
    <row r="268" spans="2:12" x14ac:dyDescent="0.25">
      <c r="B268" s="42">
        <v>45425</v>
      </c>
      <c r="D268">
        <v>32594.61</v>
      </c>
      <c r="K268" s="42"/>
      <c r="L268" s="14"/>
    </row>
    <row r="269" spans="2:12" x14ac:dyDescent="0.25">
      <c r="B269" s="42">
        <v>45422</v>
      </c>
      <c r="D269">
        <v>32522.55</v>
      </c>
      <c r="K269" s="42"/>
      <c r="L269" s="14"/>
    </row>
    <row r="270" spans="2:12" x14ac:dyDescent="0.25">
      <c r="B270" s="42">
        <v>45421</v>
      </c>
      <c r="D270">
        <v>32329.72</v>
      </c>
      <c r="K270" s="42"/>
      <c r="L270" s="14"/>
    </row>
    <row r="271" spans="2:12" x14ac:dyDescent="0.25">
      <c r="B271" s="42">
        <v>45420</v>
      </c>
      <c r="D271">
        <v>32837.65</v>
      </c>
      <c r="K271" s="42"/>
      <c r="L271" s="14"/>
    </row>
    <row r="272" spans="2:12" x14ac:dyDescent="0.25">
      <c r="B272" s="42">
        <v>45419</v>
      </c>
      <c r="D272">
        <v>32837.71</v>
      </c>
      <c r="K272" s="42"/>
      <c r="L272" s="14"/>
    </row>
    <row r="273" spans="2:12" x14ac:dyDescent="0.25">
      <c r="B273" s="42">
        <v>45418</v>
      </c>
      <c r="D273">
        <v>33037.730000000003</v>
      </c>
      <c r="K273" s="42"/>
      <c r="L273" s="14"/>
    </row>
    <row r="274" spans="2:12" x14ac:dyDescent="0.25">
      <c r="B274" s="42">
        <v>45415</v>
      </c>
      <c r="D274">
        <v>33086.51</v>
      </c>
      <c r="K274" s="42"/>
      <c r="L274" s="14"/>
    </row>
    <row r="275" spans="2:12" x14ac:dyDescent="0.25">
      <c r="B275" s="42">
        <v>45414</v>
      </c>
      <c r="D275">
        <v>33340.199999999997</v>
      </c>
      <c r="K275" s="42"/>
      <c r="L275" s="14"/>
    </row>
    <row r="276" spans="2:12" x14ac:dyDescent="0.25">
      <c r="B276" s="42">
        <v>45412</v>
      </c>
      <c r="D276">
        <v>33276.410000000003</v>
      </c>
      <c r="K276" s="42"/>
      <c r="L276" s="14"/>
    </row>
    <row r="277" spans="2:12" x14ac:dyDescent="0.25">
      <c r="B277" s="42">
        <v>45411</v>
      </c>
      <c r="D277">
        <v>33333.120000000003</v>
      </c>
      <c r="K277" s="42"/>
      <c r="L277" s="14"/>
    </row>
    <row r="278" spans="2:12" x14ac:dyDescent="0.25">
      <c r="B278" s="42">
        <v>45408</v>
      </c>
      <c r="D278">
        <v>33004.19</v>
      </c>
      <c r="K278" s="42"/>
      <c r="L278" s="14"/>
    </row>
    <row r="279" spans="2:12" x14ac:dyDescent="0.25">
      <c r="B279" s="42">
        <v>45407</v>
      </c>
      <c r="D279">
        <v>33225.64</v>
      </c>
      <c r="K279" s="42"/>
      <c r="L279" s="14"/>
    </row>
    <row r="280" spans="2:12" x14ac:dyDescent="0.25">
      <c r="B280" s="42">
        <v>45406</v>
      </c>
      <c r="D280">
        <v>32978.370000000003</v>
      </c>
      <c r="K280" s="42"/>
      <c r="L280" s="14"/>
    </row>
    <row r="281" spans="2:12" x14ac:dyDescent="0.25">
      <c r="B281" s="42">
        <v>45405</v>
      </c>
      <c r="D281">
        <v>32927.730000000003</v>
      </c>
      <c r="K281" s="42"/>
      <c r="L281" s="14"/>
    </row>
    <row r="282" spans="2:12" x14ac:dyDescent="0.25">
      <c r="B282" s="42">
        <v>45404</v>
      </c>
      <c r="D282">
        <v>32881.22</v>
      </c>
      <c r="K282" s="42"/>
      <c r="L282" s="14"/>
    </row>
    <row r="283" spans="2:12" x14ac:dyDescent="0.25">
      <c r="B283" s="42">
        <v>45401</v>
      </c>
      <c r="D283">
        <v>32602.42</v>
      </c>
      <c r="K283" s="42"/>
      <c r="L283" s="14"/>
    </row>
    <row r="284" spans="2:12" x14ac:dyDescent="0.25">
      <c r="B284" s="42">
        <v>45400</v>
      </c>
      <c r="D284">
        <v>32379.9</v>
      </c>
      <c r="K284" s="42"/>
      <c r="L284" s="14"/>
    </row>
    <row r="285" spans="2:12" x14ac:dyDescent="0.25">
      <c r="B285" s="42">
        <v>45398</v>
      </c>
      <c r="D285">
        <v>32603.74</v>
      </c>
      <c r="K285" s="42"/>
      <c r="L285" s="14"/>
    </row>
    <row r="286" spans="2:12" x14ac:dyDescent="0.25">
      <c r="B286" s="42">
        <v>45397</v>
      </c>
      <c r="D286">
        <v>32787.15</v>
      </c>
      <c r="K286" s="42"/>
      <c r="L286" s="14"/>
    </row>
    <row r="287" spans="2:12" x14ac:dyDescent="0.25">
      <c r="B287" s="42">
        <v>45394</v>
      </c>
      <c r="D287">
        <v>33150.589999999997</v>
      </c>
      <c r="K287" s="42"/>
      <c r="L287" s="14"/>
    </row>
    <row r="288" spans="2:12" x14ac:dyDescent="0.25">
      <c r="B288" s="42">
        <v>45392</v>
      </c>
      <c r="D288">
        <v>33495.65</v>
      </c>
      <c r="K288" s="42"/>
      <c r="L288" s="14"/>
    </row>
    <row r="289" spans="2:12" x14ac:dyDescent="0.25">
      <c r="B289" s="42">
        <v>45391</v>
      </c>
      <c r="D289">
        <v>33332.19</v>
      </c>
      <c r="K289" s="42"/>
      <c r="L289" s="14"/>
    </row>
    <row r="290" spans="2:12" x14ac:dyDescent="0.25">
      <c r="B290" s="42">
        <v>45390</v>
      </c>
      <c r="D290">
        <v>33366.870000000003</v>
      </c>
      <c r="K290" s="42"/>
      <c r="L290" s="14"/>
    </row>
    <row r="291" spans="2:12" x14ac:dyDescent="0.25">
      <c r="B291" s="42">
        <v>45387</v>
      </c>
      <c r="D291">
        <v>33142.19</v>
      </c>
      <c r="K291" s="42"/>
      <c r="L291" s="14"/>
    </row>
    <row r="292" spans="2:12" x14ac:dyDescent="0.25">
      <c r="B292" s="42">
        <v>45386</v>
      </c>
      <c r="D292">
        <v>33143.589999999997</v>
      </c>
      <c r="K292" s="42"/>
      <c r="L292" s="14"/>
    </row>
    <row r="293" spans="2:12" x14ac:dyDescent="0.25">
      <c r="B293" s="42">
        <v>45385</v>
      </c>
      <c r="D293">
        <v>33025.82</v>
      </c>
      <c r="K293" s="42"/>
      <c r="L293" s="14"/>
    </row>
    <row r="294" spans="2:12" x14ac:dyDescent="0.25">
      <c r="B294" s="42">
        <v>45384</v>
      </c>
      <c r="D294">
        <v>33053.33</v>
      </c>
      <c r="K294" s="42"/>
      <c r="L294" s="14"/>
    </row>
    <row r="295" spans="2:12" x14ac:dyDescent="0.25">
      <c r="B295" s="42">
        <v>45383</v>
      </c>
      <c r="D295">
        <v>33066.129999999997</v>
      </c>
      <c r="K295" s="42"/>
      <c r="L295" s="14"/>
    </row>
    <row r="296" spans="2:12" x14ac:dyDescent="0.25">
      <c r="B296" s="42">
        <v>45379</v>
      </c>
      <c r="D296">
        <v>32867.230000000003</v>
      </c>
      <c r="K296" s="42"/>
      <c r="L296" s="14"/>
    </row>
    <row r="297" spans="2:12" x14ac:dyDescent="0.25">
      <c r="B297" s="42">
        <v>45378</v>
      </c>
      <c r="D297">
        <v>32568.01</v>
      </c>
      <c r="K297" s="42"/>
      <c r="L297" s="14"/>
    </row>
    <row r="298" spans="2:12" x14ac:dyDescent="0.25">
      <c r="B298" s="42">
        <v>45377</v>
      </c>
      <c r="D298">
        <v>32392.94</v>
      </c>
      <c r="K298" s="42"/>
      <c r="L298" s="14"/>
    </row>
    <row r="299" spans="2:12" x14ac:dyDescent="0.25">
      <c r="B299" s="42">
        <v>45373</v>
      </c>
      <c r="D299">
        <v>32528.43</v>
      </c>
      <c r="K299" s="42"/>
      <c r="L299" s="14"/>
    </row>
    <row r="300" spans="2:12" x14ac:dyDescent="0.25">
      <c r="B300" s="42">
        <v>45372</v>
      </c>
      <c r="D300">
        <v>32403.599999999999</v>
      </c>
      <c r="K300" s="42"/>
      <c r="L300" s="14"/>
    </row>
    <row r="301" spans="2:12" x14ac:dyDescent="0.25">
      <c r="B301" s="42">
        <v>45371</v>
      </c>
      <c r="D301">
        <v>32149.17</v>
      </c>
      <c r="K301" s="42"/>
      <c r="L301" s="14"/>
    </row>
    <row r="302" spans="2:12" x14ac:dyDescent="0.25">
      <c r="B302" s="42">
        <v>45370</v>
      </c>
      <c r="D302">
        <v>32117.3</v>
      </c>
      <c r="K302" s="42"/>
      <c r="L302" s="14"/>
    </row>
    <row r="303" spans="2:12" x14ac:dyDescent="0.25">
      <c r="B303" s="42">
        <v>45369</v>
      </c>
      <c r="D303">
        <v>32468</v>
      </c>
      <c r="K303" s="42"/>
      <c r="L303" s="14"/>
    </row>
    <row r="304" spans="2:12" x14ac:dyDescent="0.25">
      <c r="B304" s="42">
        <v>45366</v>
      </c>
      <c r="D304">
        <v>32420.41</v>
      </c>
      <c r="K304" s="42"/>
      <c r="L304" s="14"/>
    </row>
    <row r="305" spans="2:12" x14ac:dyDescent="0.25">
      <c r="B305" s="42">
        <v>45365</v>
      </c>
      <c r="D305">
        <v>32601.49</v>
      </c>
      <c r="K305" s="42"/>
      <c r="L305" s="14"/>
    </row>
    <row r="306" spans="2:12" x14ac:dyDescent="0.25">
      <c r="B306" s="42">
        <v>45364</v>
      </c>
      <c r="D306">
        <v>32382.22</v>
      </c>
      <c r="K306" s="42"/>
      <c r="L306" s="14"/>
    </row>
    <row r="307" spans="2:12" x14ac:dyDescent="0.25">
      <c r="B307" s="42">
        <v>45363</v>
      </c>
      <c r="D307">
        <v>32879.74</v>
      </c>
      <c r="K307" s="42"/>
      <c r="L307" s="14"/>
    </row>
    <row r="308" spans="2:12" x14ac:dyDescent="0.25">
      <c r="B308" s="42">
        <v>45362</v>
      </c>
      <c r="D308">
        <v>32875.25</v>
      </c>
      <c r="K308" s="42"/>
      <c r="L308" s="14"/>
    </row>
    <row r="309" spans="2:12" x14ac:dyDescent="0.25">
      <c r="B309" s="42">
        <v>45358</v>
      </c>
      <c r="D309">
        <v>33112.15</v>
      </c>
      <c r="K309" s="42"/>
      <c r="L309" s="14"/>
    </row>
    <row r="310" spans="2:12" x14ac:dyDescent="0.25">
      <c r="B310" s="42">
        <v>45357</v>
      </c>
      <c r="D310">
        <v>33083.42</v>
      </c>
      <c r="K310" s="42"/>
      <c r="L310" s="14"/>
    </row>
    <row r="311" spans="2:12" x14ac:dyDescent="0.25">
      <c r="B311" s="42">
        <v>45356</v>
      </c>
      <c r="D311">
        <v>32910.07</v>
      </c>
      <c r="K311" s="42"/>
      <c r="L311" s="14"/>
    </row>
    <row r="312" spans="2:12" x14ac:dyDescent="0.25">
      <c r="B312" s="42">
        <v>45355</v>
      </c>
      <c r="D312">
        <v>32982.68</v>
      </c>
      <c r="K312" s="42"/>
      <c r="L312" s="14"/>
    </row>
    <row r="313" spans="2:12" x14ac:dyDescent="0.25">
      <c r="B313" s="42">
        <v>45353</v>
      </c>
      <c r="D313">
        <v>32942.629999999997</v>
      </c>
      <c r="K313" s="42"/>
      <c r="L313" s="14"/>
    </row>
    <row r="314" spans="2:12" x14ac:dyDescent="0.25">
      <c r="B314" s="42">
        <v>45352</v>
      </c>
      <c r="D314">
        <v>32884.29</v>
      </c>
      <c r="K314" s="42"/>
      <c r="L314" s="14"/>
    </row>
    <row r="315" spans="2:12" x14ac:dyDescent="0.25">
      <c r="B315" s="42">
        <v>45351</v>
      </c>
      <c r="D315">
        <v>32360.25</v>
      </c>
      <c r="K315" s="42"/>
      <c r="L315" s="14"/>
    </row>
    <row r="316" spans="2:12" x14ac:dyDescent="0.25">
      <c r="B316" s="42">
        <v>45350</v>
      </c>
      <c r="D316">
        <v>32313.7</v>
      </c>
      <c r="K316" s="42"/>
      <c r="L316" s="14"/>
    </row>
    <row r="317" spans="2:12" x14ac:dyDescent="0.25">
      <c r="B317" s="42">
        <v>45349</v>
      </c>
      <c r="D317">
        <v>32677.61</v>
      </c>
      <c r="K317" s="42"/>
      <c r="L317" s="14"/>
    </row>
    <row r="318" spans="2:12" x14ac:dyDescent="0.25">
      <c r="B318" s="42">
        <v>45348</v>
      </c>
      <c r="D318">
        <v>32565.29</v>
      </c>
      <c r="K318" s="42"/>
      <c r="L318" s="14"/>
    </row>
    <row r="319" spans="2:12" x14ac:dyDescent="0.25">
      <c r="B319" s="42">
        <v>45345</v>
      </c>
      <c r="D319">
        <v>32698.69</v>
      </c>
      <c r="K319" s="42"/>
      <c r="L319" s="14"/>
    </row>
    <row r="320" spans="2:12" x14ac:dyDescent="0.25">
      <c r="B320" s="42">
        <v>45344</v>
      </c>
      <c r="D320">
        <v>32705.7</v>
      </c>
      <c r="K320" s="42"/>
      <c r="L320" s="14"/>
    </row>
    <row r="321" spans="2:12" x14ac:dyDescent="0.25">
      <c r="B321" s="42">
        <v>45343</v>
      </c>
      <c r="D321">
        <v>32466.65</v>
      </c>
      <c r="K321" s="42"/>
      <c r="L321" s="14"/>
    </row>
    <row r="322" spans="2:12" x14ac:dyDescent="0.25">
      <c r="B322" s="42">
        <v>45342</v>
      </c>
      <c r="D322">
        <v>32675.53</v>
      </c>
      <c r="K322" s="42"/>
      <c r="L322" s="14"/>
    </row>
    <row r="323" spans="2:12" x14ac:dyDescent="0.25">
      <c r="B323" s="42">
        <v>45341</v>
      </c>
      <c r="D323">
        <v>32561.34</v>
      </c>
      <c r="K323" s="42"/>
      <c r="L323" s="14"/>
    </row>
    <row r="324" spans="2:12" x14ac:dyDescent="0.25">
      <c r="B324" s="42">
        <v>45338</v>
      </c>
      <c r="D324">
        <v>32441.32</v>
      </c>
      <c r="K324" s="42"/>
      <c r="L324" s="14"/>
    </row>
    <row r="325" spans="2:12" x14ac:dyDescent="0.25">
      <c r="B325" s="42">
        <v>45337</v>
      </c>
      <c r="D325">
        <v>32244.79</v>
      </c>
      <c r="K325" s="42"/>
      <c r="L325" s="14"/>
    </row>
    <row r="326" spans="2:12" x14ac:dyDescent="0.25">
      <c r="B326" s="42">
        <v>45336</v>
      </c>
      <c r="D326">
        <v>32133.040000000001</v>
      </c>
      <c r="K326" s="42"/>
      <c r="L326" s="14"/>
    </row>
    <row r="327" spans="2:12" x14ac:dyDescent="0.25">
      <c r="B327" s="42">
        <v>45335</v>
      </c>
      <c r="D327">
        <v>31990.61</v>
      </c>
      <c r="K327" s="42"/>
      <c r="L327" s="14"/>
    </row>
    <row r="328" spans="2:12" x14ac:dyDescent="0.25">
      <c r="B328" s="42">
        <v>45334</v>
      </c>
      <c r="D328">
        <v>31803.52</v>
      </c>
      <c r="K328" s="42"/>
      <c r="L328" s="14"/>
    </row>
    <row r="329" spans="2:12" x14ac:dyDescent="0.25">
      <c r="B329" s="42">
        <v>45331</v>
      </c>
      <c r="D329">
        <v>32048.38</v>
      </c>
      <c r="K329" s="42"/>
      <c r="L329" s="14"/>
    </row>
    <row r="330" spans="2:12" x14ac:dyDescent="0.25">
      <c r="B330" s="42">
        <v>45330</v>
      </c>
      <c r="D330">
        <v>31950.32</v>
      </c>
      <c r="K330" s="42"/>
      <c r="L330" s="14"/>
    </row>
    <row r="331" spans="2:12" x14ac:dyDescent="0.25">
      <c r="B331" s="42">
        <v>45329</v>
      </c>
      <c r="D331">
        <v>32244.22</v>
      </c>
      <c r="K331" s="42"/>
      <c r="L331" s="14"/>
    </row>
    <row r="332" spans="2:12" x14ac:dyDescent="0.25">
      <c r="B332" s="42">
        <v>45328</v>
      </c>
      <c r="D332">
        <v>32242.59</v>
      </c>
      <c r="K332" s="42"/>
      <c r="L332" s="14"/>
    </row>
    <row r="333" spans="2:12" x14ac:dyDescent="0.25">
      <c r="B333" s="42">
        <v>45327</v>
      </c>
      <c r="D333">
        <v>32007.18</v>
      </c>
      <c r="K333" s="42"/>
      <c r="L333" s="14"/>
    </row>
    <row r="334" spans="2:12" x14ac:dyDescent="0.25">
      <c r="B334" s="42">
        <v>45324</v>
      </c>
      <c r="D334">
        <v>32127.9</v>
      </c>
      <c r="K334" s="42"/>
      <c r="L334" s="14"/>
    </row>
    <row r="335" spans="2:12" x14ac:dyDescent="0.25">
      <c r="B335" s="42">
        <v>45323</v>
      </c>
      <c r="D335">
        <v>31898.06</v>
      </c>
      <c r="K335" s="42"/>
      <c r="L335" s="14"/>
    </row>
    <row r="336" spans="2:12" x14ac:dyDescent="0.25">
      <c r="B336" s="42">
        <v>45322</v>
      </c>
      <c r="D336">
        <v>31939.59</v>
      </c>
      <c r="K336" s="42"/>
      <c r="L336" s="14"/>
    </row>
    <row r="337" spans="2:12" x14ac:dyDescent="0.25">
      <c r="B337" s="42">
        <v>45321</v>
      </c>
      <c r="D337">
        <v>31640.240000000002</v>
      </c>
      <c r="K337" s="42"/>
      <c r="L337" s="14"/>
    </row>
    <row r="338" spans="2:12" x14ac:dyDescent="0.25">
      <c r="B338" s="42">
        <v>45320</v>
      </c>
      <c r="D338">
        <v>31957.05</v>
      </c>
      <c r="K338" s="42"/>
      <c r="L338" s="14"/>
    </row>
    <row r="339" spans="2:12" x14ac:dyDescent="0.25">
      <c r="B339" s="42">
        <v>45316</v>
      </c>
      <c r="D339">
        <v>31391.07</v>
      </c>
      <c r="K339" s="42"/>
      <c r="L339" s="14"/>
    </row>
    <row r="340" spans="2:12" x14ac:dyDescent="0.25">
      <c r="B340" s="42">
        <v>45315</v>
      </c>
      <c r="D340">
        <v>31540.07</v>
      </c>
      <c r="K340" s="42"/>
      <c r="L340" s="14"/>
    </row>
    <row r="341" spans="2:12" x14ac:dyDescent="0.25">
      <c r="B341" s="42">
        <v>45314</v>
      </c>
      <c r="D341">
        <v>31223.3</v>
      </c>
      <c r="K341" s="42"/>
      <c r="L341" s="14"/>
    </row>
    <row r="342" spans="2:12" x14ac:dyDescent="0.25">
      <c r="B342" s="42">
        <v>45311</v>
      </c>
      <c r="D342">
        <v>31712.86</v>
      </c>
      <c r="K342" s="42"/>
      <c r="L342" s="14"/>
    </row>
    <row r="343" spans="2:12" x14ac:dyDescent="0.25">
      <c r="B343" s="42">
        <v>45310</v>
      </c>
      <c r="D343">
        <v>31787.24</v>
      </c>
      <c r="K343" s="42"/>
      <c r="L343" s="14"/>
    </row>
    <row r="344" spans="2:12" x14ac:dyDescent="0.25">
      <c r="B344" s="42">
        <v>45309</v>
      </c>
      <c r="D344">
        <v>31538.400000000001</v>
      </c>
      <c r="K344" s="42"/>
      <c r="L344" s="14"/>
    </row>
    <row r="345" spans="2:12" x14ac:dyDescent="0.25">
      <c r="B345" s="42">
        <v>45308</v>
      </c>
      <c r="D345">
        <v>31699.64</v>
      </c>
      <c r="K345" s="42"/>
      <c r="L345" s="14"/>
    </row>
    <row r="346" spans="2:12" x14ac:dyDescent="0.25">
      <c r="B346" s="42">
        <v>45307</v>
      </c>
      <c r="D346">
        <v>32376.1</v>
      </c>
      <c r="K346" s="42"/>
      <c r="L346" s="14"/>
    </row>
    <row r="347" spans="2:12" x14ac:dyDescent="0.25">
      <c r="B347" s="42">
        <v>45306</v>
      </c>
      <c r="D347">
        <v>32471.8</v>
      </c>
      <c r="K347" s="42"/>
      <c r="L347" s="14"/>
    </row>
    <row r="348" spans="2:12" x14ac:dyDescent="0.25">
      <c r="B348" s="42">
        <v>45303</v>
      </c>
      <c r="D348">
        <v>32173.66</v>
      </c>
      <c r="K348" s="42"/>
      <c r="L348" s="14"/>
    </row>
    <row r="349" spans="2:12" x14ac:dyDescent="0.25">
      <c r="B349" s="42">
        <v>45302</v>
      </c>
      <c r="D349">
        <v>31810.18</v>
      </c>
      <c r="K349" s="42"/>
      <c r="L349" s="14"/>
    </row>
    <row r="350" spans="2:12" x14ac:dyDescent="0.25">
      <c r="B350" s="42">
        <v>45301</v>
      </c>
      <c r="D350">
        <v>31768.3</v>
      </c>
      <c r="K350" s="42"/>
      <c r="L350" s="14"/>
    </row>
    <row r="351" spans="2:12" x14ac:dyDescent="0.25">
      <c r="B351" s="42">
        <v>45300</v>
      </c>
      <c r="D351">
        <v>31659.81</v>
      </c>
      <c r="K351" s="42"/>
      <c r="L351" s="14"/>
    </row>
    <row r="352" spans="2:12" x14ac:dyDescent="0.25">
      <c r="B352" s="42">
        <v>45299</v>
      </c>
      <c r="D352">
        <v>31613.01</v>
      </c>
      <c r="K352" s="42"/>
      <c r="L352" s="14"/>
    </row>
    <row r="353" spans="2:12" x14ac:dyDescent="0.25">
      <c r="B353" s="42">
        <v>45296</v>
      </c>
      <c r="D353">
        <v>31903.69</v>
      </c>
      <c r="K353" s="42"/>
      <c r="L353" s="14"/>
    </row>
    <row r="354" spans="2:12" x14ac:dyDescent="0.25">
      <c r="B354" s="42">
        <v>45295</v>
      </c>
      <c r="D354">
        <v>31826.97</v>
      </c>
      <c r="K354" s="42"/>
      <c r="L354" s="14"/>
    </row>
    <row r="355" spans="2:12" x14ac:dyDescent="0.25">
      <c r="B355" s="42">
        <v>45294</v>
      </c>
      <c r="D355">
        <v>31619.360000000001</v>
      </c>
      <c r="K355" s="42"/>
      <c r="L355" s="14"/>
    </row>
    <row r="356" spans="2:12" x14ac:dyDescent="0.25">
      <c r="B356" s="42">
        <v>45293</v>
      </c>
      <c r="D356">
        <v>31837.56</v>
      </c>
      <c r="K356" s="42"/>
      <c r="L356" s="14"/>
    </row>
    <row r="357" spans="2:12" x14ac:dyDescent="0.25">
      <c r="B357" s="42">
        <v>45292</v>
      </c>
      <c r="D357">
        <v>31949.360000000001</v>
      </c>
      <c r="K357" s="42"/>
      <c r="L357" s="14"/>
    </row>
    <row r="358" spans="2:12" x14ac:dyDescent="0.25">
      <c r="B358" s="42">
        <v>45289</v>
      </c>
      <c r="D358">
        <v>31933.93</v>
      </c>
      <c r="K358" s="42"/>
      <c r="L358" s="14"/>
    </row>
    <row r="359" spans="2:12" x14ac:dyDescent="0.25">
      <c r="B359" s="42">
        <v>45288</v>
      </c>
      <c r="D359">
        <v>32003.47</v>
      </c>
      <c r="K359" s="42"/>
      <c r="L359" s="14"/>
    </row>
    <row r="360" spans="2:12" x14ac:dyDescent="0.25">
      <c r="B360" s="42">
        <v>45287</v>
      </c>
      <c r="D360">
        <v>31821.31</v>
      </c>
      <c r="K360" s="42"/>
      <c r="L360" s="14"/>
    </row>
    <row r="361" spans="2:12" x14ac:dyDescent="0.25">
      <c r="B361" s="42">
        <v>45286</v>
      </c>
      <c r="D361">
        <v>31507.69</v>
      </c>
      <c r="K361" s="42"/>
      <c r="L361" s="14"/>
    </row>
    <row r="362" spans="2:12" x14ac:dyDescent="0.25">
      <c r="B362" s="42">
        <v>45282</v>
      </c>
      <c r="D362">
        <v>31372.6</v>
      </c>
      <c r="K362" s="42"/>
      <c r="L362" s="14"/>
    </row>
    <row r="363" spans="2:12" x14ac:dyDescent="0.25">
      <c r="B363" s="42">
        <v>45281</v>
      </c>
      <c r="D363">
        <v>31233.93</v>
      </c>
      <c r="K363" s="42"/>
      <c r="L363" s="14"/>
    </row>
    <row r="364" spans="2:12" x14ac:dyDescent="0.25">
      <c r="B364" s="42">
        <v>45280</v>
      </c>
      <c r="D364">
        <v>31079.759999999998</v>
      </c>
      <c r="K364" s="42"/>
      <c r="L364" s="14"/>
    </row>
    <row r="365" spans="2:12" x14ac:dyDescent="0.25">
      <c r="B365" s="42">
        <v>45279</v>
      </c>
      <c r="D365">
        <v>31525</v>
      </c>
      <c r="K365" s="42"/>
      <c r="L365" s="14"/>
    </row>
    <row r="366" spans="2:12" x14ac:dyDescent="0.25">
      <c r="B366" s="42">
        <v>45278</v>
      </c>
      <c r="D366">
        <v>31474.35</v>
      </c>
      <c r="K366" s="42"/>
      <c r="L366" s="14"/>
    </row>
    <row r="367" spans="2:12" x14ac:dyDescent="0.25">
      <c r="B367" s="42">
        <v>45275</v>
      </c>
      <c r="D367">
        <v>31530.19</v>
      </c>
      <c r="K367" s="42"/>
      <c r="L367" s="14"/>
    </row>
    <row r="368" spans="2:12" x14ac:dyDescent="0.25">
      <c r="B368" s="42">
        <v>45274</v>
      </c>
      <c r="D368">
        <v>31127.599999999999</v>
      </c>
      <c r="K368" s="42"/>
      <c r="L368" s="14"/>
    </row>
    <row r="369" spans="2:12" x14ac:dyDescent="0.25">
      <c r="B369" s="42">
        <v>45273</v>
      </c>
      <c r="D369">
        <v>30750.95</v>
      </c>
      <c r="K369" s="42"/>
      <c r="L369" s="14"/>
    </row>
    <row r="370" spans="2:12" x14ac:dyDescent="0.25">
      <c r="B370" s="42">
        <v>45272</v>
      </c>
      <c r="D370">
        <v>30721.59</v>
      </c>
      <c r="K370" s="42"/>
      <c r="L370" s="14"/>
    </row>
    <row r="371" spans="2:12" x14ac:dyDescent="0.25">
      <c r="B371" s="42">
        <v>45271</v>
      </c>
      <c r="D371">
        <v>30854.9</v>
      </c>
      <c r="K371" s="42"/>
      <c r="L371" s="14"/>
    </row>
    <row r="372" spans="2:12" x14ac:dyDescent="0.25">
      <c r="B372" s="42">
        <v>45268</v>
      </c>
      <c r="D372">
        <v>30814.15</v>
      </c>
      <c r="K372" s="42"/>
      <c r="L372" s="14"/>
    </row>
    <row r="373" spans="2:12" x14ac:dyDescent="0.25">
      <c r="B373" s="42">
        <v>45267</v>
      </c>
      <c r="D373">
        <v>30713.86</v>
      </c>
      <c r="K373" s="42"/>
      <c r="L373" s="14"/>
    </row>
    <row r="374" spans="2:12" x14ac:dyDescent="0.25">
      <c r="B374" s="42">
        <v>45266</v>
      </c>
      <c r="D374">
        <v>30767.599999999999</v>
      </c>
      <c r="K374" s="42"/>
      <c r="L374" s="14"/>
    </row>
    <row r="375" spans="2:12" x14ac:dyDescent="0.25">
      <c r="B375" s="42">
        <v>45265</v>
      </c>
      <c r="D375">
        <v>30646.19</v>
      </c>
      <c r="K375" s="42"/>
      <c r="L375" s="14"/>
    </row>
    <row r="376" spans="2:12" x14ac:dyDescent="0.25">
      <c r="B376" s="42">
        <v>45264</v>
      </c>
      <c r="D376">
        <v>30398.91</v>
      </c>
      <c r="K376" s="42"/>
      <c r="L376" s="14"/>
    </row>
    <row r="377" spans="2:12" x14ac:dyDescent="0.25">
      <c r="B377" s="42">
        <v>45261</v>
      </c>
      <c r="D377">
        <v>29783.34</v>
      </c>
      <c r="K377" s="42"/>
      <c r="L377" s="14"/>
    </row>
    <row r="378" spans="2:12" x14ac:dyDescent="0.25">
      <c r="B378" s="42">
        <v>45260</v>
      </c>
      <c r="D378">
        <v>29585.360000000001</v>
      </c>
      <c r="K378" s="42"/>
      <c r="L378" s="14"/>
    </row>
    <row r="379" spans="2:12" x14ac:dyDescent="0.25">
      <c r="B379" s="42">
        <v>45259</v>
      </c>
      <c r="D379">
        <v>29531.63</v>
      </c>
      <c r="K379" s="42"/>
      <c r="L379" s="14"/>
    </row>
    <row r="380" spans="2:12" x14ac:dyDescent="0.25">
      <c r="B380" s="42">
        <v>45258</v>
      </c>
      <c r="D380">
        <v>29227.61</v>
      </c>
      <c r="K380" s="42"/>
      <c r="L380" s="14"/>
    </row>
    <row r="381" spans="2:12" x14ac:dyDescent="0.25">
      <c r="B381" s="42">
        <v>45254</v>
      </c>
      <c r="D381">
        <v>29087.95</v>
      </c>
      <c r="K381" s="42"/>
      <c r="L381" s="14"/>
    </row>
    <row r="382" spans="2:12" x14ac:dyDescent="0.25">
      <c r="B382" s="42">
        <v>45253</v>
      </c>
      <c r="D382">
        <v>29098.74</v>
      </c>
      <c r="K382" s="42"/>
      <c r="L382" s="14"/>
    </row>
    <row r="383" spans="2:12" x14ac:dyDescent="0.25">
      <c r="B383" s="42">
        <v>45252</v>
      </c>
      <c r="D383">
        <v>29113.18</v>
      </c>
      <c r="K383" s="42"/>
      <c r="L383" s="14"/>
    </row>
    <row r="384" spans="2:12" x14ac:dyDescent="0.25">
      <c r="B384" s="42">
        <v>45251</v>
      </c>
      <c r="D384">
        <v>29071.360000000001</v>
      </c>
      <c r="K384" s="42"/>
      <c r="L384" s="14"/>
    </row>
    <row r="385" spans="2:12" x14ac:dyDescent="0.25">
      <c r="B385" s="42">
        <v>45250</v>
      </c>
      <c r="D385">
        <v>28939.98</v>
      </c>
      <c r="K385" s="42"/>
      <c r="L385" s="14"/>
    </row>
    <row r="386" spans="2:12" x14ac:dyDescent="0.25">
      <c r="B386" s="42">
        <v>45247</v>
      </c>
      <c r="D386">
        <v>28995.52</v>
      </c>
      <c r="K386" s="42"/>
      <c r="L386" s="14"/>
    </row>
    <row r="387" spans="2:12" x14ac:dyDescent="0.25">
      <c r="B387" s="42">
        <v>45246</v>
      </c>
      <c r="D387">
        <v>29044.66</v>
      </c>
      <c r="K387" s="42"/>
      <c r="L387" s="14"/>
    </row>
    <row r="388" spans="2:12" x14ac:dyDescent="0.25">
      <c r="B388" s="42">
        <v>45245</v>
      </c>
      <c r="D388">
        <v>28906.7</v>
      </c>
      <c r="K388" s="42"/>
      <c r="L388" s="14"/>
    </row>
    <row r="389" spans="2:12" x14ac:dyDescent="0.25">
      <c r="B389" s="42">
        <v>45243</v>
      </c>
      <c r="D389">
        <v>28565.95</v>
      </c>
      <c r="K389" s="42"/>
      <c r="L389" s="14"/>
    </row>
    <row r="390" spans="2:12" x14ac:dyDescent="0.25">
      <c r="B390" s="42">
        <v>45242</v>
      </c>
      <c r="D390">
        <v>28686.47</v>
      </c>
      <c r="K390" s="42"/>
      <c r="L390" s="14"/>
    </row>
    <row r="391" spans="2:12" x14ac:dyDescent="0.25">
      <c r="B391" s="42">
        <v>45240</v>
      </c>
      <c r="D391">
        <v>28539.24</v>
      </c>
      <c r="K391" s="42"/>
      <c r="L391" s="14"/>
    </row>
    <row r="392" spans="2:12" x14ac:dyDescent="0.25">
      <c r="B392" s="42">
        <v>45239</v>
      </c>
      <c r="D392">
        <v>28495.08</v>
      </c>
      <c r="K392" s="42"/>
      <c r="L392" s="14"/>
    </row>
    <row r="393" spans="2:12" x14ac:dyDescent="0.25">
      <c r="B393" s="42">
        <v>45238</v>
      </c>
      <c r="D393">
        <v>28565.86</v>
      </c>
      <c r="K393" s="42"/>
      <c r="L393" s="14"/>
    </row>
    <row r="394" spans="2:12" x14ac:dyDescent="0.25">
      <c r="B394" s="42">
        <v>45237</v>
      </c>
      <c r="D394">
        <v>28511.81</v>
      </c>
      <c r="K394" s="42"/>
      <c r="L394" s="14"/>
    </row>
    <row r="395" spans="2:12" x14ac:dyDescent="0.25">
      <c r="B395" s="42">
        <v>45236</v>
      </c>
      <c r="D395">
        <v>28519.25</v>
      </c>
      <c r="K395" s="42"/>
      <c r="L395" s="14"/>
    </row>
    <row r="396" spans="2:12" x14ac:dyDescent="0.25">
      <c r="B396" s="42">
        <v>45233</v>
      </c>
      <c r="D396">
        <v>28253.09</v>
      </c>
      <c r="K396" s="42"/>
      <c r="L396" s="14"/>
    </row>
    <row r="397" spans="2:12" x14ac:dyDescent="0.25">
      <c r="B397" s="42">
        <v>45232</v>
      </c>
      <c r="D397">
        <v>28105.75</v>
      </c>
      <c r="K397" s="42"/>
      <c r="L397" s="14"/>
    </row>
    <row r="398" spans="2:12" x14ac:dyDescent="0.25">
      <c r="B398" s="42">
        <v>45231</v>
      </c>
      <c r="D398">
        <v>27886.240000000002</v>
      </c>
      <c r="K398" s="42"/>
      <c r="L398" s="14"/>
    </row>
    <row r="399" spans="2:12" x14ac:dyDescent="0.25">
      <c r="B399" s="42">
        <v>45230</v>
      </c>
      <c r="D399">
        <v>28017.360000000001</v>
      </c>
      <c r="K399" s="42"/>
      <c r="L399" s="14"/>
    </row>
    <row r="400" spans="2:12" x14ac:dyDescent="0.25">
      <c r="B400" s="42">
        <v>45229</v>
      </c>
      <c r="D400">
        <v>28107.42</v>
      </c>
      <c r="K400" s="42"/>
      <c r="L400" s="14"/>
    </row>
    <row r="401" spans="2:12" x14ac:dyDescent="0.25">
      <c r="B401" s="42">
        <v>45226</v>
      </c>
      <c r="D401">
        <v>27969.919999999998</v>
      </c>
      <c r="K401" s="42"/>
      <c r="L401" s="14"/>
    </row>
    <row r="402" spans="2:12" x14ac:dyDescent="0.25">
      <c r="B402" s="42">
        <v>45225</v>
      </c>
      <c r="D402">
        <v>27690.29</v>
      </c>
      <c r="K402" s="42"/>
      <c r="L402" s="14"/>
    </row>
    <row r="403" spans="2:12" x14ac:dyDescent="0.25">
      <c r="B403" s="42">
        <v>45224</v>
      </c>
      <c r="D403">
        <v>28079.26</v>
      </c>
      <c r="K403" s="42"/>
      <c r="L403" s="14"/>
    </row>
    <row r="404" spans="2:12" x14ac:dyDescent="0.25">
      <c r="B404" s="42">
        <v>45222</v>
      </c>
      <c r="D404">
        <v>28291.96</v>
      </c>
      <c r="K404" s="42"/>
      <c r="L404" s="14"/>
    </row>
    <row r="405" spans="2:12" x14ac:dyDescent="0.25">
      <c r="B405" s="42">
        <v>45219</v>
      </c>
      <c r="D405">
        <v>28674.78</v>
      </c>
      <c r="K405" s="42"/>
      <c r="L405" s="14"/>
    </row>
    <row r="406" spans="2:12" x14ac:dyDescent="0.25">
      <c r="B406" s="42">
        <v>45218</v>
      </c>
      <c r="D406">
        <v>28790.880000000001</v>
      </c>
      <c r="K406" s="42"/>
      <c r="L406" s="14"/>
    </row>
    <row r="407" spans="2:12" x14ac:dyDescent="0.25">
      <c r="B407" s="42">
        <v>45217</v>
      </c>
      <c r="D407">
        <v>28855.87</v>
      </c>
      <c r="K407" s="42"/>
      <c r="L407" s="14"/>
    </row>
    <row r="408" spans="2:12" x14ac:dyDescent="0.25">
      <c r="B408" s="42">
        <v>45216</v>
      </c>
      <c r="D408">
        <v>29061.8</v>
      </c>
      <c r="K408" s="42"/>
      <c r="L408" s="14"/>
    </row>
    <row r="409" spans="2:12" x14ac:dyDescent="0.25">
      <c r="B409" s="42">
        <v>45215</v>
      </c>
      <c r="D409">
        <v>28944.87</v>
      </c>
      <c r="K409" s="42"/>
      <c r="L409" s="14"/>
    </row>
    <row r="410" spans="2:12" x14ac:dyDescent="0.25">
      <c r="B410" s="42">
        <v>45212</v>
      </c>
      <c r="D410">
        <v>28973.14</v>
      </c>
      <c r="K410" s="42"/>
      <c r="L410" s="14"/>
    </row>
    <row r="411" spans="2:12" x14ac:dyDescent="0.25">
      <c r="B411" s="42">
        <v>45211</v>
      </c>
      <c r="D411">
        <v>29036.17</v>
      </c>
      <c r="K411" s="42"/>
      <c r="L411" s="14"/>
    </row>
    <row r="412" spans="2:12" x14ac:dyDescent="0.25">
      <c r="B412" s="42">
        <v>45210</v>
      </c>
      <c r="D412">
        <v>29061.61</v>
      </c>
      <c r="K412" s="42"/>
      <c r="L412" s="14"/>
    </row>
    <row r="413" spans="2:12" x14ac:dyDescent="0.25">
      <c r="B413" s="42">
        <v>45209</v>
      </c>
      <c r="D413">
        <v>28883.35</v>
      </c>
      <c r="K413" s="42"/>
      <c r="L413" s="14"/>
    </row>
    <row r="414" spans="2:12" x14ac:dyDescent="0.25">
      <c r="B414" s="42">
        <v>45208</v>
      </c>
      <c r="D414">
        <v>28622.98</v>
      </c>
      <c r="K414" s="42"/>
      <c r="L414" s="14"/>
    </row>
    <row r="415" spans="2:12" x14ac:dyDescent="0.25">
      <c r="B415" s="42">
        <v>45205</v>
      </c>
      <c r="D415">
        <v>28830.080000000002</v>
      </c>
      <c r="K415" s="42"/>
      <c r="L415" s="14"/>
    </row>
    <row r="416" spans="2:12" x14ac:dyDescent="0.25">
      <c r="B416" s="42">
        <v>45204</v>
      </c>
      <c r="D416">
        <v>28671.97</v>
      </c>
      <c r="K416" s="42"/>
      <c r="L416" s="14"/>
    </row>
    <row r="417" spans="2:12" x14ac:dyDescent="0.25">
      <c r="B417" s="42">
        <v>45203</v>
      </c>
      <c r="D417">
        <v>28511.13</v>
      </c>
      <c r="K417" s="42"/>
      <c r="L417" s="14"/>
    </row>
    <row r="418" spans="2:12" x14ac:dyDescent="0.25">
      <c r="B418" s="42">
        <v>45202</v>
      </c>
      <c r="D418">
        <v>28647.040000000001</v>
      </c>
      <c r="K418" s="42"/>
      <c r="L418" s="14"/>
    </row>
    <row r="419" spans="2:12" x14ac:dyDescent="0.25">
      <c r="B419" s="42">
        <v>45198</v>
      </c>
      <c r="D419">
        <v>28807.77</v>
      </c>
      <c r="K419" s="42"/>
      <c r="L419" s="14"/>
    </row>
    <row r="420" spans="2:12" x14ac:dyDescent="0.25">
      <c r="B420" s="42">
        <v>45197</v>
      </c>
      <c r="D420">
        <v>28639.439999999999</v>
      </c>
      <c r="K420" s="42"/>
      <c r="L420" s="14"/>
    </row>
    <row r="421" spans="2:12" x14ac:dyDescent="0.25">
      <c r="B421" s="42">
        <v>45196</v>
      </c>
      <c r="D421">
        <v>28922.43</v>
      </c>
      <c r="K421" s="42"/>
      <c r="L421" s="14"/>
    </row>
    <row r="422" spans="2:12" x14ac:dyDescent="0.25">
      <c r="B422" s="42">
        <v>45195</v>
      </c>
      <c r="D422">
        <v>28846.47</v>
      </c>
      <c r="K422" s="42"/>
      <c r="L422" s="14"/>
    </row>
    <row r="423" spans="2:12" x14ac:dyDescent="0.25">
      <c r="B423" s="42">
        <v>45194</v>
      </c>
      <c r="D423">
        <v>28860.9</v>
      </c>
      <c r="K423" s="42"/>
      <c r="L423" s="14"/>
    </row>
    <row r="424" spans="2:12" x14ac:dyDescent="0.25">
      <c r="B424" s="42">
        <v>45191</v>
      </c>
      <c r="D424">
        <v>28860.46</v>
      </c>
      <c r="K424" s="42"/>
      <c r="L424" s="14"/>
    </row>
    <row r="425" spans="2:12" x14ac:dyDescent="0.25">
      <c r="B425" s="42">
        <v>45190</v>
      </c>
      <c r="D425">
        <v>28960.36</v>
      </c>
      <c r="K425" s="42"/>
      <c r="L425" s="14"/>
    </row>
    <row r="426" spans="2:12" x14ac:dyDescent="0.25">
      <c r="B426" s="42">
        <v>45189</v>
      </c>
      <c r="D426">
        <v>29193.69</v>
      </c>
      <c r="K426" s="42"/>
      <c r="L426" s="14"/>
    </row>
    <row r="427" spans="2:12" x14ac:dyDescent="0.25">
      <c r="B427" s="42">
        <v>45187</v>
      </c>
      <c r="D427">
        <v>29533.91</v>
      </c>
      <c r="K427" s="42"/>
      <c r="L427" s="14"/>
    </row>
    <row r="428" spans="2:12" x14ac:dyDescent="0.25">
      <c r="B428" s="42">
        <v>45184</v>
      </c>
      <c r="D428">
        <v>29620.53</v>
      </c>
      <c r="K428" s="42"/>
      <c r="L428" s="14"/>
    </row>
    <row r="429" spans="2:12" x14ac:dyDescent="0.25">
      <c r="B429" s="42">
        <v>45183</v>
      </c>
      <c r="D429">
        <v>29489.61</v>
      </c>
      <c r="K429" s="42"/>
      <c r="L429" s="14"/>
    </row>
    <row r="430" spans="2:12" x14ac:dyDescent="0.25">
      <c r="B430" s="42">
        <v>45182</v>
      </c>
      <c r="D430">
        <v>29441.040000000001</v>
      </c>
      <c r="K430" s="42"/>
      <c r="L430" s="14"/>
    </row>
    <row r="431" spans="2:12" x14ac:dyDescent="0.25">
      <c r="B431" s="42">
        <v>45181</v>
      </c>
      <c r="D431">
        <v>29328.37</v>
      </c>
      <c r="K431" s="42"/>
      <c r="L431" s="14"/>
    </row>
    <row r="432" spans="2:12" x14ac:dyDescent="0.25">
      <c r="B432" s="42">
        <v>45180</v>
      </c>
      <c r="D432">
        <v>29333</v>
      </c>
      <c r="K432" s="42"/>
      <c r="L432" s="14"/>
    </row>
    <row r="433" spans="2:12" x14ac:dyDescent="0.25">
      <c r="B433" s="42">
        <v>45177</v>
      </c>
      <c r="D433">
        <v>29074.22</v>
      </c>
      <c r="K433" s="42"/>
      <c r="L433" s="14"/>
    </row>
    <row r="434" spans="2:12" x14ac:dyDescent="0.25">
      <c r="B434" s="42">
        <v>45176</v>
      </c>
      <c r="D434">
        <v>28937.96</v>
      </c>
      <c r="K434" s="42"/>
      <c r="L434" s="14"/>
    </row>
    <row r="435" spans="2:12" x14ac:dyDescent="0.25">
      <c r="B435" s="42">
        <v>45175</v>
      </c>
      <c r="D435">
        <v>28767.78</v>
      </c>
      <c r="K435" s="42"/>
      <c r="L435" s="14"/>
    </row>
    <row r="436" spans="2:12" x14ac:dyDescent="0.25">
      <c r="B436" s="42">
        <v>45174</v>
      </c>
      <c r="D436">
        <v>28714.78</v>
      </c>
      <c r="K436" s="42"/>
      <c r="L436" s="14"/>
    </row>
    <row r="437" spans="2:12" x14ac:dyDescent="0.25">
      <c r="B437" s="42">
        <v>45173</v>
      </c>
      <c r="D437">
        <v>28647.16</v>
      </c>
      <c r="K437" s="42"/>
      <c r="L437" s="14"/>
    </row>
    <row r="438" spans="2:12" x14ac:dyDescent="0.25">
      <c r="B438" s="42">
        <v>45170</v>
      </c>
      <c r="D438">
        <v>28509.94</v>
      </c>
      <c r="K438" s="42"/>
      <c r="L438" s="14"/>
    </row>
    <row r="439" spans="2:12" x14ac:dyDescent="0.25">
      <c r="B439" s="42">
        <v>45169</v>
      </c>
      <c r="D439">
        <v>28243.74</v>
      </c>
      <c r="K439" s="42"/>
      <c r="L439" s="14"/>
    </row>
    <row r="440" spans="2:12" x14ac:dyDescent="0.25">
      <c r="B440" s="42">
        <v>45168</v>
      </c>
      <c r="D440">
        <v>28381.13</v>
      </c>
      <c r="K440" s="42"/>
      <c r="L440" s="14"/>
    </row>
    <row r="441" spans="2:12" x14ac:dyDescent="0.25">
      <c r="B441" s="42">
        <v>45167</v>
      </c>
      <c r="D441">
        <v>28374.03</v>
      </c>
      <c r="K441" s="42"/>
      <c r="L441" s="14"/>
    </row>
    <row r="442" spans="2:12" x14ac:dyDescent="0.25">
      <c r="B442" s="42">
        <v>45166</v>
      </c>
      <c r="D442">
        <v>28320.400000000001</v>
      </c>
      <c r="K442" s="42"/>
      <c r="L442" s="14"/>
    </row>
    <row r="443" spans="2:12" x14ac:dyDescent="0.25">
      <c r="B443" s="42">
        <v>45163</v>
      </c>
      <c r="D443">
        <v>28261.32</v>
      </c>
      <c r="K443" s="42"/>
      <c r="L443" s="14"/>
    </row>
    <row r="444" spans="2:12" x14ac:dyDescent="0.25">
      <c r="B444" s="42">
        <v>45162</v>
      </c>
      <c r="D444">
        <v>28438.68</v>
      </c>
      <c r="K444" s="42"/>
      <c r="L444" s="14"/>
    </row>
    <row r="445" spans="2:12" x14ac:dyDescent="0.25">
      <c r="B445" s="42">
        <v>45161</v>
      </c>
      <c r="D445">
        <v>28522.76</v>
      </c>
      <c r="K445" s="42"/>
      <c r="L445" s="14"/>
    </row>
    <row r="446" spans="2:12" x14ac:dyDescent="0.25">
      <c r="B446" s="42">
        <v>45160</v>
      </c>
      <c r="D446">
        <v>28453.01</v>
      </c>
      <c r="K446" s="42"/>
      <c r="L446" s="14"/>
    </row>
    <row r="447" spans="2:12" x14ac:dyDescent="0.25">
      <c r="B447" s="42">
        <v>45159</v>
      </c>
      <c r="D447">
        <v>28448.83</v>
      </c>
      <c r="K447" s="42"/>
      <c r="L447" s="14"/>
    </row>
    <row r="448" spans="2:12" x14ac:dyDescent="0.25">
      <c r="B448" s="42">
        <v>45156</v>
      </c>
      <c r="D448">
        <v>28316.31</v>
      </c>
      <c r="K448" s="42"/>
      <c r="L448" s="14"/>
    </row>
    <row r="449" spans="2:12" x14ac:dyDescent="0.25">
      <c r="B449" s="42">
        <v>45155</v>
      </c>
      <c r="D449">
        <v>28393.16</v>
      </c>
      <c r="K449" s="42"/>
      <c r="L449" s="14"/>
    </row>
    <row r="450" spans="2:12" x14ac:dyDescent="0.25">
      <c r="B450" s="42">
        <v>45154</v>
      </c>
      <c r="D450">
        <v>28539.38</v>
      </c>
      <c r="K450" s="42"/>
      <c r="L450" s="14"/>
    </row>
    <row r="451" spans="2:12" x14ac:dyDescent="0.25">
      <c r="B451" s="42">
        <v>45152</v>
      </c>
      <c r="D451">
        <v>28494.78</v>
      </c>
      <c r="K451" s="42"/>
      <c r="L451" s="14"/>
    </row>
    <row r="452" spans="2:12" x14ac:dyDescent="0.25">
      <c r="B452" s="42">
        <v>45149</v>
      </c>
      <c r="D452">
        <v>28482.45</v>
      </c>
      <c r="K452" s="42"/>
      <c r="L452" s="14"/>
    </row>
    <row r="453" spans="2:12" x14ac:dyDescent="0.25">
      <c r="B453" s="42">
        <v>45148</v>
      </c>
      <c r="D453">
        <v>28638.92</v>
      </c>
      <c r="K453" s="42"/>
      <c r="L453" s="14"/>
    </row>
    <row r="454" spans="2:12" x14ac:dyDescent="0.25">
      <c r="B454" s="42">
        <v>45147</v>
      </c>
      <c r="D454">
        <v>28769.97</v>
      </c>
      <c r="K454" s="42"/>
      <c r="L454" s="14"/>
    </row>
    <row r="455" spans="2:12" x14ac:dyDescent="0.25">
      <c r="B455" s="42">
        <v>45146</v>
      </c>
      <c r="D455">
        <v>28661.08</v>
      </c>
      <c r="K455" s="42"/>
      <c r="L455" s="14"/>
    </row>
    <row r="456" spans="2:12" x14ac:dyDescent="0.25">
      <c r="B456" s="42">
        <v>45145</v>
      </c>
      <c r="D456">
        <v>28699.8</v>
      </c>
      <c r="K456" s="42"/>
      <c r="L456" s="14"/>
    </row>
    <row r="457" spans="2:12" x14ac:dyDescent="0.25">
      <c r="B457" s="42">
        <v>45142</v>
      </c>
      <c r="D457">
        <v>28582.25</v>
      </c>
      <c r="K457" s="42"/>
      <c r="L457" s="14"/>
    </row>
    <row r="458" spans="2:12" x14ac:dyDescent="0.25">
      <c r="B458" s="42">
        <v>45141</v>
      </c>
      <c r="D458">
        <v>28383.279999999999</v>
      </c>
      <c r="K458" s="42"/>
      <c r="L458" s="14"/>
    </row>
    <row r="459" spans="2:12" x14ac:dyDescent="0.25">
      <c r="B459" s="42">
        <v>45140</v>
      </c>
      <c r="D459">
        <v>28589.81</v>
      </c>
      <c r="K459" s="42"/>
      <c r="L459" s="14"/>
    </row>
    <row r="460" spans="2:12" x14ac:dyDescent="0.25">
      <c r="B460" s="42">
        <v>45139</v>
      </c>
      <c r="D460">
        <v>28880.78</v>
      </c>
      <c r="K460" s="42"/>
      <c r="L460" s="14"/>
    </row>
    <row r="461" spans="2:12" x14ac:dyDescent="0.25">
      <c r="B461" s="42">
        <v>45138</v>
      </c>
      <c r="D461">
        <v>28910.43</v>
      </c>
      <c r="K461" s="42"/>
      <c r="L461" s="14"/>
    </row>
    <row r="462" spans="2:12" x14ac:dyDescent="0.25">
      <c r="B462" s="42">
        <v>45135</v>
      </c>
      <c r="D462">
        <v>28752.69</v>
      </c>
      <c r="K462" s="42"/>
      <c r="L462" s="14"/>
    </row>
    <row r="463" spans="2:12" x14ac:dyDescent="0.25">
      <c r="B463" s="42">
        <v>45134</v>
      </c>
      <c r="D463">
        <v>28769.02</v>
      </c>
      <c r="K463" s="42"/>
      <c r="L463" s="14"/>
    </row>
    <row r="464" spans="2:12" x14ac:dyDescent="0.25">
      <c r="B464" s="42">
        <v>45133</v>
      </c>
      <c r="D464">
        <v>28939.3</v>
      </c>
      <c r="K464" s="42"/>
      <c r="L464" s="14"/>
    </row>
    <row r="465" spans="2:12" x14ac:dyDescent="0.25">
      <c r="B465" s="42">
        <v>45132</v>
      </c>
      <c r="D465">
        <v>28796.35</v>
      </c>
      <c r="K465" s="42"/>
      <c r="L465" s="14"/>
    </row>
    <row r="466" spans="2:12" x14ac:dyDescent="0.25">
      <c r="B466" s="42">
        <v>45131</v>
      </c>
      <c r="D466">
        <v>28784.26</v>
      </c>
      <c r="K466" s="42"/>
      <c r="L466" s="14"/>
    </row>
    <row r="467" spans="2:12" x14ac:dyDescent="0.25">
      <c r="B467" s="42">
        <v>45128</v>
      </c>
      <c r="D467">
        <v>28890.53</v>
      </c>
      <c r="K467" s="42"/>
      <c r="L467" s="14"/>
    </row>
    <row r="468" spans="2:12" x14ac:dyDescent="0.25">
      <c r="B468" s="42">
        <v>45127</v>
      </c>
      <c r="D468">
        <v>29231.71</v>
      </c>
      <c r="K468" s="42"/>
      <c r="L468" s="14"/>
    </row>
    <row r="469" spans="2:12" x14ac:dyDescent="0.25">
      <c r="B469" s="42">
        <v>45126</v>
      </c>
      <c r="D469">
        <v>29011.55</v>
      </c>
      <c r="K469" s="42"/>
      <c r="L469" s="14"/>
    </row>
    <row r="470" spans="2:12" x14ac:dyDescent="0.25">
      <c r="B470" s="42">
        <v>45125</v>
      </c>
      <c r="D470">
        <v>28888.85</v>
      </c>
      <c r="K470" s="42"/>
      <c r="L470" s="14"/>
    </row>
    <row r="471" spans="2:12" x14ac:dyDescent="0.25">
      <c r="B471" s="42">
        <v>45124</v>
      </c>
      <c r="D471">
        <v>28833.54</v>
      </c>
      <c r="K471" s="42"/>
      <c r="L471" s="14"/>
    </row>
    <row r="472" spans="2:12" x14ac:dyDescent="0.25">
      <c r="B472" s="42">
        <v>45121</v>
      </c>
      <c r="D472">
        <v>28618.6</v>
      </c>
      <c r="K472" s="42"/>
      <c r="L472" s="14"/>
    </row>
    <row r="473" spans="2:12" x14ac:dyDescent="0.25">
      <c r="B473" s="42">
        <v>45120</v>
      </c>
      <c r="D473">
        <v>28393.32</v>
      </c>
      <c r="K473" s="42"/>
      <c r="L473" s="14"/>
    </row>
    <row r="474" spans="2:12" x14ac:dyDescent="0.25">
      <c r="B474" s="42">
        <v>45119</v>
      </c>
      <c r="D474">
        <v>28348.880000000001</v>
      </c>
      <c r="K474" s="42"/>
      <c r="L474" s="14"/>
    </row>
    <row r="475" spans="2:12" x14ac:dyDescent="0.25">
      <c r="B475" s="42">
        <v>45118</v>
      </c>
      <c r="D475">
        <v>28429.42</v>
      </c>
      <c r="K475" s="42"/>
      <c r="L475" s="14"/>
    </row>
    <row r="476" spans="2:12" x14ac:dyDescent="0.25">
      <c r="B476" s="42">
        <v>45117</v>
      </c>
      <c r="D476">
        <v>28304.66</v>
      </c>
      <c r="K476" s="42"/>
      <c r="L476" s="14"/>
    </row>
    <row r="477" spans="2:12" x14ac:dyDescent="0.25">
      <c r="B477" s="42">
        <v>45114</v>
      </c>
      <c r="D477">
        <v>28269.43</v>
      </c>
      <c r="K477" s="42"/>
      <c r="L477" s="14"/>
    </row>
    <row r="478" spans="2:12" x14ac:dyDescent="0.25">
      <c r="B478" s="42">
        <v>45113</v>
      </c>
      <c r="D478">
        <v>28510.39</v>
      </c>
      <c r="K478" s="42"/>
      <c r="L478" s="14"/>
    </row>
    <row r="479" spans="2:12" x14ac:dyDescent="0.25">
      <c r="B479" s="42">
        <v>45112</v>
      </c>
      <c r="D479">
        <v>28365.96</v>
      </c>
      <c r="K479" s="42"/>
      <c r="L479" s="14"/>
    </row>
    <row r="480" spans="2:12" x14ac:dyDescent="0.25">
      <c r="B480" s="42">
        <v>45111</v>
      </c>
      <c r="D480">
        <v>28352.01</v>
      </c>
      <c r="K480" s="42"/>
      <c r="L480" s="14"/>
    </row>
    <row r="481" spans="2:12" x14ac:dyDescent="0.25">
      <c r="B481" s="42">
        <v>45110</v>
      </c>
      <c r="D481">
        <v>28254.9</v>
      </c>
      <c r="K481" s="42"/>
      <c r="L481" s="14"/>
    </row>
    <row r="482" spans="2:12" x14ac:dyDescent="0.25">
      <c r="B482" s="42">
        <v>45107</v>
      </c>
      <c r="D482">
        <v>28059.65</v>
      </c>
      <c r="K482" s="42"/>
      <c r="L482" s="14"/>
    </row>
    <row r="483" spans="2:12" x14ac:dyDescent="0.25">
      <c r="B483" s="42">
        <v>45105</v>
      </c>
      <c r="D483">
        <v>27739.64</v>
      </c>
      <c r="K483" s="42"/>
      <c r="L483" s="14"/>
    </row>
    <row r="484" spans="2:12" x14ac:dyDescent="0.25">
      <c r="B484" s="42">
        <v>45104</v>
      </c>
      <c r="D484">
        <v>27513.45</v>
      </c>
      <c r="K484" s="42"/>
      <c r="L484" s="14"/>
    </row>
    <row r="485" spans="2:12" x14ac:dyDescent="0.25">
      <c r="B485" s="42">
        <v>45103</v>
      </c>
      <c r="D485">
        <v>27328.91</v>
      </c>
      <c r="K485" s="42"/>
      <c r="L485" s="14"/>
    </row>
    <row r="486" spans="2:12" x14ac:dyDescent="0.25">
      <c r="B486" s="42">
        <v>45100</v>
      </c>
      <c r="D486">
        <v>27291.39</v>
      </c>
      <c r="K486" s="42"/>
      <c r="L486" s="14"/>
    </row>
    <row r="487" spans="2:12" x14ac:dyDescent="0.25">
      <c r="B487" s="42">
        <v>45099</v>
      </c>
      <c r="D487">
        <v>27445.97</v>
      </c>
      <c r="K487" s="42"/>
      <c r="L487" s="14"/>
    </row>
    <row r="488" spans="2:12" x14ac:dyDescent="0.25">
      <c r="B488" s="42">
        <v>45098</v>
      </c>
      <c r="D488">
        <v>27571.14</v>
      </c>
      <c r="K488" s="42"/>
      <c r="L488" s="14"/>
    </row>
    <row r="489" spans="2:12" x14ac:dyDescent="0.25">
      <c r="B489" s="42">
        <v>45097</v>
      </c>
      <c r="D489">
        <v>27512.41</v>
      </c>
      <c r="K489" s="42"/>
      <c r="L489" s="14"/>
    </row>
    <row r="490" spans="2:12" x14ac:dyDescent="0.25">
      <c r="B490" s="42">
        <v>45096</v>
      </c>
      <c r="D490">
        <v>27422.87</v>
      </c>
      <c r="K490" s="42"/>
      <c r="L490" s="14"/>
    </row>
    <row r="491" spans="2:12" x14ac:dyDescent="0.25">
      <c r="B491" s="42">
        <v>45093</v>
      </c>
      <c r="D491">
        <v>27519.439999999999</v>
      </c>
      <c r="K491" s="42"/>
      <c r="L491" s="14"/>
    </row>
    <row r="492" spans="2:12" x14ac:dyDescent="0.25">
      <c r="B492" s="42">
        <v>45092</v>
      </c>
      <c r="D492">
        <v>27317.25</v>
      </c>
      <c r="K492" s="42"/>
      <c r="L492" s="14"/>
    </row>
    <row r="493" spans="2:12" x14ac:dyDescent="0.25">
      <c r="B493" s="42">
        <v>45091</v>
      </c>
      <c r="D493">
        <v>27408.12</v>
      </c>
      <c r="K493" s="42"/>
      <c r="L493" s="14"/>
    </row>
    <row r="494" spans="2:12" x14ac:dyDescent="0.25">
      <c r="B494" s="42">
        <v>45090</v>
      </c>
      <c r="D494">
        <v>27350.09</v>
      </c>
      <c r="K494" s="42"/>
      <c r="L494" s="14"/>
    </row>
    <row r="495" spans="2:12" x14ac:dyDescent="0.25">
      <c r="B495" s="42">
        <v>45089</v>
      </c>
      <c r="D495">
        <v>27182.55</v>
      </c>
      <c r="K495" s="42"/>
      <c r="L495" s="14"/>
    </row>
    <row r="496" spans="2:12" x14ac:dyDescent="0.25">
      <c r="B496" s="42">
        <v>45086</v>
      </c>
      <c r="D496">
        <v>27126.86</v>
      </c>
      <c r="K496" s="42"/>
      <c r="L496" s="14"/>
    </row>
    <row r="497" spans="2:12" x14ac:dyDescent="0.25">
      <c r="B497" s="42">
        <v>45085</v>
      </c>
      <c r="D497">
        <v>27227.59</v>
      </c>
      <c r="K497" s="42"/>
      <c r="L497" s="14"/>
    </row>
    <row r="498" spans="2:12" x14ac:dyDescent="0.25">
      <c r="B498" s="42">
        <v>45084</v>
      </c>
      <c r="D498">
        <v>27361.85</v>
      </c>
      <c r="K498" s="42"/>
      <c r="L498" s="14"/>
    </row>
    <row r="499" spans="2:12" x14ac:dyDescent="0.25">
      <c r="B499" s="42">
        <v>45083</v>
      </c>
      <c r="D499">
        <v>27175.7</v>
      </c>
      <c r="K499" s="42"/>
      <c r="L499" s="14"/>
    </row>
    <row r="500" spans="2:12" x14ac:dyDescent="0.25">
      <c r="B500" s="42">
        <v>45082</v>
      </c>
      <c r="D500">
        <v>27168.13</v>
      </c>
      <c r="K500" s="42"/>
      <c r="L500" s="14"/>
    </row>
    <row r="501" spans="2:12" x14ac:dyDescent="0.25">
      <c r="B501" s="42">
        <v>45079</v>
      </c>
      <c r="D501">
        <v>27080.87</v>
      </c>
      <c r="K501" s="42"/>
      <c r="L501" s="14"/>
    </row>
    <row r="502" spans="2:12" x14ac:dyDescent="0.25">
      <c r="B502" s="42">
        <v>45078</v>
      </c>
      <c r="D502">
        <v>26989.35</v>
      </c>
      <c r="K502" s="42"/>
      <c r="L502" s="14"/>
    </row>
    <row r="503" spans="2:12" x14ac:dyDescent="0.25">
      <c r="B503" s="42">
        <v>45077</v>
      </c>
      <c r="D503">
        <v>27057.439999999999</v>
      </c>
      <c r="K503" s="42"/>
      <c r="L503" s="14"/>
    </row>
    <row r="504" spans="2:12" x14ac:dyDescent="0.25">
      <c r="B504" s="42">
        <v>45076</v>
      </c>
      <c r="D504">
        <v>27188.18</v>
      </c>
      <c r="K504" s="42"/>
      <c r="L504" s="14"/>
    </row>
    <row r="505" spans="2:12" x14ac:dyDescent="0.25">
      <c r="B505" s="42">
        <v>45075</v>
      </c>
      <c r="D505">
        <v>27136.82</v>
      </c>
      <c r="K505" s="42"/>
      <c r="L505" s="14"/>
    </row>
    <row r="506" spans="2:12" x14ac:dyDescent="0.25">
      <c r="B506" s="42">
        <v>45072</v>
      </c>
      <c r="D506">
        <v>26991.87</v>
      </c>
      <c r="K506" s="42"/>
      <c r="L506" s="14"/>
    </row>
    <row r="507" spans="2:12" x14ac:dyDescent="0.25">
      <c r="B507" s="42">
        <v>45071</v>
      </c>
      <c r="D507">
        <v>26731.86</v>
      </c>
      <c r="K507" s="42"/>
      <c r="L507" s="14"/>
    </row>
    <row r="508" spans="2:12" x14ac:dyDescent="0.25">
      <c r="B508" s="42">
        <v>45070</v>
      </c>
      <c r="D508">
        <v>26679.72</v>
      </c>
      <c r="K508" s="42"/>
      <c r="L508" s="14"/>
    </row>
    <row r="509" spans="2:12" x14ac:dyDescent="0.25">
      <c r="B509" s="42">
        <v>45069</v>
      </c>
      <c r="D509">
        <v>26771.1</v>
      </c>
      <c r="K509" s="42"/>
      <c r="L509" s="14"/>
    </row>
    <row r="510" spans="2:12" x14ac:dyDescent="0.25">
      <c r="B510" s="42">
        <v>45068</v>
      </c>
      <c r="D510">
        <v>26722.03</v>
      </c>
      <c r="K510" s="42"/>
      <c r="L510" s="14"/>
    </row>
    <row r="511" spans="2:12" x14ac:dyDescent="0.25">
      <c r="B511" s="42">
        <v>45065</v>
      </c>
      <c r="D511">
        <v>26560.1</v>
      </c>
      <c r="K511" s="42"/>
      <c r="L511" s="14"/>
    </row>
    <row r="512" spans="2:12" x14ac:dyDescent="0.25">
      <c r="B512" s="42">
        <v>45064</v>
      </c>
      <c r="D512">
        <v>26451.26</v>
      </c>
      <c r="K512" s="42"/>
      <c r="L512" s="14"/>
    </row>
    <row r="513" spans="2:12" x14ac:dyDescent="0.25">
      <c r="B513" s="42">
        <v>45063</v>
      </c>
      <c r="D513">
        <v>26526.82</v>
      </c>
      <c r="K513" s="42"/>
      <c r="L513" s="14"/>
    </row>
    <row r="514" spans="2:12" x14ac:dyDescent="0.25">
      <c r="B514" s="42">
        <v>45062</v>
      </c>
      <c r="D514">
        <v>26679.67</v>
      </c>
      <c r="K514" s="42"/>
      <c r="L514" s="14"/>
    </row>
    <row r="515" spans="2:12" x14ac:dyDescent="0.25">
      <c r="B515" s="42">
        <v>45061</v>
      </c>
      <c r="D515">
        <v>26789.02</v>
      </c>
      <c r="K515" s="42"/>
      <c r="L515" s="14"/>
    </row>
    <row r="516" spans="2:12" x14ac:dyDescent="0.25">
      <c r="B516" s="42">
        <v>45058</v>
      </c>
      <c r="D516">
        <v>26666.67</v>
      </c>
      <c r="K516" s="42"/>
      <c r="L516" s="14"/>
    </row>
    <row r="517" spans="2:12" x14ac:dyDescent="0.25">
      <c r="B517" s="42">
        <v>45057</v>
      </c>
      <c r="D517">
        <v>26640.77</v>
      </c>
      <c r="K517" s="42"/>
      <c r="L517" s="14"/>
    </row>
    <row r="518" spans="2:12" x14ac:dyDescent="0.25">
      <c r="B518" s="42">
        <v>45056</v>
      </c>
      <c r="D518">
        <v>26667.11</v>
      </c>
      <c r="K518" s="42"/>
      <c r="L518" s="14"/>
    </row>
    <row r="519" spans="2:12" x14ac:dyDescent="0.25">
      <c r="B519" s="42">
        <v>45055</v>
      </c>
      <c r="D519">
        <v>26595.52</v>
      </c>
      <c r="K519" s="42"/>
      <c r="L519" s="14"/>
    </row>
    <row r="520" spans="2:12" x14ac:dyDescent="0.25">
      <c r="B520" s="42">
        <v>45054</v>
      </c>
      <c r="D520">
        <v>26593.29</v>
      </c>
      <c r="K520" s="42"/>
      <c r="L520" s="14"/>
    </row>
    <row r="521" spans="2:12" x14ac:dyDescent="0.25">
      <c r="B521" s="42">
        <v>45051</v>
      </c>
      <c r="D521">
        <v>26308.78</v>
      </c>
      <c r="K521" s="42"/>
      <c r="L521" s="14"/>
    </row>
    <row r="522" spans="2:12" x14ac:dyDescent="0.25">
      <c r="B522" s="42">
        <v>45050</v>
      </c>
      <c r="D522">
        <v>26580.77</v>
      </c>
      <c r="K522" s="42"/>
      <c r="L522" s="14"/>
    </row>
    <row r="523" spans="2:12" x14ac:dyDescent="0.25">
      <c r="B523" s="42">
        <v>45049</v>
      </c>
      <c r="D523">
        <v>26339.14</v>
      </c>
      <c r="K523" s="42"/>
      <c r="L523" s="14"/>
    </row>
    <row r="524" spans="2:12" x14ac:dyDescent="0.25">
      <c r="B524" s="42">
        <v>45048</v>
      </c>
      <c r="D524">
        <v>26423.3</v>
      </c>
      <c r="K524" s="42"/>
      <c r="L524" s="14"/>
    </row>
    <row r="525" spans="2:12" x14ac:dyDescent="0.25">
      <c r="B525" s="42">
        <v>45044</v>
      </c>
      <c r="D525">
        <v>26302.92</v>
      </c>
      <c r="K525" s="42"/>
      <c r="L525" s="14"/>
    </row>
    <row r="526" spans="2:12" x14ac:dyDescent="0.25">
      <c r="B526" s="42">
        <v>45043</v>
      </c>
      <c r="D526">
        <v>26078.38</v>
      </c>
      <c r="K526" s="42"/>
      <c r="L526" s="14"/>
    </row>
    <row r="527" spans="2:12" x14ac:dyDescent="0.25">
      <c r="B527" s="42">
        <v>45042</v>
      </c>
      <c r="D527">
        <v>25930.7</v>
      </c>
      <c r="K527" s="42"/>
      <c r="L527" s="14"/>
    </row>
    <row r="528" spans="2:12" x14ac:dyDescent="0.25">
      <c r="B528" s="42">
        <v>45041</v>
      </c>
      <c r="D528">
        <v>25866.09</v>
      </c>
      <c r="K528" s="42"/>
      <c r="L528" s="14"/>
    </row>
    <row r="529" spans="2:12" x14ac:dyDescent="0.25">
      <c r="B529" s="42">
        <v>45040</v>
      </c>
      <c r="D529">
        <v>25828.46</v>
      </c>
      <c r="K529" s="42"/>
      <c r="L529" s="14"/>
    </row>
    <row r="530" spans="2:12" x14ac:dyDescent="0.25">
      <c r="B530" s="42">
        <v>45037</v>
      </c>
      <c r="D530">
        <v>25654.78</v>
      </c>
      <c r="K530" s="42"/>
      <c r="L530" s="14"/>
    </row>
    <row r="531" spans="2:12" x14ac:dyDescent="0.25">
      <c r="B531" s="42">
        <v>45036</v>
      </c>
      <c r="D531">
        <v>25654.16</v>
      </c>
      <c r="K531" s="42"/>
      <c r="L531" s="14"/>
    </row>
    <row r="532" spans="2:12" x14ac:dyDescent="0.25">
      <c r="B532" s="42">
        <v>45035</v>
      </c>
      <c r="D532">
        <v>25645.82</v>
      </c>
      <c r="K532" s="42"/>
      <c r="L532" s="14"/>
    </row>
    <row r="533" spans="2:12" x14ac:dyDescent="0.25">
      <c r="B533" s="42">
        <v>45034</v>
      </c>
      <c r="D533">
        <v>25706.09</v>
      </c>
      <c r="K533" s="42"/>
      <c r="L533" s="14"/>
    </row>
    <row r="534" spans="2:12" x14ac:dyDescent="0.25">
      <c r="B534" s="42">
        <v>45033</v>
      </c>
      <c r="D534">
        <v>25774.07</v>
      </c>
      <c r="K534" s="42"/>
      <c r="L534" s="14"/>
    </row>
    <row r="535" spans="2:12" x14ac:dyDescent="0.25">
      <c r="B535" s="42">
        <v>45029</v>
      </c>
      <c r="D535">
        <v>25950.39</v>
      </c>
      <c r="K535" s="42"/>
      <c r="L535" s="14"/>
    </row>
    <row r="536" spans="2:12" x14ac:dyDescent="0.25">
      <c r="B536" s="42">
        <v>45028</v>
      </c>
      <c r="D536">
        <v>25924.89</v>
      </c>
      <c r="K536" s="42"/>
      <c r="L536" s="14"/>
    </row>
    <row r="537" spans="2:12" x14ac:dyDescent="0.25">
      <c r="B537" s="42">
        <v>45027</v>
      </c>
      <c r="D537">
        <v>25793.77</v>
      </c>
      <c r="K537" s="42"/>
      <c r="L537" s="14"/>
    </row>
    <row r="538" spans="2:12" x14ac:dyDescent="0.25">
      <c r="B538" s="42">
        <v>45026</v>
      </c>
      <c r="D538">
        <v>25650.73</v>
      </c>
      <c r="K538" s="42"/>
      <c r="L538" s="14"/>
    </row>
    <row r="539" spans="2:12" x14ac:dyDescent="0.25">
      <c r="B539" s="42">
        <v>45022</v>
      </c>
      <c r="D539">
        <v>25614.55</v>
      </c>
      <c r="K539" s="42"/>
      <c r="L539" s="14"/>
    </row>
    <row r="540" spans="2:12" x14ac:dyDescent="0.25">
      <c r="B540" s="42">
        <v>45021</v>
      </c>
      <c r="D540">
        <v>25553.279999999999</v>
      </c>
      <c r="K540" s="42"/>
      <c r="L540" s="14"/>
    </row>
    <row r="541" spans="2:12" x14ac:dyDescent="0.25">
      <c r="B541" s="42">
        <v>45019</v>
      </c>
      <c r="D541">
        <v>25321.85</v>
      </c>
      <c r="K541" s="42"/>
      <c r="L541" s="14"/>
    </row>
    <row r="542" spans="2:12" x14ac:dyDescent="0.25">
      <c r="B542" s="42">
        <v>45016</v>
      </c>
      <c r="D542">
        <v>25266.06</v>
      </c>
      <c r="K542" s="42"/>
      <c r="L542" s="14"/>
    </row>
    <row r="543" spans="2:12" x14ac:dyDescent="0.25">
      <c r="B543" s="42">
        <v>45014</v>
      </c>
      <c r="D543">
        <v>24859.93</v>
      </c>
      <c r="K543" s="42"/>
      <c r="L543" s="14"/>
    </row>
    <row r="544" spans="2:12" x14ac:dyDescent="0.25">
      <c r="B544" s="42">
        <v>45013</v>
      </c>
      <c r="D544">
        <v>24672.17</v>
      </c>
      <c r="K544" s="42"/>
      <c r="L544" s="14"/>
    </row>
    <row r="545" spans="2:12" x14ac:dyDescent="0.25">
      <c r="B545" s="42">
        <v>45012</v>
      </c>
      <c r="D545">
        <v>24721.71</v>
      </c>
      <c r="K545" s="42"/>
      <c r="L545" s="14"/>
    </row>
    <row r="546" spans="2:12" x14ac:dyDescent="0.25">
      <c r="B546" s="42">
        <v>45009</v>
      </c>
      <c r="D546">
        <v>24662.53</v>
      </c>
      <c r="K546" s="42"/>
      <c r="L546" s="14"/>
    </row>
    <row r="547" spans="2:12" x14ac:dyDescent="0.25">
      <c r="B547" s="42">
        <v>45008</v>
      </c>
      <c r="D547">
        <v>24854.39</v>
      </c>
      <c r="K547" s="42"/>
      <c r="L547" s="14"/>
    </row>
    <row r="548" spans="2:12" x14ac:dyDescent="0.25">
      <c r="B548" s="42">
        <v>45007</v>
      </c>
      <c r="D548">
        <v>24963.55</v>
      </c>
      <c r="K548" s="42"/>
      <c r="L548" s="14"/>
    </row>
    <row r="549" spans="2:12" x14ac:dyDescent="0.25">
      <c r="B549" s="42">
        <v>45006</v>
      </c>
      <c r="D549">
        <v>24898.97</v>
      </c>
      <c r="K549" s="42"/>
      <c r="L549" s="14"/>
    </row>
    <row r="550" spans="2:12" x14ac:dyDescent="0.25">
      <c r="B550" s="42">
        <v>45005</v>
      </c>
      <c r="D550">
        <v>24725.599999999999</v>
      </c>
      <c r="K550" s="42"/>
      <c r="L550" s="14"/>
    </row>
    <row r="551" spans="2:12" x14ac:dyDescent="0.25">
      <c r="B551" s="42">
        <v>45002</v>
      </c>
      <c r="D551">
        <v>24888.1</v>
      </c>
      <c r="K551" s="42"/>
      <c r="L551" s="14"/>
    </row>
    <row r="552" spans="2:12" x14ac:dyDescent="0.25">
      <c r="B552" s="42">
        <v>45001</v>
      </c>
      <c r="D552">
        <v>24721.52</v>
      </c>
      <c r="K552" s="42"/>
      <c r="L552" s="14"/>
    </row>
    <row r="553" spans="2:12" x14ac:dyDescent="0.25">
      <c r="B553" s="42">
        <v>45000</v>
      </c>
      <c r="D553">
        <v>24701.599999999999</v>
      </c>
      <c r="K553" s="42"/>
      <c r="L553" s="14"/>
    </row>
    <row r="554" spans="2:12" x14ac:dyDescent="0.25">
      <c r="B554" s="42">
        <v>44999</v>
      </c>
      <c r="D554">
        <v>24805.11</v>
      </c>
      <c r="K554" s="42"/>
      <c r="L554" s="14"/>
    </row>
    <row r="555" spans="2:12" x14ac:dyDescent="0.25">
      <c r="B555" s="42">
        <v>44998</v>
      </c>
      <c r="D555">
        <v>24966.68</v>
      </c>
      <c r="K555" s="42"/>
      <c r="L555" s="14"/>
    </row>
    <row r="556" spans="2:12" x14ac:dyDescent="0.25">
      <c r="B556" s="42">
        <v>44995</v>
      </c>
      <c r="D556">
        <v>25343.09</v>
      </c>
      <c r="K556" s="42"/>
      <c r="L556" s="14"/>
    </row>
    <row r="557" spans="2:12" x14ac:dyDescent="0.25">
      <c r="B557" s="42">
        <v>44994</v>
      </c>
      <c r="D557">
        <v>25600.240000000002</v>
      </c>
      <c r="K557" s="42"/>
      <c r="L557" s="14"/>
    </row>
    <row r="558" spans="2:12" x14ac:dyDescent="0.25">
      <c r="B558" s="42">
        <v>44993</v>
      </c>
      <c r="D558">
        <v>25840.12</v>
      </c>
      <c r="K558" s="42"/>
      <c r="L558" s="14"/>
    </row>
    <row r="559" spans="2:12" x14ac:dyDescent="0.25">
      <c r="B559" s="42">
        <v>44991</v>
      </c>
      <c r="D559">
        <v>25777.599999999999</v>
      </c>
      <c r="K559" s="42"/>
      <c r="L559" s="14"/>
    </row>
    <row r="560" spans="2:12" x14ac:dyDescent="0.25">
      <c r="B560" s="42">
        <v>44988</v>
      </c>
      <c r="D560">
        <v>25607.14</v>
      </c>
      <c r="K560" s="42"/>
      <c r="L560" s="14"/>
    </row>
    <row r="561" spans="2:12" x14ac:dyDescent="0.25">
      <c r="B561" s="42">
        <v>44987</v>
      </c>
      <c r="D561">
        <v>25210.65</v>
      </c>
      <c r="K561" s="42"/>
      <c r="L561" s="14"/>
    </row>
    <row r="562" spans="2:12" x14ac:dyDescent="0.25">
      <c r="B562" s="42">
        <v>44986</v>
      </c>
      <c r="D562">
        <v>25398.400000000001</v>
      </c>
      <c r="K562" s="42"/>
      <c r="L562" s="14"/>
    </row>
    <row r="563" spans="2:12" x14ac:dyDescent="0.25">
      <c r="B563" s="42">
        <v>44985</v>
      </c>
      <c r="D563">
        <v>25184.47</v>
      </c>
      <c r="K563" s="42"/>
      <c r="L563" s="14"/>
    </row>
    <row r="564" spans="2:12" x14ac:dyDescent="0.25">
      <c r="B564" s="42">
        <v>44984</v>
      </c>
      <c r="D564">
        <v>25313.7</v>
      </c>
      <c r="K564" s="42"/>
      <c r="L564" s="14"/>
    </row>
    <row r="565" spans="2:12" x14ac:dyDescent="0.25">
      <c r="B565" s="42">
        <v>44981</v>
      </c>
      <c r="D565">
        <v>25420.07</v>
      </c>
      <c r="K565" s="42"/>
      <c r="L565" s="14"/>
    </row>
    <row r="566" spans="2:12" x14ac:dyDescent="0.25">
      <c r="B566" s="42">
        <v>44980</v>
      </c>
      <c r="D566">
        <v>25485.97</v>
      </c>
      <c r="K566" s="42"/>
      <c r="L566" s="14"/>
    </row>
    <row r="567" spans="2:12" x14ac:dyDescent="0.25">
      <c r="B567" s="42">
        <v>44979</v>
      </c>
      <c r="D567">
        <v>25548.67</v>
      </c>
      <c r="K567" s="42"/>
      <c r="L567" s="14"/>
    </row>
    <row r="568" spans="2:12" x14ac:dyDescent="0.25">
      <c r="B568" s="42">
        <v>44978</v>
      </c>
      <c r="D568">
        <v>25945.08</v>
      </c>
      <c r="K568" s="42"/>
      <c r="L568" s="14"/>
    </row>
    <row r="569" spans="2:12" x14ac:dyDescent="0.25">
      <c r="B569" s="42">
        <v>44977</v>
      </c>
      <c r="D569">
        <v>25971.19</v>
      </c>
      <c r="K569" s="42"/>
      <c r="L569" s="14"/>
    </row>
    <row r="570" spans="2:12" x14ac:dyDescent="0.25">
      <c r="B570" s="42">
        <v>44974</v>
      </c>
      <c r="D570">
        <v>26116.12</v>
      </c>
      <c r="K570" s="42"/>
      <c r="L570" s="14"/>
    </row>
    <row r="571" spans="2:12" x14ac:dyDescent="0.25">
      <c r="B571" s="42">
        <v>44973</v>
      </c>
      <c r="D571">
        <v>26249.52</v>
      </c>
      <c r="K571" s="42"/>
      <c r="L571" s="14"/>
    </row>
    <row r="572" spans="2:12" x14ac:dyDescent="0.25">
      <c r="B572" s="42">
        <v>44972</v>
      </c>
      <c r="D572">
        <v>26220.43</v>
      </c>
      <c r="K572" s="42"/>
      <c r="L572" s="14"/>
    </row>
    <row r="573" spans="2:12" x14ac:dyDescent="0.25">
      <c r="B573" s="42">
        <v>44971</v>
      </c>
      <c r="D573">
        <v>26077.93</v>
      </c>
      <c r="K573" s="42"/>
      <c r="L573" s="14"/>
    </row>
    <row r="574" spans="2:12" x14ac:dyDescent="0.25">
      <c r="B574" s="42">
        <v>44970</v>
      </c>
      <c r="D574">
        <v>25846.7</v>
      </c>
      <c r="K574" s="42"/>
      <c r="L574" s="14"/>
    </row>
    <row r="575" spans="2:12" x14ac:dyDescent="0.25">
      <c r="B575" s="42">
        <v>44967</v>
      </c>
      <c r="D575">
        <v>25971.23</v>
      </c>
      <c r="K575" s="42"/>
      <c r="L575" s="14"/>
    </row>
    <row r="576" spans="2:12" x14ac:dyDescent="0.25">
      <c r="B576" s="42">
        <v>44966</v>
      </c>
      <c r="D576">
        <v>26024.94</v>
      </c>
      <c r="K576" s="42"/>
      <c r="L576" s="14"/>
    </row>
    <row r="577" spans="2:12" x14ac:dyDescent="0.25">
      <c r="B577" s="42">
        <v>44965</v>
      </c>
      <c r="D577">
        <v>25993.34</v>
      </c>
      <c r="K577" s="42"/>
      <c r="L577" s="14"/>
    </row>
    <row r="578" spans="2:12" x14ac:dyDescent="0.25">
      <c r="B578" s="42">
        <v>44964</v>
      </c>
      <c r="D578">
        <v>25772.19</v>
      </c>
      <c r="K578" s="42"/>
      <c r="L578" s="14"/>
    </row>
    <row r="579" spans="2:12" x14ac:dyDescent="0.25">
      <c r="B579" s="42">
        <v>44963</v>
      </c>
      <c r="D579">
        <v>25834.87</v>
      </c>
      <c r="K579" s="42"/>
      <c r="L579" s="14"/>
    </row>
    <row r="580" spans="2:12" x14ac:dyDescent="0.25">
      <c r="B580" s="42">
        <v>44960</v>
      </c>
      <c r="D580">
        <v>25965</v>
      </c>
      <c r="K580" s="42"/>
      <c r="L580" s="14"/>
    </row>
    <row r="581" spans="2:12" x14ac:dyDescent="0.25">
      <c r="B581" s="42">
        <v>44959</v>
      </c>
      <c r="D581">
        <v>25610.65</v>
      </c>
      <c r="K581" s="42"/>
      <c r="L581" s="14"/>
    </row>
    <row r="582" spans="2:12" x14ac:dyDescent="0.25">
      <c r="B582" s="42">
        <v>44958</v>
      </c>
      <c r="D582">
        <v>25619.24</v>
      </c>
      <c r="K582" s="42"/>
      <c r="L582" s="14"/>
    </row>
    <row r="583" spans="2:12" x14ac:dyDescent="0.25">
      <c r="B583" s="42">
        <v>44957</v>
      </c>
      <c r="D583">
        <v>25685.94</v>
      </c>
      <c r="K583" s="42"/>
      <c r="L583" s="14"/>
    </row>
    <row r="584" spans="2:12" x14ac:dyDescent="0.25">
      <c r="B584" s="42">
        <v>44956</v>
      </c>
      <c r="D584">
        <v>25666.69</v>
      </c>
      <c r="K584" s="42"/>
      <c r="L584" s="14"/>
    </row>
    <row r="585" spans="2:12" x14ac:dyDescent="0.25">
      <c r="B585" s="42">
        <v>44953</v>
      </c>
      <c r="D585">
        <v>25601.88</v>
      </c>
      <c r="K585" s="42"/>
      <c r="L585" s="14"/>
    </row>
    <row r="586" spans="2:12" x14ac:dyDescent="0.25">
      <c r="B586" s="42">
        <v>44951</v>
      </c>
      <c r="D586">
        <v>26020.13</v>
      </c>
      <c r="K586" s="42"/>
      <c r="L586" s="14"/>
    </row>
    <row r="587" spans="2:12" x14ac:dyDescent="0.25">
      <c r="B587" s="42">
        <v>44950</v>
      </c>
      <c r="D587">
        <v>26349.279999999999</v>
      </c>
      <c r="K587" s="42"/>
      <c r="L587" s="14"/>
    </row>
    <row r="588" spans="2:12" x14ac:dyDescent="0.25">
      <c r="B588" s="42">
        <v>44949</v>
      </c>
      <c r="D588">
        <v>26349.14</v>
      </c>
      <c r="K588" s="42"/>
      <c r="L588" s="14"/>
    </row>
    <row r="589" spans="2:12" x14ac:dyDescent="0.25">
      <c r="B589" s="42">
        <v>44946</v>
      </c>
      <c r="D589">
        <v>26216.94</v>
      </c>
      <c r="K589" s="42"/>
      <c r="L589" s="14"/>
    </row>
    <row r="590" spans="2:12" x14ac:dyDescent="0.25">
      <c r="B590" s="42">
        <v>44945</v>
      </c>
      <c r="D590">
        <v>26333.57</v>
      </c>
      <c r="K590" s="42"/>
      <c r="L590" s="14"/>
    </row>
    <row r="591" spans="2:12" x14ac:dyDescent="0.25">
      <c r="B591" s="42">
        <v>44944</v>
      </c>
      <c r="D591">
        <v>26413.71</v>
      </c>
      <c r="K591" s="42"/>
      <c r="L591" s="14"/>
    </row>
    <row r="592" spans="2:12" x14ac:dyDescent="0.25">
      <c r="B592" s="42">
        <v>44943</v>
      </c>
      <c r="D592">
        <v>26250.81</v>
      </c>
      <c r="K592" s="42"/>
      <c r="L592" s="14"/>
    </row>
    <row r="593" spans="2:12" x14ac:dyDescent="0.25">
      <c r="B593" s="42">
        <v>44942</v>
      </c>
      <c r="D593">
        <v>26020.39</v>
      </c>
      <c r="K593" s="42"/>
      <c r="L593" s="14"/>
    </row>
    <row r="594" spans="2:12" x14ac:dyDescent="0.25">
      <c r="B594" s="42">
        <v>44939</v>
      </c>
      <c r="D594">
        <v>26110.2</v>
      </c>
      <c r="K594" s="42"/>
      <c r="L594" s="14"/>
    </row>
    <row r="595" spans="2:12" x14ac:dyDescent="0.25">
      <c r="B595" s="42">
        <v>44938</v>
      </c>
      <c r="D595">
        <v>25967.07</v>
      </c>
      <c r="K595" s="42"/>
      <c r="L595" s="14"/>
    </row>
    <row r="596" spans="2:12" x14ac:dyDescent="0.25">
      <c r="B596" s="42">
        <v>44937</v>
      </c>
      <c r="D596">
        <v>26021.599999999999</v>
      </c>
      <c r="K596" s="42"/>
      <c r="L596" s="14"/>
    </row>
    <row r="597" spans="2:12" x14ac:dyDescent="0.25">
      <c r="B597" s="42">
        <v>44936</v>
      </c>
      <c r="D597">
        <v>26048.47</v>
      </c>
      <c r="K597" s="42"/>
      <c r="L597" s="14"/>
    </row>
    <row r="598" spans="2:12" x14ac:dyDescent="0.25">
      <c r="B598" s="42">
        <v>44935</v>
      </c>
      <c r="D598">
        <v>26320.41</v>
      </c>
      <c r="K598" s="42"/>
      <c r="L598" s="14"/>
    </row>
    <row r="599" spans="2:12" x14ac:dyDescent="0.25">
      <c r="B599" s="42">
        <v>44932</v>
      </c>
      <c r="D599">
        <v>25968.95</v>
      </c>
      <c r="K599" s="42"/>
      <c r="L599" s="14"/>
    </row>
    <row r="600" spans="2:12" x14ac:dyDescent="0.25">
      <c r="B600" s="42">
        <v>44931</v>
      </c>
      <c r="D600">
        <v>26161.85</v>
      </c>
      <c r="K600" s="42"/>
      <c r="L600" s="14"/>
    </row>
    <row r="601" spans="2:12" x14ac:dyDescent="0.25">
      <c r="B601" s="42">
        <v>44930</v>
      </c>
      <c r="D601">
        <v>26235.73</v>
      </c>
      <c r="K601" s="42"/>
      <c r="L601" s="14"/>
    </row>
    <row r="602" spans="2:12" x14ac:dyDescent="0.25">
      <c r="B602" s="42">
        <v>44929</v>
      </c>
      <c r="D602">
        <v>26511.45</v>
      </c>
      <c r="K602" s="42"/>
      <c r="L602" s="14"/>
    </row>
    <row r="603" spans="2:12" x14ac:dyDescent="0.25">
      <c r="B603" s="42">
        <v>44928</v>
      </c>
      <c r="D603">
        <v>26460.41</v>
      </c>
      <c r="K603" s="42"/>
      <c r="L603" s="14"/>
    </row>
    <row r="604" spans="2:12" x14ac:dyDescent="0.25">
      <c r="B604" s="42">
        <v>44925</v>
      </c>
      <c r="D604">
        <v>26326.37</v>
      </c>
      <c r="K604" s="42"/>
      <c r="L604" s="14"/>
    </row>
    <row r="605" spans="2:12" x14ac:dyDescent="0.25">
      <c r="B605" s="42">
        <v>44924</v>
      </c>
      <c r="D605">
        <v>26451.02</v>
      </c>
      <c r="K605" s="42"/>
      <c r="L605" s="14"/>
    </row>
    <row r="606" spans="2:12" x14ac:dyDescent="0.25">
      <c r="B606" s="42">
        <v>44923</v>
      </c>
      <c r="D606">
        <v>26351.4</v>
      </c>
      <c r="K606" s="42"/>
      <c r="L606" s="14"/>
    </row>
    <row r="607" spans="2:12" x14ac:dyDescent="0.25">
      <c r="B607" s="42">
        <v>44922</v>
      </c>
      <c r="D607">
        <v>26365.65</v>
      </c>
      <c r="K607" s="42"/>
      <c r="L607" s="14"/>
    </row>
    <row r="608" spans="2:12" x14ac:dyDescent="0.25">
      <c r="B608" s="42">
        <v>44921</v>
      </c>
      <c r="D608">
        <v>26194.52</v>
      </c>
      <c r="K608" s="42"/>
      <c r="L608" s="14"/>
    </row>
    <row r="609" spans="2:12" x14ac:dyDescent="0.25">
      <c r="B609" s="42">
        <v>44918</v>
      </c>
      <c r="D609">
        <v>25892.35</v>
      </c>
      <c r="K609" s="42"/>
      <c r="L609" s="14"/>
    </row>
    <row r="610" spans="2:12" x14ac:dyDescent="0.25">
      <c r="B610" s="42">
        <v>44917</v>
      </c>
      <c r="D610">
        <v>26358.44</v>
      </c>
      <c r="K610" s="42"/>
      <c r="L610" s="14"/>
    </row>
    <row r="611" spans="2:12" x14ac:dyDescent="0.25">
      <c r="B611" s="42">
        <v>44916</v>
      </c>
      <c r="D611">
        <v>26462.77</v>
      </c>
      <c r="K611" s="42"/>
      <c r="L611" s="14"/>
    </row>
    <row r="612" spans="2:12" x14ac:dyDescent="0.25">
      <c r="B612" s="42">
        <v>44915</v>
      </c>
      <c r="D612">
        <v>26733.51</v>
      </c>
      <c r="K612" s="42"/>
      <c r="L612" s="14"/>
    </row>
    <row r="613" spans="2:12" x14ac:dyDescent="0.25">
      <c r="B613" s="42">
        <v>44914</v>
      </c>
      <c r="D613">
        <v>26784.68</v>
      </c>
      <c r="K613" s="42"/>
      <c r="L613" s="14"/>
    </row>
    <row r="614" spans="2:12" x14ac:dyDescent="0.25">
      <c r="B614" s="42">
        <v>44911</v>
      </c>
      <c r="D614">
        <v>26564.46</v>
      </c>
      <c r="K614" s="42"/>
      <c r="L614" s="14"/>
    </row>
    <row r="615" spans="2:12" x14ac:dyDescent="0.25">
      <c r="B615" s="42">
        <v>44910</v>
      </c>
      <c r="D615">
        <v>26776.560000000001</v>
      </c>
      <c r="K615" s="42"/>
      <c r="L615" s="14"/>
    </row>
    <row r="616" spans="2:12" x14ac:dyDescent="0.25">
      <c r="B616" s="42">
        <v>44909</v>
      </c>
      <c r="D616">
        <v>27133.4</v>
      </c>
      <c r="K616" s="42"/>
      <c r="L616" s="14"/>
    </row>
    <row r="617" spans="2:12" x14ac:dyDescent="0.25">
      <c r="B617" s="42">
        <v>44908</v>
      </c>
      <c r="D617">
        <v>27057.35</v>
      </c>
      <c r="K617" s="42"/>
      <c r="L617" s="14"/>
    </row>
    <row r="618" spans="2:12" x14ac:dyDescent="0.25">
      <c r="B618" s="42">
        <v>44907</v>
      </c>
      <c r="D618">
        <v>26896.21</v>
      </c>
      <c r="K618" s="42"/>
      <c r="L618" s="14"/>
    </row>
    <row r="619" spans="2:12" x14ac:dyDescent="0.25">
      <c r="B619" s="42">
        <v>44904</v>
      </c>
      <c r="D619">
        <v>26895.35</v>
      </c>
      <c r="K619" s="42"/>
      <c r="L619" s="14"/>
    </row>
    <row r="620" spans="2:12" x14ac:dyDescent="0.25">
      <c r="B620" s="42">
        <v>44903</v>
      </c>
      <c r="D620">
        <v>27059.31</v>
      </c>
      <c r="K620" s="42"/>
      <c r="L620" s="14"/>
    </row>
    <row r="621" spans="2:12" x14ac:dyDescent="0.25">
      <c r="B621" s="42">
        <v>44902</v>
      </c>
      <c r="D621">
        <v>26988.31</v>
      </c>
      <c r="K621" s="42"/>
      <c r="L621" s="14"/>
    </row>
    <row r="622" spans="2:12" x14ac:dyDescent="0.25">
      <c r="B622" s="42">
        <v>44901</v>
      </c>
      <c r="D622">
        <v>27107.87</v>
      </c>
      <c r="K622" s="42"/>
      <c r="L622" s="14"/>
    </row>
    <row r="623" spans="2:12" x14ac:dyDescent="0.25">
      <c r="B623" s="42">
        <v>44900</v>
      </c>
      <c r="D623">
        <v>27192.639999999999</v>
      </c>
      <c r="K623" s="42"/>
      <c r="L623" s="14"/>
    </row>
    <row r="624" spans="2:12" x14ac:dyDescent="0.25">
      <c r="B624" s="42">
        <v>44897</v>
      </c>
      <c r="D624">
        <v>27185.439999999999</v>
      </c>
      <c r="K624" s="42"/>
      <c r="L624" s="14"/>
    </row>
    <row r="625" spans="2:12" x14ac:dyDescent="0.25">
      <c r="B625" s="42">
        <v>44896</v>
      </c>
      <c r="D625">
        <v>27354.74</v>
      </c>
      <c r="K625" s="42"/>
      <c r="L625" s="14"/>
    </row>
    <row r="626" spans="2:12" x14ac:dyDescent="0.25">
      <c r="B626" s="42">
        <v>44895</v>
      </c>
      <c r="D626">
        <v>27276.01</v>
      </c>
      <c r="K626" s="42"/>
      <c r="L626" s="14"/>
    </row>
    <row r="627" spans="2:12" x14ac:dyDescent="0.25">
      <c r="B627" s="42">
        <v>44894</v>
      </c>
      <c r="D627">
        <v>27071.98</v>
      </c>
      <c r="K627" s="42"/>
      <c r="L627" s="14"/>
    </row>
    <row r="628" spans="2:12" x14ac:dyDescent="0.25">
      <c r="B628" s="42">
        <v>44893</v>
      </c>
      <c r="D628">
        <v>26991.599999999999</v>
      </c>
      <c r="K628" s="42"/>
      <c r="L628" s="14"/>
    </row>
    <row r="629" spans="2:12" x14ac:dyDescent="0.25">
      <c r="B629" s="42">
        <v>44890</v>
      </c>
      <c r="D629">
        <v>26918.89</v>
      </c>
      <c r="K629" s="42"/>
      <c r="L629" s="14"/>
    </row>
    <row r="630" spans="2:12" x14ac:dyDescent="0.25">
      <c r="B630" s="42">
        <v>44889</v>
      </c>
      <c r="D630">
        <v>26877.24</v>
      </c>
      <c r="K630" s="42"/>
      <c r="L630" s="14"/>
    </row>
    <row r="631" spans="2:12" x14ac:dyDescent="0.25">
      <c r="B631" s="42">
        <v>44888</v>
      </c>
      <c r="D631">
        <v>26561.89</v>
      </c>
      <c r="K631" s="42"/>
      <c r="L631" s="14"/>
    </row>
    <row r="632" spans="2:12" x14ac:dyDescent="0.25">
      <c r="B632" s="42">
        <v>44887</v>
      </c>
      <c r="D632">
        <v>26528.400000000001</v>
      </c>
      <c r="K632" s="42"/>
      <c r="L632" s="14"/>
    </row>
    <row r="633" spans="2:12" x14ac:dyDescent="0.25">
      <c r="B633" s="42">
        <v>44886</v>
      </c>
      <c r="D633">
        <v>26405.9</v>
      </c>
      <c r="K633" s="42"/>
      <c r="L633" s="14"/>
    </row>
    <row r="634" spans="2:12" x14ac:dyDescent="0.25">
      <c r="B634" s="42">
        <v>44883</v>
      </c>
      <c r="D634">
        <v>26620.61</v>
      </c>
      <c r="K634" s="42"/>
      <c r="L634" s="14"/>
    </row>
    <row r="635" spans="2:12" x14ac:dyDescent="0.25">
      <c r="B635" s="42">
        <v>44882</v>
      </c>
      <c r="D635">
        <v>26673.32</v>
      </c>
      <c r="K635" s="42"/>
      <c r="L635" s="14"/>
    </row>
    <row r="636" spans="2:12" x14ac:dyDescent="0.25">
      <c r="B636" s="42">
        <v>44881</v>
      </c>
      <c r="D636">
        <v>26768.95</v>
      </c>
      <c r="K636" s="42"/>
      <c r="L636" s="14"/>
    </row>
    <row r="637" spans="2:12" x14ac:dyDescent="0.25">
      <c r="B637" s="42">
        <v>44880</v>
      </c>
      <c r="D637">
        <v>26759.85</v>
      </c>
      <c r="K637" s="42"/>
      <c r="L637" s="14"/>
    </row>
    <row r="638" spans="2:12" x14ac:dyDescent="0.25">
      <c r="B638" s="42">
        <v>44879</v>
      </c>
      <c r="D638">
        <v>26651.93</v>
      </c>
      <c r="K638" s="42"/>
      <c r="L638" s="14"/>
    </row>
    <row r="639" spans="2:12" x14ac:dyDescent="0.25">
      <c r="B639" s="42">
        <v>44876</v>
      </c>
      <c r="D639">
        <v>26681.759999999998</v>
      </c>
      <c r="K639" s="42"/>
      <c r="L639" s="14"/>
    </row>
    <row r="640" spans="2:12" x14ac:dyDescent="0.25">
      <c r="B640" s="42">
        <v>44875</v>
      </c>
      <c r="D640">
        <v>26214.31</v>
      </c>
      <c r="K640" s="42"/>
      <c r="L640" s="14"/>
    </row>
    <row r="641" spans="2:12" x14ac:dyDescent="0.25">
      <c r="B641" s="42">
        <v>44874</v>
      </c>
      <c r="D641">
        <v>26401.58</v>
      </c>
      <c r="K641" s="42"/>
      <c r="L641" s="14"/>
    </row>
    <row r="642" spans="2:12" x14ac:dyDescent="0.25">
      <c r="B642" s="42">
        <v>44872</v>
      </c>
      <c r="D642">
        <v>26464.44</v>
      </c>
      <c r="K642" s="42"/>
      <c r="L642" s="14"/>
    </row>
    <row r="643" spans="2:12" x14ac:dyDescent="0.25">
      <c r="B643" s="42">
        <v>44869</v>
      </c>
      <c r="D643">
        <v>26339.9</v>
      </c>
      <c r="K643" s="42"/>
      <c r="L643" s="14"/>
    </row>
    <row r="644" spans="2:12" x14ac:dyDescent="0.25">
      <c r="B644" s="42">
        <v>44868</v>
      </c>
      <c r="D644">
        <v>26246.23</v>
      </c>
      <c r="K644" s="42"/>
      <c r="L644" s="14"/>
    </row>
    <row r="645" spans="2:12" x14ac:dyDescent="0.25">
      <c r="B645" s="42">
        <v>44867</v>
      </c>
      <c r="D645">
        <v>26290.01</v>
      </c>
      <c r="K645" s="42"/>
      <c r="L645" s="14"/>
    </row>
    <row r="646" spans="2:12" x14ac:dyDescent="0.25">
      <c r="B646" s="42">
        <v>44866</v>
      </c>
      <c r="D646">
        <v>26380.97</v>
      </c>
      <c r="K646" s="42"/>
      <c r="L646" s="14"/>
    </row>
    <row r="647" spans="2:12" x14ac:dyDescent="0.25">
      <c r="B647" s="42">
        <v>44865</v>
      </c>
      <c r="D647">
        <v>26182.36</v>
      </c>
      <c r="K647" s="42"/>
      <c r="L647" s="14"/>
    </row>
    <row r="648" spans="2:12" x14ac:dyDescent="0.25">
      <c r="B648" s="42">
        <v>44862</v>
      </c>
      <c r="D648">
        <v>25852.720000000001</v>
      </c>
      <c r="K648" s="42"/>
      <c r="L648" s="14"/>
    </row>
    <row r="649" spans="2:12" x14ac:dyDescent="0.25">
      <c r="B649" s="42">
        <v>44861</v>
      </c>
      <c r="D649">
        <v>25780.23</v>
      </c>
      <c r="K649" s="42"/>
      <c r="L649" s="14"/>
    </row>
    <row r="650" spans="2:12" x14ac:dyDescent="0.25">
      <c r="B650" s="42">
        <v>44859</v>
      </c>
      <c r="D650">
        <v>25643.34</v>
      </c>
      <c r="K650" s="42"/>
      <c r="L650" s="14"/>
    </row>
    <row r="651" spans="2:12" x14ac:dyDescent="0.25">
      <c r="B651" s="42">
        <v>44858</v>
      </c>
      <c r="D651">
        <v>25751.45</v>
      </c>
      <c r="K651" s="42"/>
      <c r="L651" s="14"/>
    </row>
    <row r="652" spans="2:12" x14ac:dyDescent="0.25">
      <c r="B652" s="42">
        <v>44855</v>
      </c>
      <c r="D652">
        <v>25527.09</v>
      </c>
      <c r="K652" s="42"/>
      <c r="L652" s="14"/>
    </row>
    <row r="653" spans="2:12" x14ac:dyDescent="0.25">
      <c r="B653" s="42">
        <v>44854</v>
      </c>
      <c r="D653">
        <v>25509.14</v>
      </c>
      <c r="K653" s="42"/>
      <c r="L653" s="14"/>
    </row>
    <row r="654" spans="2:12" x14ac:dyDescent="0.25">
      <c r="B654" s="42">
        <v>44853</v>
      </c>
      <c r="D654">
        <v>25434.1</v>
      </c>
      <c r="K654" s="42"/>
      <c r="L654" s="14"/>
    </row>
    <row r="655" spans="2:12" x14ac:dyDescent="0.25">
      <c r="B655" s="42">
        <v>44852</v>
      </c>
      <c r="D655">
        <v>25393.89</v>
      </c>
      <c r="K655" s="42"/>
      <c r="L655" s="14"/>
    </row>
    <row r="656" spans="2:12" x14ac:dyDescent="0.25">
      <c r="B656" s="42">
        <v>44851</v>
      </c>
      <c r="D656">
        <v>25139.55</v>
      </c>
      <c r="K656" s="42"/>
      <c r="L656" s="14"/>
    </row>
    <row r="657" spans="2:12" x14ac:dyDescent="0.25">
      <c r="B657" s="42">
        <v>44848</v>
      </c>
      <c r="D657">
        <v>24953.75</v>
      </c>
      <c r="K657" s="42"/>
      <c r="L657" s="14"/>
    </row>
    <row r="658" spans="2:12" x14ac:dyDescent="0.25">
      <c r="B658" s="42">
        <v>44847</v>
      </c>
      <c r="D658">
        <v>24704.95</v>
      </c>
      <c r="K658" s="42"/>
      <c r="L658" s="14"/>
    </row>
    <row r="659" spans="2:12" x14ac:dyDescent="0.25">
      <c r="B659" s="42">
        <v>44846</v>
      </c>
      <c r="D659">
        <v>24863.58</v>
      </c>
      <c r="K659" s="42"/>
      <c r="L659" s="14"/>
    </row>
    <row r="660" spans="2:12" x14ac:dyDescent="0.25">
      <c r="B660" s="42">
        <v>44845</v>
      </c>
      <c r="D660">
        <v>24660.2</v>
      </c>
      <c r="K660" s="42"/>
      <c r="L660" s="14"/>
    </row>
    <row r="661" spans="2:12" x14ac:dyDescent="0.25">
      <c r="B661" s="42">
        <v>44844</v>
      </c>
      <c r="D661">
        <v>25034.02</v>
      </c>
      <c r="K661" s="42"/>
      <c r="L661" s="14"/>
    </row>
    <row r="662" spans="2:12" x14ac:dyDescent="0.25">
      <c r="B662" s="42">
        <v>44841</v>
      </c>
      <c r="D662">
        <v>25140.99</v>
      </c>
      <c r="K662" s="42"/>
      <c r="L662" s="14"/>
    </row>
    <row r="663" spans="2:12" x14ac:dyDescent="0.25">
      <c r="B663" s="42">
        <v>44840</v>
      </c>
      <c r="D663">
        <v>25165.85</v>
      </c>
      <c r="K663" s="42"/>
      <c r="L663" s="14"/>
    </row>
    <row r="664" spans="2:12" x14ac:dyDescent="0.25">
      <c r="B664" s="42">
        <v>44838</v>
      </c>
      <c r="D664">
        <v>25082.39</v>
      </c>
      <c r="K664" s="42"/>
      <c r="L664" s="14"/>
    </row>
    <row r="665" spans="2:12" x14ac:dyDescent="0.25">
      <c r="B665" s="42">
        <v>44837</v>
      </c>
      <c r="D665">
        <v>24520.52</v>
      </c>
      <c r="K665" s="42"/>
      <c r="L665" s="14"/>
    </row>
    <row r="666" spans="2:12" x14ac:dyDescent="0.25">
      <c r="B666" s="42">
        <v>44834</v>
      </c>
      <c r="D666">
        <v>24821.08</v>
      </c>
      <c r="K666" s="42"/>
      <c r="L666" s="14"/>
    </row>
    <row r="667" spans="2:12" x14ac:dyDescent="0.25">
      <c r="B667" s="42">
        <v>44833</v>
      </c>
      <c r="D667">
        <v>24419.98</v>
      </c>
      <c r="K667" s="42"/>
      <c r="L667" s="14"/>
    </row>
    <row r="668" spans="2:12" x14ac:dyDescent="0.25">
      <c r="B668" s="42">
        <v>44832</v>
      </c>
      <c r="D668">
        <v>24478.82</v>
      </c>
      <c r="K668" s="42"/>
      <c r="L668" s="14"/>
    </row>
    <row r="669" spans="2:12" x14ac:dyDescent="0.25">
      <c r="B669" s="42">
        <v>44831</v>
      </c>
      <c r="D669">
        <v>24694.83</v>
      </c>
      <c r="K669" s="42"/>
      <c r="L669" s="14"/>
    </row>
    <row r="670" spans="2:12" x14ac:dyDescent="0.25">
      <c r="B670" s="42">
        <v>44830</v>
      </c>
      <c r="D670">
        <v>24707.77</v>
      </c>
      <c r="K670" s="42"/>
      <c r="L670" s="14"/>
    </row>
    <row r="671" spans="2:12" x14ac:dyDescent="0.25">
      <c r="B671" s="42">
        <v>44827</v>
      </c>
      <c r="D671">
        <v>25159.42</v>
      </c>
      <c r="K671" s="42"/>
      <c r="L671" s="14"/>
    </row>
    <row r="672" spans="2:12" x14ac:dyDescent="0.25">
      <c r="B672" s="42">
        <v>44826</v>
      </c>
      <c r="D672">
        <v>25598.6</v>
      </c>
      <c r="K672" s="42"/>
      <c r="L672" s="14"/>
    </row>
    <row r="673" spans="2:12" x14ac:dyDescent="0.25">
      <c r="B673" s="42">
        <v>44825</v>
      </c>
      <c r="D673">
        <v>25727.13</v>
      </c>
      <c r="K673" s="42"/>
      <c r="L673" s="14"/>
    </row>
    <row r="674" spans="2:12" x14ac:dyDescent="0.25">
      <c r="B674" s="42">
        <v>44824</v>
      </c>
      <c r="D674">
        <v>25869.27</v>
      </c>
      <c r="K674" s="42"/>
      <c r="L674" s="14"/>
    </row>
    <row r="675" spans="2:12" x14ac:dyDescent="0.25">
      <c r="B675" s="42">
        <v>44823</v>
      </c>
      <c r="D675">
        <v>25587.63</v>
      </c>
      <c r="K675" s="42"/>
      <c r="L675" s="14"/>
    </row>
    <row r="676" spans="2:12" x14ac:dyDescent="0.25">
      <c r="B676" s="42">
        <v>44820</v>
      </c>
      <c r="D676">
        <v>25454.93</v>
      </c>
      <c r="K676" s="42"/>
      <c r="L676" s="14"/>
    </row>
    <row r="677" spans="2:12" x14ac:dyDescent="0.25">
      <c r="B677" s="42">
        <v>44819</v>
      </c>
      <c r="D677">
        <v>25958.06</v>
      </c>
      <c r="K677" s="42"/>
      <c r="L677" s="14"/>
    </row>
    <row r="678" spans="2:12" x14ac:dyDescent="0.25">
      <c r="B678" s="42">
        <v>44818</v>
      </c>
      <c r="D678">
        <v>26141.52</v>
      </c>
      <c r="K678" s="42"/>
      <c r="L678" s="14"/>
    </row>
    <row r="679" spans="2:12" x14ac:dyDescent="0.25">
      <c r="B679" s="42">
        <v>44817</v>
      </c>
      <c r="D679">
        <v>26237.81</v>
      </c>
      <c r="K679" s="42"/>
      <c r="L679" s="14"/>
    </row>
    <row r="680" spans="2:12" x14ac:dyDescent="0.25">
      <c r="B680" s="42">
        <v>44816</v>
      </c>
      <c r="D680">
        <v>26043.69</v>
      </c>
      <c r="K680" s="42"/>
      <c r="L680" s="14"/>
    </row>
    <row r="681" spans="2:12" x14ac:dyDescent="0.25">
      <c r="B681" s="42">
        <v>44813</v>
      </c>
      <c r="D681">
        <v>25894.12</v>
      </c>
      <c r="K681" s="42"/>
      <c r="L681" s="14"/>
    </row>
    <row r="682" spans="2:12" x14ac:dyDescent="0.25">
      <c r="B682" s="42">
        <v>44812</v>
      </c>
      <c r="D682">
        <v>25843.86</v>
      </c>
      <c r="K682" s="42"/>
      <c r="L682" s="14"/>
    </row>
    <row r="683" spans="2:12" x14ac:dyDescent="0.25">
      <c r="B683" s="42">
        <v>44811</v>
      </c>
      <c r="D683">
        <v>25590.73</v>
      </c>
      <c r="K683" s="42"/>
      <c r="L683" s="14"/>
    </row>
    <row r="684" spans="2:12" x14ac:dyDescent="0.25">
      <c r="B684" s="42">
        <v>44810</v>
      </c>
      <c r="D684">
        <v>25636.01</v>
      </c>
      <c r="K684" s="42"/>
      <c r="L684" s="14"/>
    </row>
    <row r="685" spans="2:12" x14ac:dyDescent="0.25">
      <c r="B685" s="42">
        <v>44809</v>
      </c>
      <c r="D685">
        <v>25650.83</v>
      </c>
      <c r="K685" s="42"/>
      <c r="L685" s="14"/>
    </row>
    <row r="686" spans="2:12" x14ac:dyDescent="0.25">
      <c r="B686" s="42">
        <v>44806</v>
      </c>
      <c r="D686">
        <v>25467.41</v>
      </c>
      <c r="K686" s="42"/>
      <c r="L686" s="14"/>
    </row>
    <row r="687" spans="2:12" x14ac:dyDescent="0.25">
      <c r="B687" s="42">
        <v>44805</v>
      </c>
      <c r="D687">
        <v>25472.240000000002</v>
      </c>
      <c r="K687" s="42"/>
      <c r="L687" s="14"/>
    </row>
    <row r="688" spans="2:12" x14ac:dyDescent="0.25">
      <c r="B688" s="42">
        <v>44803</v>
      </c>
      <c r="D688">
        <v>25786.59</v>
      </c>
      <c r="K688" s="42"/>
      <c r="L688" s="14"/>
    </row>
    <row r="689" spans="2:12" x14ac:dyDescent="0.25">
      <c r="B689" s="42">
        <v>44802</v>
      </c>
      <c r="D689">
        <v>25138.400000000001</v>
      </c>
      <c r="K689" s="42"/>
      <c r="L689" s="14"/>
    </row>
    <row r="690" spans="2:12" x14ac:dyDescent="0.25">
      <c r="B690" s="42">
        <v>44799</v>
      </c>
      <c r="D690">
        <v>25495.64</v>
      </c>
      <c r="K690" s="42"/>
      <c r="L690" s="14"/>
    </row>
    <row r="691" spans="2:12" x14ac:dyDescent="0.25">
      <c r="B691" s="42">
        <v>44798</v>
      </c>
      <c r="D691">
        <v>25442.67</v>
      </c>
      <c r="K691" s="42"/>
      <c r="L691" s="14"/>
    </row>
    <row r="692" spans="2:12" x14ac:dyDescent="0.25">
      <c r="B692" s="42">
        <v>44797</v>
      </c>
      <c r="D692">
        <v>25562.51</v>
      </c>
      <c r="K692" s="42"/>
      <c r="L692" s="14"/>
    </row>
    <row r="693" spans="2:12" x14ac:dyDescent="0.25">
      <c r="B693" s="42">
        <v>44796</v>
      </c>
      <c r="D693">
        <v>25522.62</v>
      </c>
      <c r="K693" s="42"/>
      <c r="L693" s="14"/>
    </row>
    <row r="694" spans="2:12" x14ac:dyDescent="0.25">
      <c r="B694" s="42">
        <v>44795</v>
      </c>
      <c r="D694">
        <v>25396.57</v>
      </c>
      <c r="K694" s="42"/>
      <c r="L694" s="14"/>
    </row>
    <row r="695" spans="2:12" x14ac:dyDescent="0.25">
      <c r="B695" s="42">
        <v>44792</v>
      </c>
      <c r="D695">
        <v>25785.4</v>
      </c>
      <c r="K695" s="42"/>
      <c r="L695" s="14"/>
    </row>
    <row r="696" spans="2:12" x14ac:dyDescent="0.25">
      <c r="B696" s="42">
        <v>44791</v>
      </c>
      <c r="D696">
        <v>26067.35</v>
      </c>
      <c r="K696" s="42"/>
      <c r="L696" s="14"/>
    </row>
    <row r="697" spans="2:12" x14ac:dyDescent="0.25">
      <c r="B697" s="42">
        <v>44790</v>
      </c>
      <c r="D697">
        <v>26035.87</v>
      </c>
      <c r="K697" s="42"/>
      <c r="L697" s="14"/>
    </row>
    <row r="698" spans="2:12" x14ac:dyDescent="0.25">
      <c r="B698" s="42">
        <v>44789</v>
      </c>
      <c r="D698">
        <v>25863.24</v>
      </c>
      <c r="K698" s="42"/>
      <c r="L698" s="14"/>
    </row>
    <row r="699" spans="2:12" x14ac:dyDescent="0.25">
      <c r="B699" s="42">
        <v>44785</v>
      </c>
      <c r="D699">
        <v>25678.83</v>
      </c>
      <c r="K699" s="42"/>
      <c r="L699" s="14"/>
    </row>
    <row r="700" spans="2:12" x14ac:dyDescent="0.25">
      <c r="B700" s="42">
        <v>44784</v>
      </c>
      <c r="D700">
        <v>25621.06</v>
      </c>
      <c r="K700" s="42"/>
      <c r="L700" s="14"/>
    </row>
    <row r="701" spans="2:12" x14ac:dyDescent="0.25">
      <c r="B701" s="42">
        <v>44783</v>
      </c>
      <c r="D701">
        <v>25431.919999999998</v>
      </c>
      <c r="K701" s="42"/>
      <c r="L701" s="14"/>
    </row>
    <row r="702" spans="2:12" x14ac:dyDescent="0.25">
      <c r="B702" s="42">
        <v>44781</v>
      </c>
      <c r="D702">
        <v>25413.25</v>
      </c>
      <c r="K702" s="42"/>
      <c r="L702" s="14"/>
    </row>
    <row r="703" spans="2:12" x14ac:dyDescent="0.25">
      <c r="B703" s="42">
        <v>44778</v>
      </c>
      <c r="D703">
        <v>25215.93</v>
      </c>
      <c r="K703" s="42"/>
      <c r="L703" s="14"/>
    </row>
    <row r="704" spans="2:12" x14ac:dyDescent="0.25">
      <c r="B704" s="42">
        <v>44777</v>
      </c>
      <c r="D704">
        <v>25193.41</v>
      </c>
      <c r="K704" s="42"/>
      <c r="L704" s="14"/>
    </row>
    <row r="705" spans="2:12" x14ac:dyDescent="0.25">
      <c r="B705" s="42">
        <v>44776</v>
      </c>
      <c r="D705">
        <v>25202.38</v>
      </c>
      <c r="K705" s="42"/>
      <c r="L705" s="14"/>
    </row>
    <row r="706" spans="2:12" x14ac:dyDescent="0.25">
      <c r="B706" s="42">
        <v>44775</v>
      </c>
      <c r="D706">
        <v>25137.82</v>
      </c>
      <c r="K706" s="42"/>
      <c r="L706" s="14"/>
    </row>
    <row r="707" spans="2:12" x14ac:dyDescent="0.25">
      <c r="B707" s="42">
        <v>44774</v>
      </c>
      <c r="D707">
        <v>25128.57</v>
      </c>
      <c r="K707" s="42"/>
      <c r="L707" s="14"/>
    </row>
    <row r="708" spans="2:12" x14ac:dyDescent="0.25">
      <c r="B708" s="42">
        <v>44771</v>
      </c>
      <c r="D708">
        <v>24862.7</v>
      </c>
      <c r="K708" s="42"/>
      <c r="L708" s="14"/>
    </row>
    <row r="709" spans="2:12" x14ac:dyDescent="0.25">
      <c r="B709" s="42">
        <v>44770</v>
      </c>
      <c r="D709">
        <v>24531.38</v>
      </c>
      <c r="K709" s="42"/>
      <c r="L709" s="14"/>
    </row>
    <row r="710" spans="2:12" x14ac:dyDescent="0.25">
      <c r="B710" s="42">
        <v>44769</v>
      </c>
      <c r="D710">
        <v>24114.41</v>
      </c>
      <c r="K710" s="42"/>
      <c r="L710" s="14"/>
    </row>
    <row r="711" spans="2:12" x14ac:dyDescent="0.25">
      <c r="B711" s="42">
        <v>44768</v>
      </c>
      <c r="D711">
        <v>23882.26</v>
      </c>
      <c r="K711" s="42"/>
      <c r="L711" s="14"/>
    </row>
    <row r="712" spans="2:12" x14ac:dyDescent="0.25">
      <c r="B712" s="42">
        <v>44767</v>
      </c>
      <c r="D712">
        <v>24095.46</v>
      </c>
      <c r="K712" s="42"/>
      <c r="L712" s="14"/>
    </row>
    <row r="713" spans="2:12" x14ac:dyDescent="0.25">
      <c r="B713" s="42">
        <v>44764</v>
      </c>
      <c r="D713">
        <v>24223.56</v>
      </c>
      <c r="K713" s="42"/>
      <c r="L713" s="14"/>
    </row>
    <row r="714" spans="2:12" x14ac:dyDescent="0.25">
      <c r="B714" s="42">
        <v>44763</v>
      </c>
      <c r="D714">
        <v>24058.17</v>
      </c>
      <c r="K714" s="42"/>
      <c r="L714" s="14"/>
    </row>
    <row r="715" spans="2:12" x14ac:dyDescent="0.25">
      <c r="B715" s="42">
        <v>44762</v>
      </c>
      <c r="D715">
        <v>23920.880000000001</v>
      </c>
      <c r="K715" s="42"/>
      <c r="L715" s="14"/>
    </row>
    <row r="716" spans="2:12" x14ac:dyDescent="0.25">
      <c r="B716" s="42">
        <v>44761</v>
      </c>
      <c r="D716">
        <v>23659.85</v>
      </c>
      <c r="K716" s="42"/>
      <c r="L716" s="14"/>
    </row>
    <row r="717" spans="2:12" x14ac:dyDescent="0.25">
      <c r="B717" s="42">
        <v>44760</v>
      </c>
      <c r="D717">
        <v>23566.52</v>
      </c>
      <c r="K717" s="42"/>
      <c r="L717" s="14"/>
    </row>
    <row r="718" spans="2:12" x14ac:dyDescent="0.25">
      <c r="B718" s="42">
        <v>44757</v>
      </c>
      <c r="D718">
        <v>23234.52</v>
      </c>
      <c r="K718" s="42"/>
      <c r="L718" s="14"/>
    </row>
    <row r="719" spans="2:12" x14ac:dyDescent="0.25">
      <c r="B719" s="42">
        <v>44756</v>
      </c>
      <c r="D719">
        <v>23074.52</v>
      </c>
      <c r="K719" s="42"/>
      <c r="L719" s="14"/>
    </row>
    <row r="720" spans="2:12" x14ac:dyDescent="0.25">
      <c r="B720" s="42">
        <v>44755</v>
      </c>
      <c r="D720">
        <v>23107.47</v>
      </c>
      <c r="K720" s="42"/>
      <c r="L720" s="14"/>
    </row>
    <row r="721" spans="2:12" x14ac:dyDescent="0.25">
      <c r="B721" s="42">
        <v>44754</v>
      </c>
      <c r="D721">
        <v>23239.9</v>
      </c>
      <c r="K721" s="42"/>
      <c r="L721" s="14"/>
    </row>
    <row r="722" spans="2:12" x14ac:dyDescent="0.25">
      <c r="B722" s="42">
        <v>44753</v>
      </c>
      <c r="D722">
        <v>23468.14</v>
      </c>
      <c r="K722" s="42"/>
      <c r="L722" s="14"/>
    </row>
    <row r="723" spans="2:12" x14ac:dyDescent="0.25">
      <c r="B723" s="42">
        <v>44750</v>
      </c>
      <c r="D723">
        <v>23473.61</v>
      </c>
      <c r="K723" s="42"/>
      <c r="L723" s="14"/>
    </row>
    <row r="724" spans="2:12" x14ac:dyDescent="0.25">
      <c r="B724" s="42">
        <v>44749</v>
      </c>
      <c r="D724">
        <v>23345.61</v>
      </c>
      <c r="K724" s="42"/>
      <c r="L724" s="14"/>
    </row>
    <row r="725" spans="2:12" x14ac:dyDescent="0.25">
      <c r="B725" s="42">
        <v>44748</v>
      </c>
      <c r="D725">
        <v>23137.7</v>
      </c>
      <c r="K725" s="42"/>
      <c r="L725" s="14"/>
    </row>
    <row r="726" spans="2:12" x14ac:dyDescent="0.25">
      <c r="B726" s="42">
        <v>44747</v>
      </c>
      <c r="D726">
        <v>22878.720000000001</v>
      </c>
      <c r="K726" s="42"/>
      <c r="L726" s="14"/>
    </row>
    <row r="727" spans="2:12" x14ac:dyDescent="0.25">
      <c r="B727" s="42">
        <v>44746</v>
      </c>
      <c r="D727">
        <v>22914.2</v>
      </c>
      <c r="K727" s="42"/>
      <c r="L727" s="14"/>
    </row>
    <row r="728" spans="2:12" x14ac:dyDescent="0.25">
      <c r="B728" s="42">
        <v>44743</v>
      </c>
      <c r="D728">
        <v>22788.18</v>
      </c>
      <c r="K728" s="42"/>
      <c r="L728" s="14"/>
    </row>
    <row r="729" spans="2:12" x14ac:dyDescent="0.25">
      <c r="B729" s="42">
        <v>44742</v>
      </c>
      <c r="D729">
        <v>22828.93</v>
      </c>
      <c r="K729" s="42"/>
      <c r="L729" s="14"/>
    </row>
    <row r="730" spans="2:12" x14ac:dyDescent="0.25">
      <c r="B730" s="42">
        <v>44741</v>
      </c>
      <c r="D730">
        <v>22848.35</v>
      </c>
      <c r="K730" s="42"/>
      <c r="L730" s="14"/>
    </row>
    <row r="731" spans="2:12" x14ac:dyDescent="0.25">
      <c r="B731" s="42">
        <v>44740</v>
      </c>
      <c r="D731">
        <v>22922.240000000002</v>
      </c>
      <c r="K731" s="42"/>
      <c r="L731" s="14"/>
    </row>
    <row r="732" spans="2:12" x14ac:dyDescent="0.25">
      <c r="B732" s="42">
        <v>44739</v>
      </c>
      <c r="D732">
        <v>22896.02</v>
      </c>
      <c r="K732" s="42"/>
      <c r="L732" s="14"/>
    </row>
    <row r="733" spans="2:12" x14ac:dyDescent="0.25">
      <c r="B733" s="42">
        <v>44736</v>
      </c>
      <c r="D733">
        <v>22703.95</v>
      </c>
      <c r="K733" s="42"/>
      <c r="L733" s="14"/>
    </row>
    <row r="734" spans="2:12" x14ac:dyDescent="0.25">
      <c r="B734" s="42">
        <v>44735</v>
      </c>
      <c r="D734">
        <v>22497.71</v>
      </c>
      <c r="K734" s="42"/>
      <c r="L734" s="14"/>
    </row>
    <row r="735" spans="2:12" x14ac:dyDescent="0.25">
      <c r="B735" s="42">
        <v>44734</v>
      </c>
      <c r="D735">
        <v>22290.46</v>
      </c>
      <c r="K735" s="42"/>
      <c r="L735" s="14"/>
    </row>
    <row r="736" spans="2:12" x14ac:dyDescent="0.25">
      <c r="B736" s="42">
        <v>44733</v>
      </c>
      <c r="D736">
        <v>22616.52</v>
      </c>
      <c r="K736" s="42"/>
      <c r="L736" s="14"/>
    </row>
    <row r="737" spans="2:12" x14ac:dyDescent="0.25">
      <c r="B737" s="42">
        <v>44732</v>
      </c>
      <c r="D737">
        <v>22199.11</v>
      </c>
      <c r="K737" s="42"/>
      <c r="L737" s="14"/>
    </row>
    <row r="738" spans="2:12" x14ac:dyDescent="0.25">
      <c r="B738" s="42">
        <v>44729</v>
      </c>
      <c r="D738">
        <v>22114.97</v>
      </c>
      <c r="K738" s="42"/>
      <c r="L738" s="14"/>
    </row>
    <row r="739" spans="2:12" x14ac:dyDescent="0.25">
      <c r="B739" s="42">
        <v>44728</v>
      </c>
      <c r="D739">
        <v>22211.98</v>
      </c>
      <c r="K739" s="42"/>
      <c r="L739" s="14"/>
    </row>
    <row r="740" spans="2:12" x14ac:dyDescent="0.25">
      <c r="B740" s="42">
        <v>44727</v>
      </c>
      <c r="D740">
        <v>22691.46</v>
      </c>
      <c r="K740" s="42"/>
      <c r="L740" s="14"/>
    </row>
    <row r="741" spans="2:12" x14ac:dyDescent="0.25">
      <c r="B741" s="42">
        <v>44726</v>
      </c>
      <c r="D741">
        <v>22729.97</v>
      </c>
      <c r="K741" s="42"/>
      <c r="L741" s="14"/>
    </row>
    <row r="742" spans="2:12" x14ac:dyDescent="0.25">
      <c r="B742" s="42">
        <v>44725</v>
      </c>
      <c r="D742">
        <v>22791.119999999999</v>
      </c>
      <c r="K742" s="42"/>
      <c r="L742" s="14"/>
    </row>
    <row r="743" spans="2:12" x14ac:dyDescent="0.25">
      <c r="B743" s="42">
        <v>44722</v>
      </c>
      <c r="D743">
        <v>23408.59</v>
      </c>
      <c r="K743" s="42"/>
      <c r="L743" s="14"/>
    </row>
    <row r="744" spans="2:12" x14ac:dyDescent="0.25">
      <c r="B744" s="42">
        <v>44721</v>
      </c>
      <c r="D744">
        <v>23807.84</v>
      </c>
      <c r="K744" s="42"/>
      <c r="L744" s="14"/>
    </row>
    <row r="745" spans="2:12" x14ac:dyDescent="0.25">
      <c r="B745" s="42">
        <v>44720</v>
      </c>
      <c r="D745">
        <v>23628.32</v>
      </c>
      <c r="K745" s="42"/>
      <c r="L745" s="14"/>
    </row>
    <row r="746" spans="2:12" x14ac:dyDescent="0.25">
      <c r="B746" s="42">
        <v>44719</v>
      </c>
      <c r="D746">
        <v>23715.1</v>
      </c>
      <c r="K746" s="42"/>
      <c r="L746" s="14"/>
    </row>
    <row r="747" spans="2:12" x14ac:dyDescent="0.25">
      <c r="B747" s="42">
        <v>44718</v>
      </c>
      <c r="D747">
        <v>23936.44</v>
      </c>
      <c r="K747" s="42"/>
      <c r="L747" s="14"/>
    </row>
    <row r="748" spans="2:12" x14ac:dyDescent="0.25">
      <c r="B748" s="42">
        <v>44715</v>
      </c>
      <c r="D748">
        <v>23957.71</v>
      </c>
      <c r="K748" s="42"/>
      <c r="L748" s="14"/>
    </row>
    <row r="749" spans="2:12" x14ac:dyDescent="0.25">
      <c r="B749" s="42">
        <v>44714</v>
      </c>
      <c r="D749">
        <v>24020.89</v>
      </c>
      <c r="K749" s="42"/>
      <c r="L749" s="14"/>
    </row>
    <row r="750" spans="2:12" x14ac:dyDescent="0.25">
      <c r="B750" s="42">
        <v>44713</v>
      </c>
      <c r="D750">
        <v>23868.85</v>
      </c>
      <c r="K750" s="42"/>
      <c r="L750" s="14"/>
    </row>
    <row r="751" spans="2:12" x14ac:dyDescent="0.25">
      <c r="B751" s="42">
        <v>44712</v>
      </c>
      <c r="D751">
        <v>23958.1</v>
      </c>
      <c r="K751" s="42"/>
      <c r="L751" s="14"/>
    </row>
    <row r="752" spans="2:12" x14ac:dyDescent="0.25">
      <c r="B752" s="42">
        <v>44711</v>
      </c>
      <c r="D752">
        <v>24031.25</v>
      </c>
      <c r="K752" s="42"/>
      <c r="L752" s="14"/>
    </row>
    <row r="753" spans="2:12" x14ac:dyDescent="0.25">
      <c r="B753" s="42">
        <v>44708</v>
      </c>
      <c r="D753">
        <v>23585.61</v>
      </c>
      <c r="K753" s="42"/>
      <c r="L753" s="14"/>
    </row>
    <row r="754" spans="2:12" x14ac:dyDescent="0.25">
      <c r="B754" s="42">
        <v>44707</v>
      </c>
      <c r="D754">
        <v>23322.66</v>
      </c>
      <c r="K754" s="42"/>
      <c r="L754" s="14"/>
    </row>
    <row r="755" spans="2:12" x14ac:dyDescent="0.25">
      <c r="B755" s="42">
        <v>44706</v>
      </c>
      <c r="D755">
        <v>23096.63</v>
      </c>
      <c r="K755" s="42"/>
      <c r="L755" s="14"/>
    </row>
    <row r="756" spans="2:12" x14ac:dyDescent="0.25">
      <c r="B756" s="42">
        <v>44705</v>
      </c>
      <c r="D756">
        <v>23223.25</v>
      </c>
      <c r="K756" s="42"/>
      <c r="L756" s="14"/>
    </row>
    <row r="757" spans="2:12" x14ac:dyDescent="0.25">
      <c r="B757" s="42">
        <v>44704</v>
      </c>
      <c r="D757">
        <v>23352.22</v>
      </c>
      <c r="K757" s="42"/>
      <c r="L757" s="14"/>
    </row>
    <row r="758" spans="2:12" x14ac:dyDescent="0.25">
      <c r="B758" s="42">
        <v>44701</v>
      </c>
      <c r="D758">
        <v>23426.36</v>
      </c>
      <c r="K758" s="42"/>
      <c r="L758" s="14"/>
    </row>
    <row r="759" spans="2:12" x14ac:dyDescent="0.25">
      <c r="B759" s="42">
        <v>44700</v>
      </c>
      <c r="D759">
        <v>22768.49</v>
      </c>
      <c r="K759" s="42"/>
      <c r="L759" s="14"/>
    </row>
    <row r="760" spans="2:12" x14ac:dyDescent="0.25">
      <c r="B760" s="42">
        <v>44699</v>
      </c>
      <c r="D760">
        <v>23389.07</v>
      </c>
      <c r="K760" s="42"/>
      <c r="L760" s="14"/>
    </row>
    <row r="761" spans="2:12" x14ac:dyDescent="0.25">
      <c r="B761" s="42">
        <v>44698</v>
      </c>
      <c r="D761">
        <v>23416.46</v>
      </c>
      <c r="K761" s="42"/>
      <c r="L761" s="14"/>
    </row>
    <row r="762" spans="2:12" x14ac:dyDescent="0.25">
      <c r="B762" s="42">
        <v>44697</v>
      </c>
      <c r="D762">
        <v>22815.88</v>
      </c>
      <c r="K762" s="42"/>
      <c r="L762" s="14"/>
    </row>
    <row r="763" spans="2:12" x14ac:dyDescent="0.25">
      <c r="B763" s="42">
        <v>44694</v>
      </c>
      <c r="D763">
        <v>22729.279999999999</v>
      </c>
      <c r="K763" s="42"/>
      <c r="L763" s="14"/>
    </row>
    <row r="764" spans="2:12" x14ac:dyDescent="0.25">
      <c r="B764" s="42">
        <v>44693</v>
      </c>
      <c r="D764">
        <v>22766.52</v>
      </c>
      <c r="K764" s="42"/>
      <c r="L764" s="14"/>
    </row>
    <row r="765" spans="2:12" x14ac:dyDescent="0.25">
      <c r="B765" s="42">
        <v>44692</v>
      </c>
      <c r="D765">
        <v>23260.85</v>
      </c>
      <c r="K765" s="42"/>
      <c r="L765" s="14"/>
    </row>
    <row r="766" spans="2:12" x14ac:dyDescent="0.25">
      <c r="B766" s="42">
        <v>44691</v>
      </c>
      <c r="D766">
        <v>23365.81</v>
      </c>
      <c r="K766" s="42"/>
      <c r="L766" s="14"/>
    </row>
    <row r="767" spans="2:12" x14ac:dyDescent="0.25">
      <c r="B767" s="42">
        <v>44690</v>
      </c>
      <c r="D767">
        <v>23454.71</v>
      </c>
      <c r="K767" s="42"/>
      <c r="L767" s="14"/>
    </row>
    <row r="768" spans="2:12" x14ac:dyDescent="0.25">
      <c r="B768" s="42">
        <v>44687</v>
      </c>
      <c r="D768">
        <v>23612.16</v>
      </c>
      <c r="K768" s="42"/>
      <c r="L768" s="14"/>
    </row>
    <row r="769" spans="2:12" x14ac:dyDescent="0.25">
      <c r="B769" s="42">
        <v>44686</v>
      </c>
      <c r="D769">
        <v>24002.58</v>
      </c>
      <c r="K769" s="42"/>
      <c r="L769" s="14"/>
    </row>
    <row r="770" spans="2:12" x14ac:dyDescent="0.25">
      <c r="B770" s="42">
        <v>44685</v>
      </c>
      <c r="D770">
        <v>23995.35</v>
      </c>
      <c r="K770" s="42"/>
      <c r="L770" s="14"/>
    </row>
    <row r="771" spans="2:12" x14ac:dyDescent="0.25">
      <c r="B771" s="42">
        <v>44683</v>
      </c>
      <c r="D771">
        <v>24558.61</v>
      </c>
      <c r="K771" s="42"/>
      <c r="L771" s="14"/>
    </row>
    <row r="772" spans="2:12" x14ac:dyDescent="0.25">
      <c r="B772" s="42">
        <v>44680</v>
      </c>
      <c r="D772">
        <v>24606.78</v>
      </c>
      <c r="K772" s="42"/>
      <c r="L772" s="14"/>
    </row>
    <row r="773" spans="2:12" x14ac:dyDescent="0.25">
      <c r="B773" s="42">
        <v>44679</v>
      </c>
      <c r="D773">
        <v>24811.78</v>
      </c>
      <c r="K773" s="42"/>
      <c r="L773" s="14"/>
    </row>
    <row r="774" spans="2:12" x14ac:dyDescent="0.25">
      <c r="B774" s="42">
        <v>44678</v>
      </c>
      <c r="D774">
        <v>24508.3</v>
      </c>
      <c r="K774" s="42"/>
      <c r="L774" s="14"/>
    </row>
    <row r="775" spans="2:12" x14ac:dyDescent="0.25">
      <c r="B775" s="42">
        <v>44677</v>
      </c>
      <c r="D775">
        <v>24741.88</v>
      </c>
      <c r="K775" s="42"/>
      <c r="L775" s="14"/>
    </row>
    <row r="776" spans="2:12" x14ac:dyDescent="0.25">
      <c r="B776" s="42">
        <v>44676</v>
      </c>
      <c r="D776">
        <v>24386.78</v>
      </c>
      <c r="K776" s="42"/>
      <c r="L776" s="14"/>
    </row>
    <row r="777" spans="2:12" x14ac:dyDescent="0.25">
      <c r="B777" s="42">
        <v>44673</v>
      </c>
      <c r="D777">
        <v>24700.36</v>
      </c>
      <c r="K777" s="42"/>
      <c r="L777" s="14"/>
    </row>
    <row r="778" spans="2:12" x14ac:dyDescent="0.25">
      <c r="B778" s="42">
        <v>44672</v>
      </c>
      <c r="D778">
        <v>25017.73</v>
      </c>
      <c r="K778" s="42"/>
      <c r="L778" s="14"/>
    </row>
    <row r="779" spans="2:12" x14ac:dyDescent="0.25">
      <c r="B779" s="42">
        <v>44671</v>
      </c>
      <c r="D779">
        <v>24648.400000000001</v>
      </c>
      <c r="K779" s="42"/>
      <c r="L779" s="14"/>
    </row>
    <row r="780" spans="2:12" x14ac:dyDescent="0.25">
      <c r="B780" s="42">
        <v>44670</v>
      </c>
      <c r="D780">
        <v>24392.54</v>
      </c>
      <c r="K780" s="42"/>
      <c r="L780" s="14"/>
    </row>
    <row r="781" spans="2:12" x14ac:dyDescent="0.25">
      <c r="B781" s="42">
        <v>44669</v>
      </c>
      <c r="D781">
        <v>24701.75</v>
      </c>
      <c r="K781" s="42"/>
      <c r="L781" s="14"/>
    </row>
    <row r="782" spans="2:12" x14ac:dyDescent="0.25">
      <c r="B782" s="42">
        <v>44664</v>
      </c>
      <c r="D782">
        <v>25136.13</v>
      </c>
      <c r="K782" s="42"/>
      <c r="L782" s="14"/>
    </row>
    <row r="783" spans="2:12" x14ac:dyDescent="0.25">
      <c r="B783" s="42">
        <v>44663</v>
      </c>
      <c r="D783">
        <v>25214.76</v>
      </c>
      <c r="K783" s="42"/>
      <c r="L783" s="14"/>
    </row>
    <row r="784" spans="2:12" x14ac:dyDescent="0.25">
      <c r="B784" s="42">
        <v>44662</v>
      </c>
      <c r="D784">
        <v>25422.81</v>
      </c>
      <c r="K784" s="42"/>
      <c r="L784" s="14"/>
    </row>
    <row r="785" spans="2:12" x14ac:dyDescent="0.25">
      <c r="B785" s="42">
        <v>44659</v>
      </c>
      <c r="D785">
        <v>25580.15</v>
      </c>
      <c r="K785" s="42"/>
      <c r="L785" s="14"/>
    </row>
    <row r="786" spans="2:12" x14ac:dyDescent="0.25">
      <c r="B786" s="42">
        <v>44658</v>
      </c>
      <c r="D786">
        <v>25371.88</v>
      </c>
      <c r="K786" s="42"/>
      <c r="L786" s="14"/>
    </row>
    <row r="787" spans="2:12" x14ac:dyDescent="0.25">
      <c r="B787" s="42">
        <v>44657</v>
      </c>
      <c r="D787">
        <v>25613.71</v>
      </c>
      <c r="K787" s="42"/>
      <c r="L787" s="14"/>
    </row>
    <row r="788" spans="2:12" x14ac:dyDescent="0.25">
      <c r="B788" s="42">
        <v>44656</v>
      </c>
      <c r="D788">
        <v>25829.11</v>
      </c>
      <c r="K788" s="42"/>
      <c r="L788" s="14"/>
    </row>
    <row r="789" spans="2:12" x14ac:dyDescent="0.25">
      <c r="B789" s="42">
        <v>44655</v>
      </c>
      <c r="D789">
        <v>25964.720000000001</v>
      </c>
      <c r="K789" s="42"/>
      <c r="L789" s="14"/>
    </row>
    <row r="790" spans="2:12" x14ac:dyDescent="0.25">
      <c r="B790" s="42">
        <v>44652</v>
      </c>
      <c r="D790">
        <v>25413.94</v>
      </c>
      <c r="K790" s="42"/>
      <c r="L790" s="14"/>
    </row>
    <row r="791" spans="2:12" x14ac:dyDescent="0.25">
      <c r="B791" s="42">
        <v>44651</v>
      </c>
      <c r="D791">
        <v>25118.14</v>
      </c>
      <c r="K791" s="42"/>
      <c r="L791" s="14"/>
    </row>
    <row r="792" spans="2:12" x14ac:dyDescent="0.25">
      <c r="B792" s="42">
        <v>44650</v>
      </c>
      <c r="D792">
        <v>25166.31</v>
      </c>
      <c r="K792" s="42"/>
      <c r="L792" s="14"/>
    </row>
    <row r="793" spans="2:12" x14ac:dyDescent="0.25">
      <c r="B793" s="42">
        <v>44649</v>
      </c>
      <c r="D793">
        <v>24917.57</v>
      </c>
      <c r="K793" s="42"/>
      <c r="L793" s="14"/>
    </row>
    <row r="794" spans="2:12" x14ac:dyDescent="0.25">
      <c r="B794" s="42">
        <v>44648</v>
      </c>
      <c r="D794">
        <v>24768.69</v>
      </c>
      <c r="K794" s="42"/>
      <c r="L794" s="14"/>
    </row>
    <row r="795" spans="2:12" x14ac:dyDescent="0.25">
      <c r="B795" s="42">
        <v>44645</v>
      </c>
      <c r="D795">
        <v>24669.45</v>
      </c>
      <c r="K795" s="42"/>
      <c r="L795" s="14"/>
    </row>
    <row r="796" spans="2:12" x14ac:dyDescent="0.25">
      <c r="B796" s="42">
        <v>44644</v>
      </c>
      <c r="D796">
        <v>24769.75</v>
      </c>
      <c r="K796" s="42"/>
      <c r="L796" s="14"/>
    </row>
    <row r="797" spans="2:12" x14ac:dyDescent="0.25">
      <c r="B797" s="42">
        <v>44643</v>
      </c>
      <c r="D797">
        <v>24802.74</v>
      </c>
      <c r="K797" s="42"/>
      <c r="L797" s="14"/>
    </row>
    <row r="798" spans="2:12" x14ac:dyDescent="0.25">
      <c r="B798" s="42">
        <v>44642</v>
      </c>
      <c r="D798">
        <v>24903.14</v>
      </c>
      <c r="K798" s="42"/>
      <c r="L798" s="14"/>
    </row>
    <row r="799" spans="2:12" x14ac:dyDescent="0.25">
      <c r="B799" s="42">
        <v>44641</v>
      </c>
      <c r="D799">
        <v>24618.52</v>
      </c>
      <c r="K799" s="42"/>
      <c r="L799" s="14"/>
    </row>
    <row r="800" spans="2:12" x14ac:dyDescent="0.25">
      <c r="B800" s="42">
        <v>44637</v>
      </c>
      <c r="D800">
        <v>24862.27</v>
      </c>
      <c r="K800" s="42"/>
      <c r="L800" s="14"/>
    </row>
    <row r="801" spans="2:12" x14ac:dyDescent="0.25">
      <c r="B801" s="42">
        <v>44636</v>
      </c>
      <c r="D801">
        <v>24414</v>
      </c>
      <c r="K801" s="42"/>
      <c r="L801" s="14"/>
    </row>
    <row r="802" spans="2:12" x14ac:dyDescent="0.25">
      <c r="B802" s="42">
        <v>44635</v>
      </c>
      <c r="D802">
        <v>23964.720000000001</v>
      </c>
      <c r="K802" s="42"/>
      <c r="L802" s="14"/>
    </row>
    <row r="803" spans="2:12" x14ac:dyDescent="0.25">
      <c r="B803" s="42">
        <v>44634</v>
      </c>
      <c r="D803">
        <v>24264.29</v>
      </c>
      <c r="K803" s="42"/>
      <c r="L803" s="14"/>
    </row>
    <row r="804" spans="2:12" x14ac:dyDescent="0.25">
      <c r="B804" s="42">
        <v>44631</v>
      </c>
      <c r="D804">
        <v>23917.96</v>
      </c>
      <c r="K804" s="42"/>
      <c r="L804" s="14"/>
    </row>
    <row r="805" spans="2:12" x14ac:dyDescent="0.25">
      <c r="B805" s="42">
        <v>44630</v>
      </c>
      <c r="D805">
        <v>23866.77</v>
      </c>
      <c r="K805" s="42"/>
      <c r="L805" s="14"/>
    </row>
    <row r="806" spans="2:12" x14ac:dyDescent="0.25">
      <c r="B806" s="42">
        <v>44629</v>
      </c>
      <c r="D806">
        <v>23507.87</v>
      </c>
      <c r="K806" s="42"/>
      <c r="L806" s="14"/>
    </row>
    <row r="807" spans="2:12" x14ac:dyDescent="0.25">
      <c r="B807" s="42">
        <v>44628</v>
      </c>
      <c r="D807">
        <v>23030.560000000001</v>
      </c>
      <c r="K807" s="42"/>
      <c r="L807" s="14"/>
    </row>
    <row r="808" spans="2:12" x14ac:dyDescent="0.25">
      <c r="B808" s="42">
        <v>44627</v>
      </c>
      <c r="D808">
        <v>22814.41</v>
      </c>
      <c r="K808" s="42"/>
      <c r="L808" s="14"/>
    </row>
    <row r="809" spans="2:12" x14ac:dyDescent="0.25">
      <c r="B809" s="42">
        <v>44624</v>
      </c>
      <c r="D809">
        <v>23364.07</v>
      </c>
      <c r="K809" s="42"/>
      <c r="L809" s="14"/>
    </row>
    <row r="810" spans="2:12" x14ac:dyDescent="0.25">
      <c r="B810" s="42">
        <v>44623</v>
      </c>
      <c r="D810">
        <v>23727.54</v>
      </c>
      <c r="K810" s="42"/>
      <c r="L810" s="14"/>
    </row>
    <row r="811" spans="2:12" x14ac:dyDescent="0.25">
      <c r="B811" s="42">
        <v>44622</v>
      </c>
      <c r="D811">
        <v>23882.720000000001</v>
      </c>
      <c r="K811" s="42"/>
      <c r="L811" s="14"/>
    </row>
    <row r="812" spans="2:12" x14ac:dyDescent="0.25">
      <c r="B812" s="42">
        <v>44620</v>
      </c>
      <c r="D812">
        <v>24153.01</v>
      </c>
      <c r="K812" s="42"/>
      <c r="L812" s="14"/>
    </row>
    <row r="813" spans="2:12" x14ac:dyDescent="0.25">
      <c r="B813" s="42">
        <v>44617</v>
      </c>
      <c r="D813">
        <v>23958.1</v>
      </c>
      <c r="K813" s="42"/>
      <c r="L813" s="14"/>
    </row>
    <row r="814" spans="2:12" x14ac:dyDescent="0.25">
      <c r="B814" s="42">
        <v>44616</v>
      </c>
      <c r="D814">
        <v>23367.85</v>
      </c>
      <c r="K814" s="42"/>
      <c r="L814" s="14"/>
    </row>
    <row r="815" spans="2:12" x14ac:dyDescent="0.25">
      <c r="B815" s="42">
        <v>44615</v>
      </c>
      <c r="D815">
        <v>24540.41</v>
      </c>
      <c r="K815" s="42"/>
      <c r="L815" s="14"/>
    </row>
    <row r="816" spans="2:12" x14ac:dyDescent="0.25">
      <c r="B816" s="42">
        <v>44614</v>
      </c>
      <c r="D816">
        <v>24582.05</v>
      </c>
      <c r="K816" s="42"/>
      <c r="L816" s="14"/>
    </row>
    <row r="817" spans="2:12" x14ac:dyDescent="0.25">
      <c r="B817" s="42">
        <v>44613</v>
      </c>
      <c r="D817">
        <v>24746.59</v>
      </c>
      <c r="K817" s="42"/>
      <c r="L817" s="14"/>
    </row>
    <row r="818" spans="2:12" x14ac:dyDescent="0.25">
      <c r="B818" s="42">
        <v>44610</v>
      </c>
      <c r="D818">
        <v>24838.68</v>
      </c>
      <c r="K818" s="42"/>
      <c r="L818" s="14"/>
    </row>
    <row r="819" spans="2:12" x14ac:dyDescent="0.25">
      <c r="B819" s="42">
        <v>44609</v>
      </c>
      <c r="D819">
        <v>24879.32</v>
      </c>
      <c r="K819" s="42"/>
      <c r="L819" s="14"/>
    </row>
    <row r="820" spans="2:12" x14ac:dyDescent="0.25">
      <c r="B820" s="42">
        <v>44608</v>
      </c>
      <c r="D820">
        <v>24904.67</v>
      </c>
      <c r="K820" s="42"/>
      <c r="L820" s="14"/>
    </row>
    <row r="821" spans="2:12" x14ac:dyDescent="0.25">
      <c r="B821" s="42">
        <v>44607</v>
      </c>
      <c r="D821">
        <v>24941.93</v>
      </c>
      <c r="K821" s="42"/>
      <c r="L821" s="14"/>
    </row>
    <row r="822" spans="2:12" x14ac:dyDescent="0.25">
      <c r="B822" s="42">
        <v>44606</v>
      </c>
      <c r="D822">
        <v>24209.38</v>
      </c>
      <c r="K822" s="42"/>
      <c r="L822" s="14"/>
    </row>
    <row r="823" spans="2:12" x14ac:dyDescent="0.25">
      <c r="B823" s="42">
        <v>44603</v>
      </c>
      <c r="D823">
        <v>24958.45</v>
      </c>
      <c r="K823" s="42"/>
      <c r="L823" s="14"/>
    </row>
    <row r="824" spans="2:12" x14ac:dyDescent="0.25">
      <c r="B824" s="42">
        <v>44602</v>
      </c>
      <c r="D824">
        <v>25290.42</v>
      </c>
      <c r="K824" s="42"/>
      <c r="L824" s="14"/>
    </row>
    <row r="825" spans="2:12" x14ac:dyDescent="0.25">
      <c r="B825" s="42">
        <v>44601</v>
      </c>
      <c r="D825">
        <v>25084.6</v>
      </c>
      <c r="K825" s="42"/>
      <c r="L825" s="14"/>
    </row>
    <row r="826" spans="2:12" x14ac:dyDescent="0.25">
      <c r="B826" s="42">
        <v>44600</v>
      </c>
      <c r="D826">
        <v>24795.759999999998</v>
      </c>
      <c r="K826" s="42"/>
      <c r="L826" s="14"/>
    </row>
    <row r="827" spans="2:12" x14ac:dyDescent="0.25">
      <c r="B827" s="42">
        <v>44599</v>
      </c>
      <c r="D827">
        <v>24719.45</v>
      </c>
      <c r="K827" s="42"/>
      <c r="L827" s="14"/>
    </row>
    <row r="828" spans="2:12" x14ac:dyDescent="0.25">
      <c r="B828" s="42">
        <v>44596</v>
      </c>
      <c r="D828">
        <v>25154.14</v>
      </c>
      <c r="K828" s="42"/>
      <c r="L828" s="14"/>
    </row>
    <row r="829" spans="2:12" x14ac:dyDescent="0.25">
      <c r="B829" s="42">
        <v>44595</v>
      </c>
      <c r="D829">
        <v>25217.200000000001</v>
      </c>
      <c r="K829" s="42"/>
      <c r="L829" s="14"/>
    </row>
    <row r="830" spans="2:12" x14ac:dyDescent="0.25">
      <c r="B830" s="42">
        <v>44594</v>
      </c>
      <c r="D830">
        <v>25526.55</v>
      </c>
      <c r="K830" s="42"/>
      <c r="L830" s="14"/>
    </row>
    <row r="831" spans="2:12" x14ac:dyDescent="0.25">
      <c r="B831" s="42">
        <v>44593</v>
      </c>
      <c r="D831">
        <v>25234.89</v>
      </c>
      <c r="K831" s="42"/>
      <c r="L831" s="14"/>
    </row>
    <row r="832" spans="2:12" x14ac:dyDescent="0.25">
      <c r="B832" s="42">
        <v>44592</v>
      </c>
      <c r="D832">
        <v>24894.62</v>
      </c>
      <c r="K832" s="42"/>
      <c r="L832" s="14"/>
    </row>
    <row r="833" spans="2:12" x14ac:dyDescent="0.25">
      <c r="B833" s="42">
        <v>44589</v>
      </c>
      <c r="D833">
        <v>24553.040000000001</v>
      </c>
      <c r="K833" s="42"/>
      <c r="L833" s="14"/>
    </row>
    <row r="834" spans="2:12" x14ac:dyDescent="0.25">
      <c r="B834" s="42">
        <v>44588</v>
      </c>
      <c r="D834">
        <v>24564.81</v>
      </c>
      <c r="K834" s="42"/>
      <c r="L834" s="14"/>
    </row>
    <row r="835" spans="2:12" x14ac:dyDescent="0.25">
      <c r="B835" s="42">
        <v>44586</v>
      </c>
      <c r="D835">
        <v>24805.75</v>
      </c>
      <c r="K835" s="42"/>
      <c r="L835" s="14"/>
    </row>
    <row r="836" spans="2:12" x14ac:dyDescent="0.25">
      <c r="B836" s="42">
        <v>44585</v>
      </c>
      <c r="D836">
        <v>24620.720000000001</v>
      </c>
      <c r="K836" s="42"/>
      <c r="L836" s="14"/>
    </row>
    <row r="837" spans="2:12" x14ac:dyDescent="0.25">
      <c r="B837" s="42">
        <v>44582</v>
      </c>
      <c r="D837">
        <v>25292.720000000001</v>
      </c>
      <c r="K837" s="42"/>
      <c r="L837" s="14"/>
    </row>
    <row r="838" spans="2:12" x14ac:dyDescent="0.25">
      <c r="B838" s="42">
        <v>44581</v>
      </c>
      <c r="D838">
        <v>25492.99</v>
      </c>
      <c r="K838" s="42"/>
      <c r="L838" s="14"/>
    </row>
    <row r="839" spans="2:12" x14ac:dyDescent="0.25">
      <c r="B839" s="42">
        <v>44580</v>
      </c>
      <c r="D839">
        <v>25749.81</v>
      </c>
      <c r="K839" s="42"/>
      <c r="L839" s="14"/>
    </row>
    <row r="840" spans="2:12" x14ac:dyDescent="0.25">
      <c r="B840" s="42">
        <v>44579</v>
      </c>
      <c r="D840">
        <v>25998.14</v>
      </c>
      <c r="K840" s="42"/>
      <c r="L840" s="14"/>
    </row>
    <row r="841" spans="2:12" x14ac:dyDescent="0.25">
      <c r="B841" s="42">
        <v>44578</v>
      </c>
      <c r="D841">
        <v>26278.07</v>
      </c>
      <c r="K841" s="42"/>
      <c r="L841" s="14"/>
    </row>
    <row r="842" spans="2:12" x14ac:dyDescent="0.25">
      <c r="B842" s="42">
        <v>44575</v>
      </c>
      <c r="D842">
        <v>26202.97</v>
      </c>
      <c r="K842" s="42"/>
      <c r="L842" s="14"/>
    </row>
    <row r="843" spans="2:12" x14ac:dyDescent="0.25">
      <c r="B843" s="42">
        <v>44574</v>
      </c>
      <c r="D843">
        <v>26205.87</v>
      </c>
      <c r="K843" s="42"/>
      <c r="L843" s="14"/>
    </row>
    <row r="844" spans="2:12" x14ac:dyDescent="0.25">
      <c r="B844" s="42">
        <v>44573</v>
      </c>
      <c r="D844">
        <v>26140.68</v>
      </c>
      <c r="K844" s="42"/>
      <c r="L844" s="14"/>
    </row>
    <row r="845" spans="2:12" x14ac:dyDescent="0.25">
      <c r="B845" s="42">
        <v>44572</v>
      </c>
      <c r="D845">
        <v>25915.89</v>
      </c>
      <c r="K845" s="42"/>
      <c r="L845" s="14"/>
    </row>
    <row r="846" spans="2:12" x14ac:dyDescent="0.25">
      <c r="B846" s="42">
        <v>44571</v>
      </c>
      <c r="D846">
        <v>25840.62</v>
      </c>
      <c r="K846" s="42"/>
      <c r="L846" s="14"/>
    </row>
    <row r="847" spans="2:12" x14ac:dyDescent="0.25">
      <c r="B847" s="42">
        <v>44568</v>
      </c>
      <c r="D847">
        <v>25567.06</v>
      </c>
      <c r="K847" s="42"/>
      <c r="L847" s="14"/>
    </row>
    <row r="848" spans="2:12" x14ac:dyDescent="0.25">
      <c r="B848" s="42">
        <v>44567</v>
      </c>
      <c r="D848">
        <v>25471.18</v>
      </c>
      <c r="K848" s="42"/>
      <c r="L848" s="14"/>
    </row>
    <row r="849" spans="2:12" x14ac:dyDescent="0.25">
      <c r="B849" s="42">
        <v>44566</v>
      </c>
      <c r="D849">
        <v>25728.58</v>
      </c>
      <c r="K849" s="42"/>
      <c r="L849" s="14"/>
    </row>
    <row r="850" spans="2:12" x14ac:dyDescent="0.25">
      <c r="B850" s="42">
        <v>44565</v>
      </c>
      <c r="D850">
        <v>25556.34</v>
      </c>
      <c r="K850" s="42"/>
      <c r="L850" s="14"/>
    </row>
    <row r="851" spans="2:12" x14ac:dyDescent="0.25">
      <c r="B851" s="42">
        <v>44564</v>
      </c>
      <c r="D851">
        <v>25298.63</v>
      </c>
      <c r="K851" s="42"/>
      <c r="L851" s="14"/>
    </row>
    <row r="852" spans="2:12" x14ac:dyDescent="0.25">
      <c r="B852" s="42">
        <v>44561</v>
      </c>
      <c r="D852">
        <v>24908.71</v>
      </c>
      <c r="K852" s="42"/>
      <c r="L852" s="14"/>
    </row>
    <row r="853" spans="2:12" x14ac:dyDescent="0.25">
      <c r="B853" s="42">
        <v>44560</v>
      </c>
      <c r="D853">
        <v>24693.25</v>
      </c>
      <c r="K853" s="42"/>
      <c r="L853" s="14"/>
    </row>
    <row r="854" spans="2:12" x14ac:dyDescent="0.25">
      <c r="B854" s="42">
        <v>44559</v>
      </c>
      <c r="D854">
        <v>24707.1</v>
      </c>
      <c r="K854" s="42"/>
      <c r="L854" s="14"/>
    </row>
    <row r="855" spans="2:12" x14ac:dyDescent="0.25">
      <c r="B855" s="42">
        <v>44558</v>
      </c>
      <c r="D855">
        <v>24735.32</v>
      </c>
      <c r="K855" s="42"/>
      <c r="L855" s="14"/>
    </row>
    <row r="856" spans="2:12" x14ac:dyDescent="0.25">
      <c r="B856" s="42">
        <v>44557</v>
      </c>
      <c r="D856">
        <v>24524.36</v>
      </c>
      <c r="K856" s="42"/>
      <c r="L856" s="14"/>
    </row>
    <row r="857" spans="2:12" x14ac:dyDescent="0.25">
      <c r="B857" s="42">
        <v>44554</v>
      </c>
      <c r="D857">
        <v>24405.96</v>
      </c>
      <c r="K857" s="42"/>
      <c r="L857" s="14"/>
    </row>
    <row r="858" spans="2:12" x14ac:dyDescent="0.25">
      <c r="B858" s="42">
        <v>44553</v>
      </c>
      <c r="D858">
        <v>24504.75</v>
      </c>
      <c r="K858" s="42"/>
      <c r="L858" s="14"/>
    </row>
    <row r="859" spans="2:12" x14ac:dyDescent="0.25">
      <c r="B859" s="42">
        <v>44552</v>
      </c>
      <c r="D859">
        <v>24336.62</v>
      </c>
      <c r="K859" s="42"/>
      <c r="L859" s="14"/>
    </row>
    <row r="860" spans="2:12" x14ac:dyDescent="0.25">
      <c r="B860" s="42">
        <v>44551</v>
      </c>
      <c r="D860">
        <v>24063.78</v>
      </c>
      <c r="K860" s="42"/>
      <c r="L860" s="14"/>
    </row>
    <row r="861" spans="2:12" x14ac:dyDescent="0.25">
      <c r="B861" s="42">
        <v>44550</v>
      </c>
      <c r="D861">
        <v>23839.01</v>
      </c>
      <c r="K861" s="42"/>
      <c r="L861" s="14"/>
    </row>
    <row r="862" spans="2:12" x14ac:dyDescent="0.25">
      <c r="B862" s="42">
        <v>44547</v>
      </c>
      <c r="D862">
        <v>24371.37</v>
      </c>
      <c r="K862" s="42"/>
      <c r="L862" s="14"/>
    </row>
    <row r="863" spans="2:12" x14ac:dyDescent="0.25">
      <c r="B863" s="42">
        <v>44546</v>
      </c>
      <c r="D863">
        <v>24749.01</v>
      </c>
      <c r="K863" s="42"/>
      <c r="L863" s="14"/>
    </row>
    <row r="864" spans="2:12" x14ac:dyDescent="0.25">
      <c r="B864" s="42">
        <v>44545</v>
      </c>
      <c r="D864">
        <v>24710.3</v>
      </c>
      <c r="K864" s="42"/>
      <c r="L864" s="14"/>
    </row>
    <row r="865" spans="2:12" x14ac:dyDescent="0.25">
      <c r="B865" s="42">
        <v>44544</v>
      </c>
      <c r="D865">
        <v>24858.79</v>
      </c>
      <c r="K865" s="42"/>
      <c r="L865" s="14"/>
    </row>
    <row r="866" spans="2:12" x14ac:dyDescent="0.25">
      <c r="B866" s="42">
        <v>44543</v>
      </c>
      <c r="D866">
        <v>24921.02</v>
      </c>
      <c r="K866" s="42"/>
      <c r="L866" s="14"/>
    </row>
    <row r="867" spans="2:12" x14ac:dyDescent="0.25">
      <c r="B867" s="42">
        <v>44540</v>
      </c>
      <c r="D867">
        <v>25126.240000000002</v>
      </c>
      <c r="K867" s="42"/>
      <c r="L867" s="14"/>
    </row>
    <row r="868" spans="2:12" x14ac:dyDescent="0.25">
      <c r="B868" s="42">
        <v>44539</v>
      </c>
      <c r="D868">
        <v>25134.23</v>
      </c>
      <c r="K868" s="42"/>
      <c r="L868" s="14"/>
    </row>
    <row r="869" spans="2:12" x14ac:dyDescent="0.25">
      <c r="B869" s="42">
        <v>44538</v>
      </c>
      <c r="D869">
        <v>25066.62</v>
      </c>
      <c r="K869" s="42"/>
      <c r="L869" s="14"/>
    </row>
    <row r="870" spans="2:12" x14ac:dyDescent="0.25">
      <c r="B870" s="42">
        <v>44537</v>
      </c>
      <c r="D870">
        <v>24646.18</v>
      </c>
      <c r="K870" s="42"/>
      <c r="L870" s="14"/>
    </row>
    <row r="871" spans="2:12" x14ac:dyDescent="0.25">
      <c r="B871" s="42">
        <v>44536</v>
      </c>
      <c r="D871">
        <v>24266.71</v>
      </c>
      <c r="K871" s="42"/>
      <c r="L871" s="14"/>
    </row>
    <row r="872" spans="2:12" x14ac:dyDescent="0.25">
      <c r="B872" s="42">
        <v>44533</v>
      </c>
      <c r="D872">
        <v>24674.83</v>
      </c>
      <c r="K872" s="42"/>
      <c r="L872" s="14"/>
    </row>
    <row r="873" spans="2:12" x14ac:dyDescent="0.25">
      <c r="B873" s="42">
        <v>44532</v>
      </c>
      <c r="D873">
        <v>24968.91</v>
      </c>
      <c r="K873" s="42"/>
      <c r="L873" s="14"/>
    </row>
    <row r="874" spans="2:12" x14ac:dyDescent="0.25">
      <c r="B874" s="42">
        <v>44531</v>
      </c>
      <c r="D874">
        <v>24632.06</v>
      </c>
      <c r="K874" s="42"/>
      <c r="L874" s="14"/>
    </row>
    <row r="875" spans="2:12" x14ac:dyDescent="0.25">
      <c r="B875" s="42">
        <v>44530</v>
      </c>
      <c r="D875">
        <v>24368.53</v>
      </c>
      <c r="K875" s="42"/>
      <c r="L875" s="14"/>
    </row>
    <row r="876" spans="2:12" x14ac:dyDescent="0.25">
      <c r="B876" s="42">
        <v>44529</v>
      </c>
      <c r="D876">
        <v>24469.99</v>
      </c>
      <c r="K876" s="42"/>
      <c r="L876" s="14"/>
    </row>
    <row r="877" spans="2:12" x14ac:dyDescent="0.25">
      <c r="B877" s="42">
        <v>44526</v>
      </c>
      <c r="D877">
        <v>24430.53</v>
      </c>
      <c r="K877" s="42"/>
      <c r="L877" s="14"/>
    </row>
    <row r="878" spans="2:12" x14ac:dyDescent="0.25">
      <c r="B878" s="42">
        <v>44525</v>
      </c>
      <c r="D878">
        <v>25162.07</v>
      </c>
      <c r="K878" s="42"/>
      <c r="L878" s="14"/>
    </row>
    <row r="879" spans="2:12" x14ac:dyDescent="0.25">
      <c r="B879" s="42">
        <v>44524</v>
      </c>
      <c r="D879">
        <v>24988.18</v>
      </c>
      <c r="K879" s="42"/>
      <c r="L879" s="14"/>
    </row>
    <row r="880" spans="2:12" x14ac:dyDescent="0.25">
      <c r="B880" s="42">
        <v>44523</v>
      </c>
      <c r="D880">
        <v>25114.82</v>
      </c>
      <c r="K880" s="42"/>
      <c r="L880" s="14"/>
    </row>
    <row r="881" spans="2:12" x14ac:dyDescent="0.25">
      <c r="B881" s="42">
        <v>44522</v>
      </c>
      <c r="D881">
        <v>24990.27</v>
      </c>
      <c r="K881" s="42"/>
      <c r="L881" s="14"/>
    </row>
    <row r="882" spans="2:12" x14ac:dyDescent="0.25">
      <c r="B882" s="42">
        <v>44518</v>
      </c>
      <c r="D882">
        <v>25483.23</v>
      </c>
      <c r="K882" s="42"/>
      <c r="L882" s="14"/>
    </row>
    <row r="883" spans="2:12" x14ac:dyDescent="0.25">
      <c r="B883" s="42">
        <v>44517</v>
      </c>
      <c r="D883">
        <v>25675.200000000001</v>
      </c>
      <c r="K883" s="42"/>
      <c r="L883" s="14"/>
    </row>
    <row r="884" spans="2:12" x14ac:dyDescent="0.25">
      <c r="B884" s="42">
        <v>44516</v>
      </c>
      <c r="D884">
        <v>25819.49</v>
      </c>
      <c r="K884" s="42"/>
      <c r="L884" s="14"/>
    </row>
    <row r="885" spans="2:12" x14ac:dyDescent="0.25">
      <c r="B885" s="42">
        <v>44515</v>
      </c>
      <c r="D885">
        <v>25977.61</v>
      </c>
      <c r="K885" s="42"/>
      <c r="L885" s="14"/>
    </row>
    <row r="886" spans="2:12" x14ac:dyDescent="0.25">
      <c r="B886" s="42">
        <v>44512</v>
      </c>
      <c r="D886">
        <v>25968.02</v>
      </c>
      <c r="K886" s="42"/>
      <c r="L886" s="14"/>
    </row>
    <row r="887" spans="2:12" x14ac:dyDescent="0.25">
      <c r="B887" s="42">
        <v>44511</v>
      </c>
      <c r="D887">
        <v>25639.32</v>
      </c>
      <c r="K887" s="42"/>
      <c r="L887" s="14"/>
    </row>
    <row r="888" spans="2:12" x14ac:dyDescent="0.25">
      <c r="B888" s="42">
        <v>44510</v>
      </c>
      <c r="D888">
        <v>25839.47</v>
      </c>
      <c r="K888" s="42"/>
      <c r="L888" s="14"/>
    </row>
    <row r="889" spans="2:12" x14ac:dyDescent="0.25">
      <c r="B889" s="42">
        <v>44509</v>
      </c>
      <c r="D889">
        <v>25878.28</v>
      </c>
      <c r="K889" s="42"/>
      <c r="L889" s="14"/>
    </row>
    <row r="890" spans="2:12" x14ac:dyDescent="0.25">
      <c r="B890" s="42">
        <v>44508</v>
      </c>
      <c r="D890">
        <v>25913.09</v>
      </c>
      <c r="K890" s="42"/>
      <c r="L890" s="14"/>
    </row>
    <row r="891" spans="2:12" x14ac:dyDescent="0.25">
      <c r="B891" s="42">
        <v>44504</v>
      </c>
      <c r="D891">
        <v>25695.5</v>
      </c>
      <c r="K891" s="42"/>
      <c r="L891" s="14"/>
    </row>
    <row r="892" spans="2:12" x14ac:dyDescent="0.25">
      <c r="B892" s="42">
        <v>44503</v>
      </c>
      <c r="D892">
        <v>25569.86</v>
      </c>
      <c r="K892" s="42"/>
      <c r="L892" s="14"/>
    </row>
    <row r="893" spans="2:12" x14ac:dyDescent="0.25">
      <c r="B893" s="42">
        <v>44502</v>
      </c>
      <c r="D893">
        <v>25655.51</v>
      </c>
      <c r="K893" s="42"/>
      <c r="L893" s="14"/>
    </row>
    <row r="894" spans="2:12" x14ac:dyDescent="0.25">
      <c r="B894" s="42">
        <v>44501</v>
      </c>
      <c r="D894">
        <v>25710.799999999999</v>
      </c>
      <c r="K894" s="42"/>
      <c r="L894" s="14"/>
    </row>
    <row r="895" spans="2:12" x14ac:dyDescent="0.25">
      <c r="B895" s="42">
        <v>44498</v>
      </c>
      <c r="D895">
        <v>25340.83</v>
      </c>
      <c r="K895" s="42"/>
      <c r="L895" s="14"/>
    </row>
    <row r="896" spans="2:12" x14ac:dyDescent="0.25">
      <c r="B896" s="42">
        <v>44497</v>
      </c>
      <c r="D896">
        <v>25606.99</v>
      </c>
      <c r="K896" s="42"/>
      <c r="L896" s="14"/>
    </row>
    <row r="897" spans="2:12" x14ac:dyDescent="0.25">
      <c r="B897" s="42">
        <v>44496</v>
      </c>
      <c r="D897">
        <v>26113.62</v>
      </c>
      <c r="K897" s="42"/>
      <c r="L897" s="14"/>
    </row>
    <row r="898" spans="2:12" x14ac:dyDescent="0.25">
      <c r="B898" s="42">
        <v>44495</v>
      </c>
      <c r="D898">
        <v>26196.05</v>
      </c>
      <c r="K898" s="42"/>
      <c r="L898" s="14"/>
    </row>
    <row r="899" spans="2:12" x14ac:dyDescent="0.25">
      <c r="B899" s="42">
        <v>44494</v>
      </c>
      <c r="D899">
        <v>25967.040000000001</v>
      </c>
      <c r="K899" s="42"/>
      <c r="L899" s="14"/>
    </row>
    <row r="900" spans="2:12" x14ac:dyDescent="0.25">
      <c r="B900" s="42">
        <v>44491</v>
      </c>
      <c r="D900">
        <v>25952.01</v>
      </c>
      <c r="K900" s="42"/>
      <c r="L900" s="14"/>
    </row>
    <row r="901" spans="2:12" x14ac:dyDescent="0.25">
      <c r="B901" s="42">
        <v>44490</v>
      </c>
      <c r="D901">
        <v>26042.59</v>
      </c>
      <c r="K901" s="42"/>
      <c r="L901" s="14"/>
    </row>
    <row r="902" spans="2:12" x14ac:dyDescent="0.25">
      <c r="B902" s="42">
        <v>44489</v>
      </c>
      <c r="D902">
        <v>26165.78</v>
      </c>
      <c r="K902" s="42"/>
      <c r="L902" s="14"/>
    </row>
    <row r="903" spans="2:12" x14ac:dyDescent="0.25">
      <c r="B903" s="42">
        <v>44488</v>
      </c>
      <c r="D903">
        <v>26383.71</v>
      </c>
      <c r="K903" s="42"/>
      <c r="L903" s="14"/>
    </row>
    <row r="904" spans="2:12" x14ac:dyDescent="0.25">
      <c r="B904" s="42">
        <v>44487</v>
      </c>
      <c r="D904">
        <v>26467.21</v>
      </c>
      <c r="K904" s="42"/>
      <c r="L904" s="14"/>
    </row>
    <row r="905" spans="2:12" x14ac:dyDescent="0.25">
      <c r="B905" s="42">
        <v>44483</v>
      </c>
      <c r="D905">
        <v>26268.83</v>
      </c>
      <c r="K905" s="42"/>
      <c r="L905" s="14"/>
    </row>
    <row r="906" spans="2:12" x14ac:dyDescent="0.25">
      <c r="B906" s="42">
        <v>44482</v>
      </c>
      <c r="D906">
        <v>26013.19</v>
      </c>
      <c r="K906" s="42"/>
      <c r="L906" s="14"/>
    </row>
    <row r="907" spans="2:12" x14ac:dyDescent="0.25">
      <c r="B907" s="42">
        <v>44481</v>
      </c>
      <c r="D907">
        <v>25770.01</v>
      </c>
      <c r="K907" s="42"/>
      <c r="L907" s="14"/>
    </row>
    <row r="908" spans="2:12" x14ac:dyDescent="0.25">
      <c r="B908" s="42">
        <v>44480</v>
      </c>
      <c r="D908">
        <v>25704.1</v>
      </c>
      <c r="K908" s="42"/>
      <c r="L908" s="14"/>
    </row>
    <row r="909" spans="2:12" x14ac:dyDescent="0.25">
      <c r="B909" s="42">
        <v>44477</v>
      </c>
      <c r="D909">
        <v>25631.38</v>
      </c>
      <c r="K909" s="42"/>
      <c r="L909" s="14"/>
    </row>
    <row r="910" spans="2:12" x14ac:dyDescent="0.25">
      <c r="B910" s="42">
        <v>44476</v>
      </c>
      <c r="D910">
        <v>25481.26</v>
      </c>
      <c r="K910" s="42"/>
      <c r="L910" s="14"/>
    </row>
    <row r="911" spans="2:12" x14ac:dyDescent="0.25">
      <c r="B911" s="42">
        <v>44475</v>
      </c>
      <c r="D911">
        <v>25274.48</v>
      </c>
      <c r="K911" s="42"/>
      <c r="L911" s="14"/>
    </row>
    <row r="912" spans="2:12" x14ac:dyDescent="0.25">
      <c r="B912" s="42">
        <v>44474</v>
      </c>
      <c r="D912">
        <v>25526.98</v>
      </c>
      <c r="K912" s="42"/>
      <c r="L912" s="14"/>
    </row>
    <row r="913" spans="2:12" x14ac:dyDescent="0.25">
      <c r="B913" s="42">
        <v>44473</v>
      </c>
      <c r="D913">
        <v>25339.32</v>
      </c>
      <c r="K913" s="42"/>
      <c r="L913" s="14"/>
    </row>
    <row r="914" spans="2:12" x14ac:dyDescent="0.25">
      <c r="B914" s="42">
        <v>44470</v>
      </c>
      <c r="D914">
        <v>25111.25</v>
      </c>
      <c r="K914" s="42"/>
      <c r="L914" s="14"/>
    </row>
    <row r="915" spans="2:12" x14ac:dyDescent="0.25">
      <c r="B915" s="42">
        <v>44469</v>
      </c>
      <c r="D915">
        <v>25234.57</v>
      </c>
      <c r="K915" s="42"/>
      <c r="L915" s="14"/>
    </row>
    <row r="916" spans="2:12" x14ac:dyDescent="0.25">
      <c r="B916" s="42">
        <v>44468</v>
      </c>
      <c r="D916">
        <v>25367.99</v>
      </c>
      <c r="K916" s="42"/>
      <c r="L916" s="14"/>
    </row>
    <row r="917" spans="2:12" x14ac:dyDescent="0.25">
      <c r="B917" s="42">
        <v>44467</v>
      </c>
      <c r="D917">
        <v>25421.46</v>
      </c>
      <c r="K917" s="42"/>
      <c r="L917" s="14"/>
    </row>
    <row r="918" spans="2:12" x14ac:dyDescent="0.25">
      <c r="B918" s="42">
        <v>44466</v>
      </c>
      <c r="D918">
        <v>25573.99</v>
      </c>
      <c r="K918" s="42"/>
      <c r="L918" s="14"/>
    </row>
    <row r="919" spans="2:12" x14ac:dyDescent="0.25">
      <c r="B919" s="42">
        <v>44463</v>
      </c>
      <c r="D919">
        <v>25571.24</v>
      </c>
      <c r="K919" s="42"/>
      <c r="L919" s="14"/>
    </row>
    <row r="920" spans="2:12" x14ac:dyDescent="0.25">
      <c r="B920" s="42">
        <v>44462</v>
      </c>
      <c r="D920">
        <v>25527.919999999998</v>
      </c>
      <c r="K920" s="42"/>
      <c r="L920" s="14"/>
    </row>
    <row r="921" spans="2:12" x14ac:dyDescent="0.25">
      <c r="B921" s="42">
        <v>44461</v>
      </c>
      <c r="D921">
        <v>25132.15</v>
      </c>
      <c r="K921" s="42"/>
      <c r="L921" s="14"/>
    </row>
    <row r="922" spans="2:12" x14ac:dyDescent="0.25">
      <c r="B922" s="42">
        <v>44460</v>
      </c>
      <c r="D922">
        <v>25154.16</v>
      </c>
      <c r="K922" s="42"/>
      <c r="L922" s="14"/>
    </row>
    <row r="923" spans="2:12" x14ac:dyDescent="0.25">
      <c r="B923" s="42">
        <v>44459</v>
      </c>
      <c r="D923">
        <v>24917.72</v>
      </c>
      <c r="K923" s="42"/>
      <c r="L923" s="14"/>
    </row>
    <row r="924" spans="2:12" x14ac:dyDescent="0.25">
      <c r="B924" s="42">
        <v>44456</v>
      </c>
      <c r="D924">
        <v>25187.34</v>
      </c>
      <c r="K924" s="42"/>
      <c r="L924" s="14"/>
    </row>
    <row r="925" spans="2:12" x14ac:dyDescent="0.25">
      <c r="B925" s="42">
        <v>44455</v>
      </c>
      <c r="D925">
        <v>25250.87</v>
      </c>
      <c r="K925" s="42"/>
      <c r="L925" s="14"/>
    </row>
    <row r="926" spans="2:12" x14ac:dyDescent="0.25">
      <c r="B926" s="42">
        <v>44454</v>
      </c>
      <c r="D926">
        <v>25093.22</v>
      </c>
      <c r="K926" s="42"/>
      <c r="L926" s="14"/>
    </row>
    <row r="927" spans="2:12" x14ac:dyDescent="0.25">
      <c r="B927" s="42">
        <v>44453</v>
      </c>
      <c r="D927">
        <v>24893.51</v>
      </c>
      <c r="K927" s="42"/>
      <c r="L927" s="14"/>
    </row>
    <row r="928" spans="2:12" x14ac:dyDescent="0.25">
      <c r="B928" s="42">
        <v>44452</v>
      </c>
      <c r="D928">
        <v>24858.12</v>
      </c>
      <c r="K928" s="42"/>
      <c r="L928" s="14"/>
    </row>
    <row r="929" spans="2:12" x14ac:dyDescent="0.25">
      <c r="B929" s="42">
        <v>44448</v>
      </c>
      <c r="D929">
        <v>24878.09</v>
      </c>
      <c r="K929" s="42"/>
      <c r="L929" s="14"/>
    </row>
    <row r="930" spans="2:12" x14ac:dyDescent="0.25">
      <c r="B930" s="42">
        <v>44447</v>
      </c>
      <c r="D930">
        <v>24855.5</v>
      </c>
      <c r="K930" s="42"/>
      <c r="L930" s="14"/>
    </row>
    <row r="931" spans="2:12" x14ac:dyDescent="0.25">
      <c r="B931" s="42">
        <v>44446</v>
      </c>
      <c r="D931">
        <v>24857.27</v>
      </c>
      <c r="K931" s="42"/>
      <c r="L931" s="14"/>
    </row>
    <row r="932" spans="2:12" x14ac:dyDescent="0.25">
      <c r="B932" s="42">
        <v>44445</v>
      </c>
      <c r="D932">
        <v>24879.79</v>
      </c>
      <c r="K932" s="42"/>
      <c r="L932" s="14"/>
    </row>
    <row r="933" spans="2:12" x14ac:dyDescent="0.25">
      <c r="B933" s="42">
        <v>44442</v>
      </c>
      <c r="D933">
        <v>24802.17</v>
      </c>
      <c r="K933" s="42"/>
      <c r="L933" s="14"/>
    </row>
    <row r="934" spans="2:12" x14ac:dyDescent="0.25">
      <c r="B934" s="42">
        <v>44441</v>
      </c>
      <c r="D934">
        <v>24674.11</v>
      </c>
      <c r="K934" s="42"/>
      <c r="L934" s="14"/>
    </row>
    <row r="935" spans="2:12" x14ac:dyDescent="0.25">
      <c r="B935" s="42">
        <v>44440</v>
      </c>
      <c r="D935">
        <v>24445.62</v>
      </c>
      <c r="K935" s="42"/>
      <c r="L935" s="14"/>
    </row>
    <row r="936" spans="2:12" x14ac:dyDescent="0.25">
      <c r="B936" s="42">
        <v>44439</v>
      </c>
      <c r="D936">
        <v>24525.71</v>
      </c>
      <c r="K936" s="42"/>
      <c r="L936" s="14"/>
    </row>
    <row r="937" spans="2:12" x14ac:dyDescent="0.25">
      <c r="B937" s="42">
        <v>44438</v>
      </c>
      <c r="D937">
        <v>24237.8</v>
      </c>
      <c r="K937" s="42"/>
      <c r="L937" s="14"/>
    </row>
    <row r="938" spans="2:12" x14ac:dyDescent="0.25">
      <c r="B938" s="42">
        <v>44435</v>
      </c>
      <c r="D938">
        <v>23914.48</v>
      </c>
      <c r="K938" s="42"/>
      <c r="L938" s="14"/>
    </row>
    <row r="939" spans="2:12" x14ac:dyDescent="0.25">
      <c r="B939" s="42">
        <v>44434</v>
      </c>
      <c r="D939">
        <v>23816.68</v>
      </c>
      <c r="K939" s="42"/>
      <c r="L939" s="14"/>
    </row>
    <row r="940" spans="2:12" x14ac:dyDescent="0.25">
      <c r="B940" s="42">
        <v>44433</v>
      </c>
      <c r="D940">
        <v>23813.43</v>
      </c>
      <c r="K940" s="42"/>
      <c r="L940" s="14"/>
    </row>
    <row r="941" spans="2:12" x14ac:dyDescent="0.25">
      <c r="B941" s="42">
        <v>44432</v>
      </c>
      <c r="D941">
        <v>23799.1</v>
      </c>
      <c r="K941" s="42"/>
      <c r="L941" s="14"/>
    </row>
    <row r="942" spans="2:12" x14ac:dyDescent="0.25">
      <c r="B942" s="42">
        <v>44431</v>
      </c>
      <c r="D942">
        <v>23615.61</v>
      </c>
      <c r="K942" s="42"/>
      <c r="L942" s="14"/>
    </row>
    <row r="943" spans="2:12" x14ac:dyDescent="0.25">
      <c r="B943" s="42">
        <v>44428</v>
      </c>
      <c r="D943">
        <v>23549.09</v>
      </c>
      <c r="K943" s="42"/>
      <c r="L943" s="14"/>
    </row>
    <row r="944" spans="2:12" x14ac:dyDescent="0.25">
      <c r="B944" s="42">
        <v>44426</v>
      </c>
      <c r="D944">
        <v>23718.57</v>
      </c>
      <c r="K944" s="42"/>
      <c r="L944" s="14"/>
    </row>
    <row r="945" spans="2:12" x14ac:dyDescent="0.25">
      <c r="B945" s="42">
        <v>44425</v>
      </c>
      <c r="D945">
        <v>23784.05</v>
      </c>
      <c r="K945" s="42"/>
      <c r="L945" s="14"/>
    </row>
    <row r="946" spans="2:12" x14ac:dyDescent="0.25">
      <c r="B946" s="42">
        <v>44424</v>
      </c>
      <c r="D946">
        <v>23708.38</v>
      </c>
      <c r="K946" s="42"/>
      <c r="L946" s="14"/>
    </row>
    <row r="947" spans="2:12" x14ac:dyDescent="0.25">
      <c r="B947" s="42">
        <v>44421</v>
      </c>
      <c r="D947">
        <v>23659.78</v>
      </c>
      <c r="K947" s="42"/>
      <c r="L947" s="14"/>
    </row>
    <row r="948" spans="2:12" x14ac:dyDescent="0.25">
      <c r="B948" s="42">
        <v>44420</v>
      </c>
      <c r="D948">
        <v>23424.04</v>
      </c>
      <c r="K948" s="42"/>
      <c r="L948" s="14"/>
    </row>
    <row r="949" spans="2:12" x14ac:dyDescent="0.25">
      <c r="B949" s="42">
        <v>44419</v>
      </c>
      <c r="D949">
        <v>23303.89</v>
      </c>
      <c r="K949" s="42"/>
      <c r="L949" s="14"/>
    </row>
    <row r="950" spans="2:12" x14ac:dyDescent="0.25">
      <c r="B950" s="42">
        <v>44418</v>
      </c>
      <c r="D950">
        <v>23300.36</v>
      </c>
      <c r="K950" s="42"/>
      <c r="L950" s="14"/>
    </row>
    <row r="951" spans="2:12" x14ac:dyDescent="0.25">
      <c r="B951" s="42">
        <v>44417</v>
      </c>
      <c r="D951">
        <v>23269.119999999999</v>
      </c>
      <c r="K951" s="42"/>
      <c r="L951" s="14"/>
    </row>
    <row r="952" spans="2:12" x14ac:dyDescent="0.25">
      <c r="B952" s="42">
        <v>44414</v>
      </c>
      <c r="D952">
        <v>23238.83</v>
      </c>
      <c r="K952" s="42"/>
      <c r="L952" s="14"/>
    </row>
    <row r="953" spans="2:12" x14ac:dyDescent="0.25">
      <c r="B953" s="42">
        <v>44413</v>
      </c>
      <c r="D953">
        <v>23319.53</v>
      </c>
      <c r="K953" s="42"/>
      <c r="L953" s="14"/>
    </row>
    <row r="954" spans="2:12" x14ac:dyDescent="0.25">
      <c r="B954" s="42">
        <v>44412</v>
      </c>
      <c r="D954">
        <v>23265.07</v>
      </c>
      <c r="K954" s="42"/>
      <c r="L954" s="14"/>
    </row>
    <row r="955" spans="2:12" x14ac:dyDescent="0.25">
      <c r="B955" s="42">
        <v>44411</v>
      </c>
      <c r="D955">
        <v>23081.86</v>
      </c>
      <c r="K955" s="42"/>
      <c r="L955" s="14"/>
    </row>
    <row r="956" spans="2:12" x14ac:dyDescent="0.25">
      <c r="B956" s="42">
        <v>44410</v>
      </c>
      <c r="D956">
        <v>22730.42</v>
      </c>
      <c r="K956" s="42"/>
      <c r="L956" s="14"/>
    </row>
    <row r="957" spans="2:12" x14ac:dyDescent="0.25">
      <c r="B957" s="42">
        <v>44407</v>
      </c>
      <c r="D957">
        <v>22554.26</v>
      </c>
      <c r="K957" s="42"/>
      <c r="L957" s="14"/>
    </row>
    <row r="958" spans="2:12" x14ac:dyDescent="0.25">
      <c r="B958" s="42">
        <v>44406</v>
      </c>
      <c r="D958">
        <v>22576.34</v>
      </c>
      <c r="K958" s="42"/>
      <c r="L958" s="14"/>
    </row>
    <row r="959" spans="2:12" x14ac:dyDescent="0.25">
      <c r="B959" s="42">
        <v>44405</v>
      </c>
      <c r="D959">
        <v>22472.95</v>
      </c>
      <c r="K959" s="42"/>
      <c r="L959" s="14"/>
    </row>
    <row r="960" spans="2:12" x14ac:dyDescent="0.25">
      <c r="B960" s="42">
        <v>44404</v>
      </c>
      <c r="D960">
        <v>22518.799999999999</v>
      </c>
      <c r="K960" s="42"/>
      <c r="L960" s="14"/>
    </row>
    <row r="961" spans="2:12" x14ac:dyDescent="0.25">
      <c r="B961" s="42">
        <v>44403</v>
      </c>
      <c r="D961">
        <v>22628.19</v>
      </c>
      <c r="K961" s="42"/>
      <c r="L961" s="14"/>
    </row>
    <row r="962" spans="2:12" x14ac:dyDescent="0.25">
      <c r="B962" s="42">
        <v>44400</v>
      </c>
      <c r="D962">
        <v>22673.35</v>
      </c>
      <c r="K962" s="42"/>
      <c r="L962" s="14"/>
    </row>
    <row r="963" spans="2:12" x14ac:dyDescent="0.25">
      <c r="B963" s="42">
        <v>44399</v>
      </c>
      <c r="D963">
        <v>22621.45</v>
      </c>
      <c r="K963" s="42"/>
      <c r="L963" s="14"/>
    </row>
    <row r="964" spans="2:12" x14ac:dyDescent="0.25">
      <c r="B964" s="42">
        <v>44397</v>
      </c>
      <c r="D964">
        <v>22344.81</v>
      </c>
      <c r="K964" s="42"/>
      <c r="L964" s="14"/>
    </row>
    <row r="965" spans="2:12" x14ac:dyDescent="0.25">
      <c r="B965" s="42">
        <v>44396</v>
      </c>
      <c r="D965">
        <v>22516.71</v>
      </c>
      <c r="K965" s="42"/>
      <c r="L965" s="14"/>
    </row>
    <row r="966" spans="2:12" x14ac:dyDescent="0.25">
      <c r="B966" s="42">
        <v>44393</v>
      </c>
      <c r="D966">
        <v>22761.200000000001</v>
      </c>
      <c r="K966" s="42"/>
      <c r="L966" s="14"/>
    </row>
    <row r="967" spans="2:12" x14ac:dyDescent="0.25">
      <c r="B967" s="42">
        <v>44392</v>
      </c>
      <c r="D967">
        <v>22762.34</v>
      </c>
      <c r="K967" s="42"/>
      <c r="L967" s="14"/>
    </row>
    <row r="968" spans="2:12" x14ac:dyDescent="0.25">
      <c r="B968" s="42">
        <v>44391</v>
      </c>
      <c r="D968">
        <v>22656.78</v>
      </c>
      <c r="K968" s="42"/>
      <c r="L968" s="14"/>
    </row>
    <row r="969" spans="2:12" x14ac:dyDescent="0.25">
      <c r="B969" s="42">
        <v>44390</v>
      </c>
      <c r="D969">
        <v>22595.49</v>
      </c>
      <c r="K969" s="42"/>
      <c r="L969" s="14"/>
    </row>
    <row r="970" spans="2:12" x14ac:dyDescent="0.25">
      <c r="B970" s="42">
        <v>44389</v>
      </c>
      <c r="D970">
        <v>22424.39</v>
      </c>
      <c r="K970" s="42"/>
      <c r="L970" s="14"/>
    </row>
    <row r="971" spans="2:12" x14ac:dyDescent="0.25">
      <c r="B971" s="42">
        <v>44386</v>
      </c>
      <c r="D971">
        <v>22420.36</v>
      </c>
      <c r="K971" s="42"/>
      <c r="L971" s="14"/>
    </row>
    <row r="972" spans="2:12" x14ac:dyDescent="0.25">
      <c r="B972" s="42">
        <v>44385</v>
      </c>
      <c r="D972">
        <v>22473.81</v>
      </c>
      <c r="K972" s="42"/>
      <c r="L972" s="14"/>
    </row>
    <row r="973" spans="2:12" x14ac:dyDescent="0.25">
      <c r="B973" s="42">
        <v>44384</v>
      </c>
      <c r="D973">
        <v>22683.66</v>
      </c>
      <c r="K973" s="42"/>
      <c r="L973" s="14"/>
    </row>
    <row r="974" spans="2:12" x14ac:dyDescent="0.25">
      <c r="B974" s="42">
        <v>44383</v>
      </c>
      <c r="D974">
        <v>22595.93</v>
      </c>
      <c r="K974" s="42"/>
      <c r="L974" s="14"/>
    </row>
    <row r="975" spans="2:12" x14ac:dyDescent="0.25">
      <c r="B975" s="42">
        <v>44382</v>
      </c>
      <c r="D975">
        <v>22618.97</v>
      </c>
      <c r="K975" s="42"/>
      <c r="L975" s="14"/>
    </row>
    <row r="976" spans="2:12" x14ac:dyDescent="0.25">
      <c r="B976" s="42">
        <v>44379</v>
      </c>
      <c r="D976">
        <v>22456.66</v>
      </c>
      <c r="K976" s="42"/>
      <c r="L976" s="14"/>
    </row>
    <row r="977" spans="2:12" x14ac:dyDescent="0.25">
      <c r="B977" s="42">
        <v>44378</v>
      </c>
      <c r="D977">
        <v>22396.400000000001</v>
      </c>
      <c r="K977" s="42"/>
      <c r="L977" s="14"/>
    </row>
    <row r="978" spans="2:12" x14ac:dyDescent="0.25">
      <c r="B978" s="42">
        <v>44377</v>
      </c>
      <c r="D978">
        <v>22455.7</v>
      </c>
      <c r="K978" s="42"/>
      <c r="L978" s="14"/>
    </row>
    <row r="979" spans="2:12" x14ac:dyDescent="0.25">
      <c r="B979" s="42">
        <v>44376</v>
      </c>
      <c r="D979">
        <v>22493.599999999999</v>
      </c>
      <c r="K979" s="42"/>
      <c r="L979" s="14"/>
    </row>
    <row r="980" spans="2:12" x14ac:dyDescent="0.25">
      <c r="B980" s="42">
        <v>44375</v>
      </c>
      <c r="D980">
        <v>22578.86</v>
      </c>
      <c r="K980" s="42"/>
      <c r="L980" s="14"/>
    </row>
    <row r="981" spans="2:12" x14ac:dyDescent="0.25">
      <c r="B981" s="42">
        <v>44372</v>
      </c>
      <c r="D981">
        <v>22644.06</v>
      </c>
      <c r="K981" s="42"/>
      <c r="L981" s="14"/>
    </row>
    <row r="982" spans="2:12" x14ac:dyDescent="0.25">
      <c r="B982" s="42">
        <v>44371</v>
      </c>
      <c r="D982">
        <v>22544.26</v>
      </c>
      <c r="K982" s="42"/>
      <c r="L982" s="14"/>
    </row>
    <row r="983" spans="2:12" x14ac:dyDescent="0.25">
      <c r="B983" s="42">
        <v>44370</v>
      </c>
      <c r="D983">
        <v>22395.25</v>
      </c>
      <c r="K983" s="42"/>
      <c r="L983" s="14"/>
    </row>
    <row r="984" spans="2:12" x14ac:dyDescent="0.25">
      <c r="B984" s="42">
        <v>44369</v>
      </c>
      <c r="D984">
        <v>22517.74</v>
      </c>
      <c r="K984" s="42"/>
      <c r="L984" s="14"/>
    </row>
    <row r="985" spans="2:12" x14ac:dyDescent="0.25">
      <c r="B985" s="42">
        <v>44368</v>
      </c>
      <c r="D985">
        <v>22480.3</v>
      </c>
      <c r="K985" s="42"/>
      <c r="L985" s="14"/>
    </row>
    <row r="986" spans="2:12" x14ac:dyDescent="0.25">
      <c r="B986" s="42">
        <v>44365</v>
      </c>
      <c r="D986">
        <v>22390.11</v>
      </c>
      <c r="K986" s="42"/>
      <c r="L986" s="14"/>
    </row>
    <row r="987" spans="2:12" x14ac:dyDescent="0.25">
      <c r="B987" s="42">
        <v>44364</v>
      </c>
      <c r="D987">
        <v>22401.65</v>
      </c>
      <c r="K987" s="42"/>
      <c r="L987" s="14"/>
    </row>
    <row r="988" spans="2:12" x14ac:dyDescent="0.25">
      <c r="B988" s="42">
        <v>44363</v>
      </c>
      <c r="D988">
        <v>22503.9</v>
      </c>
      <c r="K988" s="42"/>
      <c r="L988" s="14"/>
    </row>
    <row r="989" spans="2:12" x14ac:dyDescent="0.25">
      <c r="B989" s="42">
        <v>44362</v>
      </c>
      <c r="D989">
        <v>22649.05</v>
      </c>
      <c r="K989" s="42"/>
      <c r="L989" s="14"/>
    </row>
    <row r="990" spans="2:12" x14ac:dyDescent="0.25">
      <c r="B990" s="42">
        <v>44361</v>
      </c>
      <c r="D990">
        <v>22567.11</v>
      </c>
      <c r="K990" s="42"/>
      <c r="L990" s="14"/>
    </row>
    <row r="991" spans="2:12" x14ac:dyDescent="0.25">
      <c r="B991" s="42">
        <v>44358</v>
      </c>
      <c r="D991">
        <v>22544.26</v>
      </c>
      <c r="K991" s="42"/>
      <c r="L991" s="14"/>
    </row>
    <row r="992" spans="2:12" x14ac:dyDescent="0.25">
      <c r="B992" s="42">
        <v>44357</v>
      </c>
      <c r="D992">
        <v>22448.94</v>
      </c>
      <c r="K992" s="42"/>
      <c r="L992" s="14"/>
    </row>
    <row r="993" spans="2:12" x14ac:dyDescent="0.25">
      <c r="B993" s="42">
        <v>44356</v>
      </c>
      <c r="D993">
        <v>22283.52</v>
      </c>
      <c r="K993" s="42"/>
      <c r="L993" s="14"/>
    </row>
    <row r="994" spans="2:12" x14ac:dyDescent="0.25">
      <c r="B994" s="42">
        <v>44355</v>
      </c>
      <c r="D994">
        <v>22432.77</v>
      </c>
      <c r="K994" s="42"/>
      <c r="L994" s="14"/>
    </row>
    <row r="995" spans="2:12" x14ac:dyDescent="0.25">
      <c r="B995" s="42">
        <v>44354</v>
      </c>
      <c r="D995">
        <v>22449.24</v>
      </c>
      <c r="K995" s="42"/>
      <c r="L995" s="14"/>
    </row>
    <row r="996" spans="2:12" x14ac:dyDescent="0.25">
      <c r="B996" s="42">
        <v>44351</v>
      </c>
      <c r="D996">
        <v>22333.23</v>
      </c>
      <c r="K996" s="42"/>
      <c r="L996" s="14"/>
    </row>
    <row r="997" spans="2:12" x14ac:dyDescent="0.25">
      <c r="B997" s="42">
        <v>44350</v>
      </c>
      <c r="D997">
        <v>22361.86</v>
      </c>
      <c r="K997" s="42"/>
      <c r="L997" s="14"/>
    </row>
    <row r="998" spans="2:12" x14ac:dyDescent="0.25">
      <c r="B998" s="42">
        <v>44349</v>
      </c>
      <c r="D998">
        <v>22194.18</v>
      </c>
      <c r="K998" s="42"/>
      <c r="L998" s="14"/>
    </row>
    <row r="999" spans="2:12" x14ac:dyDescent="0.25">
      <c r="B999" s="42">
        <v>44348</v>
      </c>
      <c r="D999">
        <v>22192.25</v>
      </c>
      <c r="K999" s="42"/>
      <c r="L999" s="14"/>
    </row>
    <row r="1000" spans="2:12" x14ac:dyDescent="0.25">
      <c r="B1000" s="42">
        <v>44347</v>
      </c>
      <c r="D1000">
        <v>22203.59</v>
      </c>
      <c r="K1000" s="42"/>
      <c r="L1000" s="14"/>
    </row>
    <row r="1001" spans="2:12" x14ac:dyDescent="0.25">
      <c r="B1001" s="42">
        <v>44344</v>
      </c>
      <c r="D1001">
        <v>21962.31</v>
      </c>
      <c r="K1001" s="42"/>
      <c r="L1001" s="14"/>
    </row>
    <row r="1002" spans="2:12" x14ac:dyDescent="0.25">
      <c r="B1002" s="42">
        <v>44343</v>
      </c>
      <c r="D1002">
        <v>21823.14</v>
      </c>
      <c r="K1002" s="42"/>
      <c r="L1002" s="14"/>
    </row>
    <row r="1003" spans="2:12" x14ac:dyDescent="0.25">
      <c r="B1003" s="42">
        <v>44342</v>
      </c>
      <c r="D1003">
        <v>21771.35</v>
      </c>
      <c r="K1003" s="42"/>
      <c r="L1003" s="14"/>
    </row>
    <row r="1004" spans="2:12" x14ac:dyDescent="0.25">
      <c r="B1004" s="42">
        <v>44341</v>
      </c>
      <c r="D1004">
        <v>21639.040000000001</v>
      </c>
      <c r="K1004" s="42"/>
      <c r="L1004" s="14"/>
    </row>
    <row r="1005" spans="2:12" x14ac:dyDescent="0.25">
      <c r="B1005" s="42">
        <v>44340</v>
      </c>
      <c r="D1005">
        <v>21617.03</v>
      </c>
      <c r="K1005" s="42"/>
      <c r="L1005" s="14"/>
    </row>
    <row r="1006" spans="2:12" x14ac:dyDescent="0.25">
      <c r="B1006" s="42">
        <v>44337</v>
      </c>
      <c r="D1006">
        <v>21585.18</v>
      </c>
      <c r="K1006" s="42"/>
      <c r="L1006" s="14"/>
    </row>
    <row r="1007" spans="2:12" x14ac:dyDescent="0.25">
      <c r="B1007" s="42">
        <v>44336</v>
      </c>
      <c r="D1007">
        <v>21202.21</v>
      </c>
      <c r="K1007" s="42"/>
      <c r="L1007" s="14"/>
    </row>
    <row r="1008" spans="2:12" x14ac:dyDescent="0.25">
      <c r="B1008" s="42">
        <v>44335</v>
      </c>
      <c r="D1008">
        <v>21378.71</v>
      </c>
      <c r="K1008" s="42"/>
      <c r="L1008" s="14"/>
    </row>
    <row r="1009" spans="2:12" x14ac:dyDescent="0.25">
      <c r="B1009" s="42">
        <v>44334</v>
      </c>
      <c r="D1009">
        <v>21489.56</v>
      </c>
      <c r="K1009" s="42"/>
      <c r="L1009" s="14"/>
    </row>
    <row r="1010" spans="2:12" x14ac:dyDescent="0.25">
      <c r="B1010" s="42">
        <v>44333</v>
      </c>
      <c r="D1010">
        <v>21226.53</v>
      </c>
      <c r="K1010" s="42"/>
      <c r="L1010" s="14"/>
    </row>
    <row r="1011" spans="2:12" x14ac:dyDescent="0.25">
      <c r="B1011" s="42">
        <v>44330</v>
      </c>
      <c r="D1011">
        <v>20877.560000000001</v>
      </c>
      <c r="K1011" s="42"/>
      <c r="L1011" s="14"/>
    </row>
    <row r="1012" spans="2:12" x14ac:dyDescent="0.25">
      <c r="B1012" s="42">
        <v>44328</v>
      </c>
      <c r="D1012">
        <v>20904.13</v>
      </c>
      <c r="K1012" s="42"/>
      <c r="L1012" s="14"/>
    </row>
    <row r="1013" spans="2:12" x14ac:dyDescent="0.25">
      <c r="B1013" s="42">
        <v>44327</v>
      </c>
      <c r="D1013">
        <v>21123.53</v>
      </c>
      <c r="K1013" s="42"/>
      <c r="L1013" s="14"/>
    </row>
    <row r="1014" spans="2:12" x14ac:dyDescent="0.25">
      <c r="B1014" s="42">
        <v>44326</v>
      </c>
      <c r="D1014">
        <v>21253.8</v>
      </c>
      <c r="K1014" s="42"/>
      <c r="L1014" s="14"/>
    </row>
    <row r="1015" spans="2:12" x14ac:dyDescent="0.25">
      <c r="B1015" s="42">
        <v>44323</v>
      </c>
      <c r="D1015">
        <v>21084.26</v>
      </c>
      <c r="K1015" s="42"/>
      <c r="L1015" s="14"/>
    </row>
    <row r="1016" spans="2:12" x14ac:dyDescent="0.25">
      <c r="B1016" s="42">
        <v>44322</v>
      </c>
      <c r="D1016">
        <v>20944.41</v>
      </c>
      <c r="K1016" s="42"/>
      <c r="L1016" s="14"/>
    </row>
    <row r="1017" spans="2:12" x14ac:dyDescent="0.25">
      <c r="B1017" s="42">
        <v>44321</v>
      </c>
      <c r="D1017">
        <v>20792.240000000002</v>
      </c>
      <c r="K1017" s="42"/>
      <c r="L1017" s="14"/>
    </row>
    <row r="1018" spans="2:12" x14ac:dyDescent="0.25">
      <c r="B1018" s="42">
        <v>44320</v>
      </c>
      <c r="D1018">
        <v>20619.62</v>
      </c>
      <c r="K1018" s="42"/>
      <c r="L1018" s="14"/>
    </row>
    <row r="1019" spans="2:12" x14ac:dyDescent="0.25">
      <c r="B1019" s="42">
        <v>44319</v>
      </c>
      <c r="D1019">
        <v>20815.43</v>
      </c>
      <c r="K1019" s="42"/>
      <c r="L1019" s="14"/>
    </row>
    <row r="1020" spans="2:12" x14ac:dyDescent="0.25">
      <c r="B1020" s="42">
        <v>44316</v>
      </c>
      <c r="D1020">
        <v>20811.13</v>
      </c>
      <c r="K1020" s="42"/>
      <c r="L1020" s="14"/>
    </row>
    <row r="1021" spans="2:12" x14ac:dyDescent="0.25">
      <c r="B1021" s="42">
        <v>44315</v>
      </c>
      <c r="D1021">
        <v>21186.3</v>
      </c>
      <c r="K1021" s="42"/>
      <c r="L1021" s="14"/>
    </row>
    <row r="1022" spans="2:12" x14ac:dyDescent="0.25">
      <c r="B1022" s="42">
        <v>44314</v>
      </c>
      <c r="D1022">
        <v>21136.41</v>
      </c>
      <c r="K1022" s="42"/>
      <c r="L1022" s="14"/>
    </row>
    <row r="1023" spans="2:12" x14ac:dyDescent="0.25">
      <c r="B1023" s="42">
        <v>44313</v>
      </c>
      <c r="D1023">
        <v>20835.669999999998</v>
      </c>
      <c r="K1023" s="42"/>
      <c r="L1023" s="14"/>
    </row>
    <row r="1024" spans="2:12" x14ac:dyDescent="0.25">
      <c r="B1024" s="42">
        <v>44312</v>
      </c>
      <c r="D1024">
        <v>20596.72</v>
      </c>
      <c r="K1024" s="42"/>
      <c r="L1024" s="14"/>
    </row>
    <row r="1025" spans="2:12" x14ac:dyDescent="0.25">
      <c r="B1025" s="42">
        <v>44309</v>
      </c>
      <c r="D1025">
        <v>20392.439999999999</v>
      </c>
      <c r="K1025" s="42"/>
      <c r="L1025" s="14"/>
    </row>
    <row r="1026" spans="2:12" x14ac:dyDescent="0.25">
      <c r="B1026" s="42">
        <v>44308</v>
      </c>
      <c r="D1026">
        <v>20484.63</v>
      </c>
      <c r="K1026" s="42"/>
      <c r="L1026" s="14"/>
    </row>
    <row r="1027" spans="2:12" x14ac:dyDescent="0.25">
      <c r="B1027" s="42">
        <v>44306</v>
      </c>
      <c r="D1027">
        <v>20328.55</v>
      </c>
      <c r="K1027" s="42"/>
      <c r="L1027" s="14"/>
    </row>
    <row r="1028" spans="2:12" x14ac:dyDescent="0.25">
      <c r="B1028" s="42">
        <v>44305</v>
      </c>
      <c r="D1028">
        <v>20418.16</v>
      </c>
      <c r="K1028" s="42"/>
      <c r="L1028" s="14"/>
    </row>
    <row r="1029" spans="2:12" x14ac:dyDescent="0.25">
      <c r="B1029" s="42">
        <v>44302</v>
      </c>
      <c r="D1029">
        <v>20785.61</v>
      </c>
      <c r="K1029" s="42"/>
      <c r="L1029" s="14"/>
    </row>
    <row r="1030" spans="2:12" x14ac:dyDescent="0.25">
      <c r="B1030" s="42">
        <v>44301</v>
      </c>
      <c r="D1030">
        <v>20733.88</v>
      </c>
      <c r="K1030" s="42"/>
      <c r="L1030" s="14"/>
    </row>
    <row r="1031" spans="2:12" x14ac:dyDescent="0.25">
      <c r="B1031" s="42">
        <v>44299</v>
      </c>
      <c r="D1031">
        <v>20624.86</v>
      </c>
      <c r="K1031" s="42"/>
      <c r="L1031" s="14"/>
    </row>
    <row r="1032" spans="2:12" x14ac:dyDescent="0.25">
      <c r="B1032" s="42">
        <v>44298</v>
      </c>
      <c r="D1032">
        <v>20348.990000000002</v>
      </c>
      <c r="K1032" s="42"/>
      <c r="L1032" s="14"/>
    </row>
    <row r="1033" spans="2:12" x14ac:dyDescent="0.25">
      <c r="B1033" s="42">
        <v>44295</v>
      </c>
      <c r="D1033">
        <v>21094.17</v>
      </c>
      <c r="K1033" s="42"/>
      <c r="L1033" s="14"/>
    </row>
    <row r="1034" spans="2:12" x14ac:dyDescent="0.25">
      <c r="B1034" s="42">
        <v>44294</v>
      </c>
      <c r="D1034">
        <v>21149.59</v>
      </c>
      <c r="K1034" s="42"/>
      <c r="L1034" s="14"/>
    </row>
    <row r="1035" spans="2:12" x14ac:dyDescent="0.25">
      <c r="B1035" s="42">
        <v>44293</v>
      </c>
      <c r="D1035">
        <v>21069.32</v>
      </c>
      <c r="K1035" s="42"/>
      <c r="L1035" s="14"/>
    </row>
    <row r="1036" spans="2:12" x14ac:dyDescent="0.25">
      <c r="B1036" s="42">
        <v>44292</v>
      </c>
      <c r="D1036">
        <v>20876.57</v>
      </c>
      <c r="K1036" s="42"/>
      <c r="L1036" s="14"/>
    </row>
    <row r="1037" spans="2:12" x14ac:dyDescent="0.25">
      <c r="B1037" s="42">
        <v>44291</v>
      </c>
      <c r="D1037">
        <v>20811.61</v>
      </c>
      <c r="K1037" s="42"/>
      <c r="L1037" s="14"/>
    </row>
    <row r="1038" spans="2:12" x14ac:dyDescent="0.25">
      <c r="B1038" s="42">
        <v>44287</v>
      </c>
      <c r="D1038">
        <v>21137.69</v>
      </c>
      <c r="K1038" s="42"/>
      <c r="L1038" s="14"/>
    </row>
    <row r="1039" spans="2:12" x14ac:dyDescent="0.25">
      <c r="B1039" s="42">
        <v>44286</v>
      </c>
      <c r="D1039">
        <v>20886.52</v>
      </c>
      <c r="K1039" s="42"/>
      <c r="L1039" s="14"/>
    </row>
    <row r="1040" spans="2:12" x14ac:dyDescent="0.25">
      <c r="B1040" s="42">
        <v>44285</v>
      </c>
      <c r="D1040">
        <v>21106.06</v>
      </c>
      <c r="K1040" s="42"/>
      <c r="L1040" s="14"/>
    </row>
    <row r="1041" spans="2:12" x14ac:dyDescent="0.25">
      <c r="B1041" s="42">
        <v>44281</v>
      </c>
      <c r="D1041">
        <v>20625.79</v>
      </c>
      <c r="K1041" s="42"/>
      <c r="L1041" s="14"/>
    </row>
    <row r="1042" spans="2:12" x14ac:dyDescent="0.25">
      <c r="B1042" s="42">
        <v>44280</v>
      </c>
      <c r="D1042">
        <v>20366.419999999998</v>
      </c>
      <c r="K1042" s="42"/>
      <c r="L1042" s="14"/>
    </row>
    <row r="1043" spans="2:12" x14ac:dyDescent="0.25">
      <c r="B1043" s="42">
        <v>44279</v>
      </c>
      <c r="D1043">
        <v>20684.27</v>
      </c>
      <c r="K1043" s="42"/>
      <c r="L1043" s="14"/>
    </row>
    <row r="1044" spans="2:12" x14ac:dyDescent="0.25">
      <c r="B1044" s="42">
        <v>44278</v>
      </c>
      <c r="D1044">
        <v>21061.52</v>
      </c>
      <c r="K1044" s="42"/>
      <c r="L1044" s="14"/>
    </row>
    <row r="1045" spans="2:12" x14ac:dyDescent="0.25">
      <c r="B1045" s="42">
        <v>44277</v>
      </c>
      <c r="D1045">
        <v>20947.650000000001</v>
      </c>
      <c r="K1045" s="42"/>
      <c r="L1045" s="14"/>
    </row>
    <row r="1046" spans="2:12" x14ac:dyDescent="0.25">
      <c r="B1046" s="42">
        <v>44274</v>
      </c>
      <c r="D1046">
        <v>20956.87</v>
      </c>
      <c r="K1046" s="42"/>
      <c r="L1046" s="14"/>
    </row>
    <row r="1047" spans="2:12" x14ac:dyDescent="0.25">
      <c r="B1047" s="42">
        <v>44273</v>
      </c>
      <c r="D1047">
        <v>20692.34</v>
      </c>
      <c r="K1047" s="42"/>
      <c r="L1047" s="14"/>
    </row>
    <row r="1048" spans="2:12" x14ac:dyDescent="0.25">
      <c r="B1048" s="42">
        <v>44272</v>
      </c>
      <c r="D1048">
        <v>20924.61</v>
      </c>
      <c r="K1048" s="42"/>
      <c r="L1048" s="14"/>
    </row>
    <row r="1049" spans="2:12" x14ac:dyDescent="0.25">
      <c r="B1049" s="42">
        <v>44271</v>
      </c>
      <c r="D1049">
        <v>21193.46</v>
      </c>
      <c r="K1049" s="42"/>
      <c r="L1049" s="14"/>
    </row>
    <row r="1050" spans="2:12" x14ac:dyDescent="0.25">
      <c r="B1050" s="42">
        <v>44270</v>
      </c>
      <c r="D1050">
        <v>21220.59</v>
      </c>
      <c r="K1050" s="42"/>
      <c r="L1050" s="14"/>
    </row>
    <row r="1051" spans="2:12" x14ac:dyDescent="0.25">
      <c r="B1051" s="42">
        <v>44267</v>
      </c>
      <c r="D1051">
        <v>21361.29</v>
      </c>
      <c r="K1051" s="42"/>
      <c r="L1051" s="14"/>
    </row>
    <row r="1052" spans="2:12" x14ac:dyDescent="0.25">
      <c r="B1052" s="42">
        <v>44265</v>
      </c>
      <c r="D1052">
        <v>21565.72</v>
      </c>
      <c r="K1052" s="42"/>
      <c r="L1052" s="14"/>
    </row>
    <row r="1053" spans="2:12" x14ac:dyDescent="0.25">
      <c r="B1053" s="42">
        <v>44264</v>
      </c>
      <c r="D1053">
        <v>21457.17</v>
      </c>
      <c r="K1053" s="42"/>
      <c r="L1053" s="14"/>
    </row>
    <row r="1054" spans="2:12" x14ac:dyDescent="0.25">
      <c r="B1054" s="42">
        <v>44263</v>
      </c>
      <c r="D1054">
        <v>21255.06</v>
      </c>
      <c r="K1054" s="42"/>
      <c r="L1054" s="14"/>
    </row>
    <row r="1055" spans="2:12" x14ac:dyDescent="0.25">
      <c r="B1055" s="42">
        <v>44260</v>
      </c>
      <c r="D1055">
        <v>21225.94</v>
      </c>
      <c r="K1055" s="42"/>
      <c r="L1055" s="14"/>
    </row>
    <row r="1056" spans="2:12" x14ac:dyDescent="0.25">
      <c r="B1056" s="42">
        <v>44259</v>
      </c>
      <c r="D1056">
        <v>21428.63</v>
      </c>
      <c r="K1056" s="42"/>
      <c r="L1056" s="14"/>
    </row>
    <row r="1057" spans="2:12" x14ac:dyDescent="0.25">
      <c r="B1057" s="42">
        <v>44258</v>
      </c>
      <c r="D1057">
        <v>21662.92</v>
      </c>
      <c r="K1057" s="42"/>
      <c r="L1057" s="14"/>
    </row>
    <row r="1058" spans="2:12" x14ac:dyDescent="0.25">
      <c r="B1058" s="42">
        <v>44257</v>
      </c>
      <c r="D1058">
        <v>21198.93</v>
      </c>
      <c r="K1058" s="42"/>
      <c r="L1058" s="14"/>
    </row>
    <row r="1059" spans="2:12" x14ac:dyDescent="0.25">
      <c r="B1059" s="42">
        <v>44256</v>
      </c>
      <c r="D1059">
        <v>20975.08</v>
      </c>
      <c r="K1059" s="42"/>
      <c r="L1059" s="14"/>
    </row>
    <row r="1060" spans="2:12" x14ac:dyDescent="0.25">
      <c r="B1060" s="42">
        <v>44253</v>
      </c>
      <c r="D1060">
        <v>20644.88</v>
      </c>
      <c r="K1060" s="42"/>
      <c r="L1060" s="14"/>
    </row>
    <row r="1061" spans="2:12" x14ac:dyDescent="0.25">
      <c r="B1061" s="42">
        <v>44252</v>
      </c>
      <c r="D1061">
        <v>21452.240000000002</v>
      </c>
      <c r="K1061" s="42"/>
      <c r="L1061" s="14"/>
    </row>
    <row r="1062" spans="2:12" x14ac:dyDescent="0.25">
      <c r="B1062" s="42">
        <v>44251</v>
      </c>
      <c r="D1062">
        <v>21288.35</v>
      </c>
      <c r="K1062" s="42"/>
      <c r="L1062" s="14"/>
    </row>
    <row r="1063" spans="2:12" x14ac:dyDescent="0.25">
      <c r="B1063" s="42">
        <v>44250</v>
      </c>
      <c r="D1063">
        <v>20898.75</v>
      </c>
      <c r="K1063" s="42"/>
      <c r="L1063" s="14"/>
    </row>
    <row r="1064" spans="2:12" x14ac:dyDescent="0.25">
      <c r="B1064" s="42">
        <v>44249</v>
      </c>
      <c r="D1064">
        <v>20853.12</v>
      </c>
      <c r="K1064" s="42"/>
      <c r="L1064" s="14"/>
    </row>
    <row r="1065" spans="2:12" x14ac:dyDescent="0.25">
      <c r="B1065" s="42">
        <v>44246</v>
      </c>
      <c r="D1065">
        <v>21273.279999999999</v>
      </c>
      <c r="K1065" s="42"/>
      <c r="L1065" s="14"/>
    </row>
    <row r="1066" spans="2:12" x14ac:dyDescent="0.25">
      <c r="B1066" s="42">
        <v>44245</v>
      </c>
      <c r="D1066">
        <v>21468.11</v>
      </c>
      <c r="K1066" s="42"/>
      <c r="L1066" s="14"/>
    </row>
    <row r="1067" spans="2:12" x14ac:dyDescent="0.25">
      <c r="B1067" s="42">
        <v>44244</v>
      </c>
      <c r="D1067">
        <v>21595.82</v>
      </c>
      <c r="K1067" s="42"/>
      <c r="L1067" s="14"/>
    </row>
    <row r="1068" spans="2:12" x14ac:dyDescent="0.25">
      <c r="B1068" s="42">
        <v>44243</v>
      </c>
      <c r="D1068">
        <v>21737.9</v>
      </c>
      <c r="K1068" s="42"/>
      <c r="L1068" s="14"/>
    </row>
    <row r="1069" spans="2:12" x14ac:dyDescent="0.25">
      <c r="B1069" s="42">
        <v>44242</v>
      </c>
      <c r="D1069">
        <v>21739.69</v>
      </c>
      <c r="K1069" s="42"/>
      <c r="L1069" s="14"/>
    </row>
    <row r="1070" spans="2:12" x14ac:dyDescent="0.25">
      <c r="B1070" s="42">
        <v>44239</v>
      </c>
      <c r="D1070">
        <v>21521.82</v>
      </c>
      <c r="K1070" s="42"/>
      <c r="L1070" s="14"/>
    </row>
    <row r="1071" spans="2:12" x14ac:dyDescent="0.25">
      <c r="B1071" s="42">
        <v>44238</v>
      </c>
      <c r="D1071">
        <v>21536</v>
      </c>
      <c r="K1071" s="42"/>
      <c r="L1071" s="14"/>
    </row>
    <row r="1072" spans="2:12" x14ac:dyDescent="0.25">
      <c r="B1072" s="42">
        <v>44237</v>
      </c>
      <c r="D1072">
        <v>21436.44</v>
      </c>
      <c r="K1072" s="42"/>
      <c r="L1072" s="14"/>
    </row>
    <row r="1073" spans="2:12" x14ac:dyDescent="0.25">
      <c r="B1073" s="42">
        <v>44236</v>
      </c>
      <c r="D1073">
        <v>21440.42</v>
      </c>
      <c r="K1073" s="42"/>
      <c r="L1073" s="14"/>
    </row>
    <row r="1074" spans="2:12" x14ac:dyDescent="0.25">
      <c r="B1074" s="42">
        <v>44235</v>
      </c>
      <c r="D1074">
        <v>21447.64</v>
      </c>
      <c r="K1074" s="42"/>
      <c r="L1074" s="14"/>
    </row>
    <row r="1075" spans="2:12" x14ac:dyDescent="0.25">
      <c r="B1075" s="42">
        <v>44232</v>
      </c>
      <c r="D1075">
        <v>21175.89</v>
      </c>
      <c r="K1075" s="42"/>
      <c r="L1075" s="14"/>
    </row>
    <row r="1076" spans="2:12" x14ac:dyDescent="0.25">
      <c r="B1076" s="42">
        <v>44231</v>
      </c>
      <c r="D1076">
        <v>21135.31</v>
      </c>
      <c r="K1076" s="42"/>
      <c r="L1076" s="14"/>
    </row>
    <row r="1077" spans="2:12" x14ac:dyDescent="0.25">
      <c r="B1077" s="42">
        <v>44230</v>
      </c>
      <c r="D1077">
        <v>20985.32</v>
      </c>
      <c r="K1077" s="42"/>
      <c r="L1077" s="14"/>
    </row>
    <row r="1078" spans="2:12" x14ac:dyDescent="0.25">
      <c r="B1078" s="42">
        <v>44229</v>
      </c>
      <c r="D1078">
        <v>20783.689999999999</v>
      </c>
      <c r="K1078" s="42"/>
      <c r="L1078" s="14"/>
    </row>
    <row r="1079" spans="2:12" x14ac:dyDescent="0.25">
      <c r="B1079" s="42">
        <v>44228</v>
      </c>
      <c r="D1079">
        <v>20263.439999999999</v>
      </c>
      <c r="K1079" s="42"/>
      <c r="L1079" s="14"/>
    </row>
    <row r="1080" spans="2:12" x14ac:dyDescent="0.25">
      <c r="B1080" s="42">
        <v>44225</v>
      </c>
      <c r="D1080">
        <v>19346.03</v>
      </c>
      <c r="K1080" s="42"/>
      <c r="L1080" s="14"/>
    </row>
    <row r="1081" spans="2:12" x14ac:dyDescent="0.25">
      <c r="B1081" s="42">
        <v>44224</v>
      </c>
      <c r="D1081">
        <v>19605.59</v>
      </c>
      <c r="K1081" s="42"/>
      <c r="L1081" s="14"/>
    </row>
    <row r="1082" spans="2:12" x14ac:dyDescent="0.25">
      <c r="B1082" s="42">
        <v>44223</v>
      </c>
      <c r="D1082">
        <v>19818.34</v>
      </c>
      <c r="K1082" s="42"/>
      <c r="L1082" s="14"/>
    </row>
    <row r="1083" spans="2:12" x14ac:dyDescent="0.25">
      <c r="B1083" s="42">
        <v>44221</v>
      </c>
      <c r="D1083">
        <v>20201.900000000001</v>
      </c>
      <c r="K1083" s="42"/>
      <c r="L1083" s="14"/>
    </row>
    <row r="1084" spans="2:12" x14ac:dyDescent="0.25">
      <c r="B1084" s="42">
        <v>44218</v>
      </c>
      <c r="D1084">
        <v>20390.57</v>
      </c>
      <c r="K1084" s="42"/>
      <c r="L1084" s="14"/>
    </row>
    <row r="1085" spans="2:12" x14ac:dyDescent="0.25">
      <c r="B1085" s="42">
        <v>44217</v>
      </c>
      <c r="D1085">
        <v>20700.02</v>
      </c>
      <c r="K1085" s="42"/>
      <c r="L1085" s="14"/>
    </row>
    <row r="1086" spans="2:12" x14ac:dyDescent="0.25">
      <c r="B1086" s="42">
        <v>44216</v>
      </c>
      <c r="D1086">
        <v>20775.669999999998</v>
      </c>
      <c r="K1086" s="42"/>
      <c r="L1086" s="14"/>
    </row>
    <row r="1087" spans="2:12" x14ac:dyDescent="0.25">
      <c r="B1087" s="42">
        <v>44215</v>
      </c>
      <c r="D1087">
        <v>20600.41</v>
      </c>
      <c r="K1087" s="42"/>
      <c r="L1087" s="14"/>
    </row>
    <row r="1088" spans="2:12" x14ac:dyDescent="0.25">
      <c r="B1088" s="42">
        <v>44214</v>
      </c>
      <c r="D1088">
        <v>20260.18</v>
      </c>
      <c r="K1088" s="42"/>
      <c r="L1088" s="14"/>
    </row>
    <row r="1089" spans="2:12" x14ac:dyDescent="0.25">
      <c r="B1089" s="42">
        <v>44211</v>
      </c>
      <c r="D1089">
        <v>20476.38</v>
      </c>
      <c r="K1089" s="42"/>
      <c r="L1089" s="14"/>
    </row>
    <row r="1090" spans="2:12" x14ac:dyDescent="0.25">
      <c r="B1090" s="42">
        <v>44210</v>
      </c>
      <c r="D1090">
        <v>20706.07</v>
      </c>
      <c r="K1090" s="42"/>
      <c r="L1090" s="14"/>
    </row>
    <row r="1091" spans="2:12" x14ac:dyDescent="0.25">
      <c r="B1091" s="42">
        <v>44209</v>
      </c>
      <c r="D1091">
        <v>20660.349999999999</v>
      </c>
      <c r="K1091" s="42"/>
      <c r="L1091" s="14"/>
    </row>
    <row r="1092" spans="2:12" x14ac:dyDescent="0.25">
      <c r="B1092" s="42">
        <v>44208</v>
      </c>
      <c r="D1092">
        <v>20658.34</v>
      </c>
      <c r="K1092" s="42"/>
      <c r="L1092" s="14"/>
    </row>
    <row r="1093" spans="2:12" x14ac:dyDescent="0.25">
      <c r="B1093" s="42">
        <v>44207</v>
      </c>
      <c r="D1093">
        <v>20546.740000000002</v>
      </c>
      <c r="K1093" s="42"/>
      <c r="L1093" s="14"/>
    </row>
    <row r="1094" spans="2:12" x14ac:dyDescent="0.25">
      <c r="B1094" s="42">
        <v>44204</v>
      </c>
      <c r="D1094">
        <v>20351.669999999998</v>
      </c>
      <c r="K1094" s="42"/>
      <c r="L1094" s="14"/>
    </row>
    <row r="1095" spans="2:12" x14ac:dyDescent="0.25">
      <c r="B1095" s="42">
        <v>44203</v>
      </c>
      <c r="D1095">
        <v>20053.97</v>
      </c>
      <c r="K1095" s="42"/>
      <c r="L1095" s="14"/>
    </row>
    <row r="1096" spans="2:12" x14ac:dyDescent="0.25">
      <c r="B1096" s="42">
        <v>44202</v>
      </c>
      <c r="D1096">
        <v>20066.560000000001</v>
      </c>
      <c r="K1096" s="42"/>
      <c r="L1096" s="14"/>
    </row>
    <row r="1097" spans="2:12" x14ac:dyDescent="0.25">
      <c r="B1097" s="42">
        <v>44201</v>
      </c>
      <c r="D1097">
        <v>20142.13</v>
      </c>
      <c r="K1097" s="42"/>
      <c r="L1097" s="14"/>
    </row>
    <row r="1098" spans="2:12" x14ac:dyDescent="0.25">
      <c r="B1098" s="42">
        <v>44200</v>
      </c>
      <c r="D1098">
        <v>20047.61</v>
      </c>
      <c r="K1098" s="42"/>
      <c r="L1098" s="14"/>
    </row>
    <row r="1099" spans="2:12" x14ac:dyDescent="0.25">
      <c r="B1099" s="42">
        <v>44197</v>
      </c>
      <c r="D1099">
        <v>19885.36</v>
      </c>
      <c r="K1099" s="42"/>
      <c r="L1099" s="14"/>
    </row>
    <row r="1100" spans="2:12" x14ac:dyDescent="0.25">
      <c r="B1100" s="42">
        <v>44196</v>
      </c>
      <c r="D1100">
        <v>19833.189999999999</v>
      </c>
      <c r="K1100" s="42"/>
      <c r="L1100" s="14"/>
    </row>
    <row r="1101" spans="2:12" x14ac:dyDescent="0.25">
      <c r="B1101" s="42">
        <v>44195</v>
      </c>
      <c r="D1101">
        <v>19833.53</v>
      </c>
      <c r="K1101" s="42"/>
      <c r="L1101" s="14"/>
    </row>
    <row r="1102" spans="2:12" x14ac:dyDescent="0.25">
      <c r="B1102" s="42">
        <v>44194</v>
      </c>
      <c r="D1102">
        <v>19763.509999999998</v>
      </c>
      <c r="K1102" s="42"/>
      <c r="L1102" s="14"/>
    </row>
    <row r="1103" spans="2:12" x14ac:dyDescent="0.25">
      <c r="B1103" s="42">
        <v>44193</v>
      </c>
      <c r="D1103">
        <v>19679.240000000002</v>
      </c>
      <c r="K1103" s="42"/>
      <c r="L1103" s="14"/>
    </row>
    <row r="1104" spans="2:12" x14ac:dyDescent="0.25">
      <c r="B1104" s="42">
        <v>44189</v>
      </c>
      <c r="D1104">
        <v>19503.400000000001</v>
      </c>
      <c r="K1104" s="42"/>
      <c r="L1104" s="14"/>
    </row>
    <row r="1105" spans="2:12" x14ac:dyDescent="0.25">
      <c r="B1105" s="42">
        <v>44188</v>
      </c>
      <c r="D1105">
        <v>19293.259999999998</v>
      </c>
      <c r="K1105" s="42"/>
      <c r="L1105" s="14"/>
    </row>
    <row r="1106" spans="2:12" x14ac:dyDescent="0.25">
      <c r="B1106" s="42">
        <v>44187</v>
      </c>
      <c r="D1106">
        <v>19102.060000000001</v>
      </c>
      <c r="K1106" s="42"/>
      <c r="L1106" s="14"/>
    </row>
    <row r="1107" spans="2:12" x14ac:dyDescent="0.25">
      <c r="B1107" s="42">
        <v>44186</v>
      </c>
      <c r="D1107">
        <v>18906.45</v>
      </c>
      <c r="K1107" s="42"/>
      <c r="L1107" s="14"/>
    </row>
    <row r="1108" spans="2:12" x14ac:dyDescent="0.25">
      <c r="B1108" s="42">
        <v>44183</v>
      </c>
      <c r="D1108">
        <v>19519.419999999998</v>
      </c>
      <c r="K1108" s="42"/>
      <c r="L1108" s="14"/>
    </row>
    <row r="1109" spans="2:12" x14ac:dyDescent="0.25">
      <c r="B1109" s="42">
        <v>44182</v>
      </c>
      <c r="D1109">
        <v>19491.3</v>
      </c>
      <c r="K1109" s="42"/>
      <c r="L1109" s="14"/>
    </row>
    <row r="1110" spans="2:12" x14ac:dyDescent="0.25">
      <c r="B1110" s="42">
        <v>44181</v>
      </c>
      <c r="D1110">
        <v>19404.8</v>
      </c>
      <c r="K1110" s="42"/>
      <c r="L1110" s="14"/>
    </row>
    <row r="1111" spans="2:12" x14ac:dyDescent="0.25">
      <c r="B1111" s="42">
        <v>44180</v>
      </c>
      <c r="D1111">
        <v>19241.900000000001</v>
      </c>
      <c r="K1111" s="42"/>
      <c r="L1111" s="14"/>
    </row>
    <row r="1112" spans="2:12" x14ac:dyDescent="0.25">
      <c r="B1112" s="42">
        <v>44179</v>
      </c>
      <c r="D1112">
        <v>19228.16</v>
      </c>
      <c r="K1112" s="42"/>
      <c r="L1112" s="14"/>
    </row>
    <row r="1113" spans="2:12" x14ac:dyDescent="0.25">
      <c r="B1113" s="42">
        <v>44176</v>
      </c>
      <c r="D1113">
        <v>19165.330000000002</v>
      </c>
      <c r="K1113" s="42"/>
      <c r="L1113" s="14"/>
    </row>
    <row r="1114" spans="2:12" x14ac:dyDescent="0.25">
      <c r="B1114" s="42">
        <v>44175</v>
      </c>
      <c r="D1114">
        <v>19114.96</v>
      </c>
      <c r="K1114" s="42"/>
      <c r="L1114" s="14"/>
    </row>
    <row r="1115" spans="2:12" x14ac:dyDescent="0.25">
      <c r="B1115" s="42">
        <v>44174</v>
      </c>
      <c r="D1115">
        <v>19186.95</v>
      </c>
      <c r="K1115" s="42"/>
      <c r="L1115" s="14"/>
    </row>
    <row r="1116" spans="2:12" x14ac:dyDescent="0.25">
      <c r="B1116" s="42">
        <v>44173</v>
      </c>
      <c r="D1116">
        <v>18993.86</v>
      </c>
      <c r="K1116" s="42"/>
      <c r="L1116" s="14"/>
    </row>
    <row r="1117" spans="2:12" x14ac:dyDescent="0.25">
      <c r="B1117" s="42">
        <v>44172</v>
      </c>
      <c r="D1117">
        <v>18941.150000000001</v>
      </c>
      <c r="K1117" s="42"/>
      <c r="L1117" s="14"/>
    </row>
    <row r="1118" spans="2:12" x14ac:dyDescent="0.25">
      <c r="B1118" s="42">
        <v>44169</v>
      </c>
      <c r="D1118">
        <v>18803.27</v>
      </c>
      <c r="K1118" s="42"/>
      <c r="L1118" s="14"/>
    </row>
    <row r="1119" spans="2:12" x14ac:dyDescent="0.25">
      <c r="B1119" s="42">
        <v>44168</v>
      </c>
      <c r="D1119">
        <v>18626.53</v>
      </c>
      <c r="K1119" s="42"/>
      <c r="L1119" s="14"/>
    </row>
    <row r="1120" spans="2:12" x14ac:dyDescent="0.25">
      <c r="B1120" s="42">
        <v>44167</v>
      </c>
      <c r="D1120">
        <v>18597.900000000001</v>
      </c>
      <c r="K1120" s="42"/>
      <c r="L1120" s="14"/>
    </row>
    <row r="1121" spans="2:12" x14ac:dyDescent="0.25">
      <c r="B1121" s="42">
        <v>44166</v>
      </c>
      <c r="D1121">
        <v>18591.25</v>
      </c>
      <c r="K1121" s="42"/>
      <c r="L1121" s="14"/>
    </row>
    <row r="1122" spans="2:12" x14ac:dyDescent="0.25">
      <c r="B1122" s="42">
        <v>44162</v>
      </c>
      <c r="D1122">
        <v>18392.54</v>
      </c>
      <c r="K1122" s="42"/>
      <c r="L1122" s="14"/>
    </row>
    <row r="1123" spans="2:12" x14ac:dyDescent="0.25">
      <c r="B1123" s="42">
        <v>44161</v>
      </c>
      <c r="D1123">
        <v>18418.16</v>
      </c>
      <c r="K1123" s="42"/>
      <c r="L1123" s="14"/>
    </row>
    <row r="1124" spans="2:12" x14ac:dyDescent="0.25">
      <c r="B1124" s="42">
        <v>44160</v>
      </c>
      <c r="D1124">
        <v>18235.759999999998</v>
      </c>
      <c r="K1124" s="42"/>
      <c r="L1124" s="14"/>
    </row>
    <row r="1125" spans="2:12" x14ac:dyDescent="0.25">
      <c r="B1125" s="42">
        <v>44159</v>
      </c>
      <c r="D1125">
        <v>18514.82</v>
      </c>
      <c r="K1125" s="42"/>
      <c r="L1125" s="14"/>
    </row>
    <row r="1126" spans="2:12" x14ac:dyDescent="0.25">
      <c r="B1126" s="42">
        <v>44158</v>
      </c>
      <c r="D1126">
        <v>18332.330000000002</v>
      </c>
      <c r="K1126" s="42"/>
      <c r="L1126" s="14"/>
    </row>
    <row r="1127" spans="2:12" x14ac:dyDescent="0.25">
      <c r="B1127" s="42">
        <v>44155</v>
      </c>
      <c r="D1127">
        <v>18236.68</v>
      </c>
      <c r="K1127" s="42"/>
      <c r="L1127" s="14"/>
    </row>
    <row r="1128" spans="2:12" x14ac:dyDescent="0.25">
      <c r="B1128" s="42">
        <v>44154</v>
      </c>
      <c r="D1128">
        <v>18112.830000000002</v>
      </c>
      <c r="K1128" s="42"/>
      <c r="L1128" s="14"/>
    </row>
    <row r="1129" spans="2:12" x14ac:dyDescent="0.25">
      <c r="B1129" s="42">
        <v>44153</v>
      </c>
      <c r="D1129">
        <v>18349.02</v>
      </c>
      <c r="K1129" s="42"/>
      <c r="L1129" s="14"/>
    </row>
    <row r="1130" spans="2:12" x14ac:dyDescent="0.25">
      <c r="B1130" s="42">
        <v>44152</v>
      </c>
      <c r="D1130">
        <v>18258.23</v>
      </c>
      <c r="K1130" s="42"/>
      <c r="L1130" s="14"/>
    </row>
    <row r="1131" spans="2:12" x14ac:dyDescent="0.25">
      <c r="B1131" s="42">
        <v>44149</v>
      </c>
      <c r="D1131">
        <v>18124.93</v>
      </c>
      <c r="K1131" s="42"/>
      <c r="L1131" s="14"/>
    </row>
    <row r="1132" spans="2:12" x14ac:dyDescent="0.25">
      <c r="B1132" s="42">
        <v>44148</v>
      </c>
      <c r="D1132">
        <v>18039.439999999999</v>
      </c>
      <c r="K1132" s="42"/>
      <c r="L1132" s="14"/>
    </row>
    <row r="1133" spans="2:12" x14ac:dyDescent="0.25">
      <c r="B1133" s="42">
        <v>44147</v>
      </c>
      <c r="D1133">
        <v>17998.11</v>
      </c>
      <c r="K1133" s="42"/>
      <c r="L1133" s="14"/>
    </row>
    <row r="1134" spans="2:12" x14ac:dyDescent="0.25">
      <c r="B1134" s="42">
        <v>44146</v>
      </c>
      <c r="D1134">
        <v>18080.84</v>
      </c>
      <c r="K1134" s="42"/>
      <c r="L1134" s="14"/>
    </row>
    <row r="1135" spans="2:12" x14ac:dyDescent="0.25">
      <c r="B1135" s="42">
        <v>44145</v>
      </c>
      <c r="D1135">
        <v>17913.400000000001</v>
      </c>
      <c r="K1135" s="42"/>
      <c r="L1135" s="14"/>
    </row>
    <row r="1136" spans="2:12" x14ac:dyDescent="0.25">
      <c r="B1136" s="42">
        <v>44144</v>
      </c>
      <c r="D1136">
        <v>17672.25</v>
      </c>
      <c r="K1136" s="42"/>
      <c r="L1136" s="14"/>
    </row>
    <row r="1137" spans="2:12" x14ac:dyDescent="0.25">
      <c r="B1137" s="42">
        <v>44141</v>
      </c>
      <c r="D1137">
        <v>17392.14</v>
      </c>
      <c r="K1137" s="42"/>
      <c r="L1137" s="14"/>
    </row>
    <row r="1138" spans="2:12" x14ac:dyDescent="0.25">
      <c r="B1138" s="42">
        <v>44140</v>
      </c>
      <c r="D1138">
        <v>17189.03</v>
      </c>
      <c r="K1138" s="42"/>
      <c r="L1138" s="14"/>
    </row>
    <row r="1139" spans="2:12" x14ac:dyDescent="0.25">
      <c r="B1139" s="42">
        <v>44139</v>
      </c>
      <c r="D1139">
        <v>16888.650000000001</v>
      </c>
      <c r="K1139" s="42"/>
      <c r="L1139" s="14"/>
    </row>
    <row r="1140" spans="2:12" x14ac:dyDescent="0.25">
      <c r="B1140" s="42">
        <v>44138</v>
      </c>
      <c r="D1140">
        <v>16746.75</v>
      </c>
      <c r="K1140" s="42"/>
      <c r="L1140" s="14"/>
    </row>
    <row r="1141" spans="2:12" x14ac:dyDescent="0.25">
      <c r="B1141" s="42">
        <v>44137</v>
      </c>
      <c r="D1141">
        <v>16542.080000000002</v>
      </c>
      <c r="K1141" s="42"/>
      <c r="L1141" s="14"/>
    </row>
    <row r="1142" spans="2:12" x14ac:dyDescent="0.25">
      <c r="B1142" s="42">
        <v>44134</v>
      </c>
      <c r="D1142">
        <v>16504.16</v>
      </c>
      <c r="K1142" s="42"/>
      <c r="L1142" s="14"/>
    </row>
    <row r="1143" spans="2:12" x14ac:dyDescent="0.25">
      <c r="B1143" s="42">
        <v>44133</v>
      </c>
      <c r="D1143">
        <v>16544.45</v>
      </c>
      <c r="K1143" s="42"/>
      <c r="L1143" s="14"/>
    </row>
    <row r="1144" spans="2:12" x14ac:dyDescent="0.25">
      <c r="B1144" s="42">
        <v>44132</v>
      </c>
      <c r="D1144">
        <v>16623.13</v>
      </c>
      <c r="K1144" s="42"/>
      <c r="L1144" s="14"/>
    </row>
    <row r="1145" spans="2:12" x14ac:dyDescent="0.25">
      <c r="B1145" s="42">
        <v>44131</v>
      </c>
      <c r="D1145">
        <v>16844.96</v>
      </c>
      <c r="K1145" s="42"/>
      <c r="L1145" s="14"/>
    </row>
    <row r="1146" spans="2:12" x14ac:dyDescent="0.25">
      <c r="B1146" s="42">
        <v>44130</v>
      </c>
      <c r="D1146">
        <v>16672.62</v>
      </c>
      <c r="K1146" s="42"/>
      <c r="L1146" s="14"/>
    </row>
    <row r="1147" spans="2:12" x14ac:dyDescent="0.25">
      <c r="B1147" s="42">
        <v>44127</v>
      </c>
      <c r="D1147">
        <v>16902.96</v>
      </c>
      <c r="K1147" s="42"/>
      <c r="L1147" s="14"/>
    </row>
    <row r="1148" spans="2:12" x14ac:dyDescent="0.25">
      <c r="B1148" s="42">
        <v>44126</v>
      </c>
      <c r="D1148">
        <v>16840.52</v>
      </c>
      <c r="K1148" s="42"/>
      <c r="L1148" s="14"/>
    </row>
    <row r="1149" spans="2:12" x14ac:dyDescent="0.25">
      <c r="B1149" s="42">
        <v>44125</v>
      </c>
      <c r="D1149">
        <v>16897.43</v>
      </c>
      <c r="K1149" s="42"/>
      <c r="L1149" s="14"/>
    </row>
    <row r="1150" spans="2:12" x14ac:dyDescent="0.25">
      <c r="B1150" s="42">
        <v>44124</v>
      </c>
      <c r="D1150">
        <v>16839.599999999999</v>
      </c>
      <c r="K1150" s="42"/>
      <c r="L1150" s="14"/>
    </row>
    <row r="1151" spans="2:12" x14ac:dyDescent="0.25">
      <c r="B1151" s="42">
        <v>44123</v>
      </c>
      <c r="D1151">
        <v>16805.97</v>
      </c>
      <c r="K1151" s="42"/>
      <c r="L1151" s="14"/>
    </row>
    <row r="1152" spans="2:12" x14ac:dyDescent="0.25">
      <c r="B1152" s="42">
        <v>44120</v>
      </c>
      <c r="D1152">
        <v>16649.46</v>
      </c>
      <c r="K1152" s="42"/>
      <c r="L1152" s="14"/>
    </row>
    <row r="1153" spans="2:12" x14ac:dyDescent="0.25">
      <c r="B1153" s="42">
        <v>44119</v>
      </c>
      <c r="D1153">
        <v>16533.240000000002</v>
      </c>
      <c r="K1153" s="42"/>
      <c r="L1153" s="14"/>
    </row>
    <row r="1154" spans="2:12" x14ac:dyDescent="0.25">
      <c r="B1154" s="42">
        <v>44118</v>
      </c>
      <c r="D1154">
        <v>16944.73</v>
      </c>
      <c r="K1154" s="42"/>
      <c r="L1154" s="14"/>
    </row>
    <row r="1155" spans="2:12" x14ac:dyDescent="0.25">
      <c r="B1155" s="42">
        <v>44117</v>
      </c>
      <c r="D1155">
        <v>16888.87</v>
      </c>
      <c r="K1155" s="42"/>
      <c r="L1155" s="14"/>
    </row>
    <row r="1156" spans="2:12" x14ac:dyDescent="0.25">
      <c r="B1156" s="42">
        <v>44116</v>
      </c>
      <c r="D1156">
        <v>16883.84</v>
      </c>
      <c r="K1156" s="42"/>
      <c r="L1156" s="14"/>
    </row>
    <row r="1157" spans="2:12" x14ac:dyDescent="0.25">
      <c r="B1157" s="42">
        <v>44113</v>
      </c>
      <c r="D1157">
        <v>16860.11</v>
      </c>
      <c r="K1157" s="42"/>
      <c r="L1157" s="14"/>
    </row>
    <row r="1158" spans="2:12" x14ac:dyDescent="0.25">
      <c r="B1158" s="42">
        <v>44112</v>
      </c>
      <c r="D1158">
        <v>16747.48</v>
      </c>
      <c r="K1158" s="42"/>
      <c r="L1158" s="14"/>
    </row>
    <row r="1159" spans="2:12" x14ac:dyDescent="0.25">
      <c r="B1159" s="42">
        <v>44111</v>
      </c>
      <c r="D1159">
        <v>16611.96</v>
      </c>
      <c r="K1159" s="42"/>
      <c r="L1159" s="14"/>
    </row>
    <row r="1160" spans="2:12" x14ac:dyDescent="0.25">
      <c r="B1160" s="42">
        <v>44110</v>
      </c>
      <c r="D1160">
        <v>16503.77</v>
      </c>
      <c r="K1160" s="42"/>
      <c r="L1160" s="14"/>
    </row>
    <row r="1161" spans="2:12" x14ac:dyDescent="0.25">
      <c r="B1161" s="42">
        <v>44109</v>
      </c>
      <c r="D1161">
        <v>16278.72</v>
      </c>
      <c r="K1161" s="42"/>
      <c r="L1161" s="14"/>
    </row>
    <row r="1162" spans="2:12" x14ac:dyDescent="0.25">
      <c r="B1162" s="42">
        <v>44105</v>
      </c>
      <c r="D1162">
        <v>16156.44</v>
      </c>
      <c r="K1162" s="42"/>
      <c r="L1162" s="14"/>
    </row>
    <row r="1163" spans="2:12" x14ac:dyDescent="0.25">
      <c r="B1163" s="42">
        <v>44104</v>
      </c>
      <c r="D1163">
        <v>15916.72</v>
      </c>
      <c r="K1163" s="42"/>
      <c r="L1163" s="14"/>
    </row>
    <row r="1164" spans="2:12" x14ac:dyDescent="0.25">
      <c r="B1164" s="42">
        <v>44103</v>
      </c>
      <c r="D1164">
        <v>15881.16</v>
      </c>
      <c r="K1164" s="42"/>
      <c r="L1164" s="14"/>
    </row>
    <row r="1165" spans="2:12" x14ac:dyDescent="0.25">
      <c r="B1165" s="42">
        <v>44102</v>
      </c>
      <c r="D1165">
        <v>15888.44</v>
      </c>
      <c r="K1165" s="42"/>
      <c r="L1165" s="14"/>
    </row>
    <row r="1166" spans="2:12" x14ac:dyDescent="0.25">
      <c r="B1166" s="42">
        <v>44099</v>
      </c>
      <c r="D1166">
        <v>15637.53</v>
      </c>
      <c r="K1166" s="42"/>
      <c r="L1166" s="14"/>
    </row>
    <row r="1167" spans="2:12" x14ac:dyDescent="0.25">
      <c r="B1167" s="42">
        <v>44098</v>
      </c>
      <c r="D1167">
        <v>15291.25</v>
      </c>
      <c r="K1167" s="42"/>
      <c r="L1167" s="14"/>
    </row>
    <row r="1168" spans="2:12" x14ac:dyDescent="0.25">
      <c r="B1168" s="42">
        <v>44097</v>
      </c>
      <c r="D1168">
        <v>15752.97</v>
      </c>
      <c r="K1168" s="42"/>
      <c r="L1168" s="14"/>
    </row>
    <row r="1169" spans="2:12" x14ac:dyDescent="0.25">
      <c r="B1169" s="42">
        <v>44096</v>
      </c>
      <c r="D1169">
        <v>15783.87</v>
      </c>
      <c r="K1169" s="42"/>
      <c r="L1169" s="14"/>
    </row>
    <row r="1170" spans="2:12" x14ac:dyDescent="0.25">
      <c r="B1170" s="42">
        <v>44095</v>
      </c>
      <c r="D1170">
        <v>15920.99</v>
      </c>
      <c r="K1170" s="42"/>
      <c r="L1170" s="14"/>
    </row>
    <row r="1171" spans="2:12" x14ac:dyDescent="0.25">
      <c r="B1171" s="42">
        <v>44092</v>
      </c>
      <c r="D1171">
        <v>16281</v>
      </c>
      <c r="K1171" s="42"/>
      <c r="L1171" s="14"/>
    </row>
    <row r="1172" spans="2:12" x14ac:dyDescent="0.25">
      <c r="B1172" s="42">
        <v>44091</v>
      </c>
      <c r="D1172">
        <v>16296.78</v>
      </c>
      <c r="K1172" s="42"/>
      <c r="L1172" s="14"/>
    </row>
    <row r="1173" spans="2:12" x14ac:dyDescent="0.25">
      <c r="B1173" s="42">
        <v>44090</v>
      </c>
      <c r="D1173">
        <v>16421.95</v>
      </c>
      <c r="K1173" s="42"/>
      <c r="L1173" s="14"/>
    </row>
    <row r="1174" spans="2:12" x14ac:dyDescent="0.25">
      <c r="B1174" s="42">
        <v>44089</v>
      </c>
      <c r="D1174">
        <v>16304.84</v>
      </c>
      <c r="K1174" s="42"/>
      <c r="L1174" s="14"/>
    </row>
    <row r="1175" spans="2:12" x14ac:dyDescent="0.25">
      <c r="B1175" s="42">
        <v>44088</v>
      </c>
      <c r="D1175">
        <v>16189.14</v>
      </c>
      <c r="K1175" s="42"/>
      <c r="L1175" s="14"/>
    </row>
    <row r="1176" spans="2:12" x14ac:dyDescent="0.25">
      <c r="B1176" s="42">
        <v>44085</v>
      </c>
      <c r="D1176">
        <v>16222.92</v>
      </c>
      <c r="K1176" s="42"/>
      <c r="L1176" s="14"/>
    </row>
    <row r="1177" spans="2:12" x14ac:dyDescent="0.25">
      <c r="B1177" s="42">
        <v>44084</v>
      </c>
      <c r="D1177">
        <v>16201.44</v>
      </c>
      <c r="K1177" s="42"/>
      <c r="L1177" s="14"/>
    </row>
    <row r="1178" spans="2:12" x14ac:dyDescent="0.25">
      <c r="B1178" s="42">
        <v>44083</v>
      </c>
      <c r="D1178">
        <v>15958.99</v>
      </c>
      <c r="K1178" s="42"/>
      <c r="L1178" s="14"/>
    </row>
    <row r="1179" spans="2:12" x14ac:dyDescent="0.25">
      <c r="B1179" s="42">
        <v>44082</v>
      </c>
      <c r="D1179">
        <v>16014.67</v>
      </c>
      <c r="K1179" s="42"/>
      <c r="L1179" s="14"/>
    </row>
    <row r="1180" spans="2:12" x14ac:dyDescent="0.25">
      <c r="B1180" s="42">
        <v>44081</v>
      </c>
      <c r="D1180">
        <v>16068.06</v>
      </c>
      <c r="K1180" s="42"/>
      <c r="L1180" s="14"/>
    </row>
    <row r="1181" spans="2:12" x14ac:dyDescent="0.25">
      <c r="B1181" s="42">
        <v>44078</v>
      </c>
      <c r="D1181">
        <v>16038.07</v>
      </c>
      <c r="K1181" s="42"/>
      <c r="L1181" s="14"/>
    </row>
    <row r="1182" spans="2:12" x14ac:dyDescent="0.25">
      <c r="B1182" s="42">
        <v>44077</v>
      </c>
      <c r="D1182">
        <v>16311.99</v>
      </c>
      <c r="K1182" s="42"/>
      <c r="L1182" s="14"/>
    </row>
    <row r="1183" spans="2:12" x14ac:dyDescent="0.25">
      <c r="B1183" s="42">
        <v>44076</v>
      </c>
      <c r="D1183">
        <v>16322.17</v>
      </c>
      <c r="K1183" s="42"/>
      <c r="L1183" s="14"/>
    </row>
    <row r="1184" spans="2:12" x14ac:dyDescent="0.25">
      <c r="B1184" s="42">
        <v>44075</v>
      </c>
      <c r="D1184">
        <v>16227.14</v>
      </c>
      <c r="K1184" s="42"/>
      <c r="L1184" s="14"/>
    </row>
    <row r="1185" spans="2:12" x14ac:dyDescent="0.25">
      <c r="B1185" s="42">
        <v>44074</v>
      </c>
      <c r="D1185">
        <v>16110.07</v>
      </c>
      <c r="K1185" s="42"/>
      <c r="L1185" s="14"/>
    </row>
    <row r="1186" spans="2:12" x14ac:dyDescent="0.25">
      <c r="B1186" s="42">
        <v>44071</v>
      </c>
      <c r="D1186">
        <v>16478.009999999998</v>
      </c>
      <c r="K1186" s="42"/>
      <c r="L1186" s="14"/>
    </row>
    <row r="1187" spans="2:12" x14ac:dyDescent="0.25">
      <c r="B1187" s="42">
        <v>44070</v>
      </c>
      <c r="D1187">
        <v>16353.08</v>
      </c>
      <c r="K1187" s="42"/>
      <c r="L1187" s="14"/>
    </row>
    <row r="1188" spans="2:12" x14ac:dyDescent="0.25">
      <c r="B1188" s="42">
        <v>44069</v>
      </c>
      <c r="D1188">
        <v>16339.41</v>
      </c>
      <c r="K1188" s="42"/>
      <c r="L1188" s="14"/>
    </row>
    <row r="1189" spans="2:12" x14ac:dyDescent="0.25">
      <c r="B1189" s="42">
        <v>44068</v>
      </c>
      <c r="D1189">
        <v>16226.2</v>
      </c>
      <c r="K1189" s="42"/>
      <c r="L1189" s="14"/>
    </row>
    <row r="1190" spans="2:12" x14ac:dyDescent="0.25">
      <c r="B1190" s="42">
        <v>44067</v>
      </c>
      <c r="D1190">
        <v>16218.02</v>
      </c>
      <c r="K1190" s="42"/>
      <c r="L1190" s="14"/>
    </row>
    <row r="1191" spans="2:12" x14ac:dyDescent="0.25">
      <c r="B1191" s="42">
        <v>44064</v>
      </c>
      <c r="D1191">
        <v>16083.84</v>
      </c>
      <c r="K1191" s="42"/>
      <c r="L1191" s="14"/>
    </row>
    <row r="1192" spans="2:12" x14ac:dyDescent="0.25">
      <c r="B1192" s="42">
        <v>44063</v>
      </c>
      <c r="D1192">
        <v>15999.86</v>
      </c>
      <c r="K1192" s="42"/>
      <c r="L1192" s="14"/>
    </row>
    <row r="1193" spans="2:12" x14ac:dyDescent="0.25">
      <c r="B1193" s="42">
        <v>44062</v>
      </c>
      <c r="D1193">
        <v>16135.89</v>
      </c>
      <c r="K1193" s="42"/>
      <c r="L1193" s="14"/>
    </row>
    <row r="1194" spans="2:12" x14ac:dyDescent="0.25">
      <c r="B1194" s="42">
        <v>44061</v>
      </c>
      <c r="D1194">
        <v>16101.86</v>
      </c>
      <c r="K1194" s="42"/>
      <c r="L1194" s="14"/>
    </row>
    <row r="1195" spans="2:12" x14ac:dyDescent="0.25">
      <c r="B1195" s="42">
        <v>44060</v>
      </c>
      <c r="D1195">
        <v>15906.29</v>
      </c>
      <c r="K1195" s="42"/>
      <c r="L1195" s="14"/>
    </row>
    <row r="1196" spans="2:12" x14ac:dyDescent="0.25">
      <c r="B1196" s="42">
        <v>44057</v>
      </c>
      <c r="D1196">
        <v>15809.17</v>
      </c>
      <c r="K1196" s="42"/>
      <c r="L1196" s="14"/>
    </row>
    <row r="1197" spans="2:12" x14ac:dyDescent="0.25">
      <c r="B1197" s="42">
        <v>44056</v>
      </c>
      <c r="D1197">
        <v>15981.73</v>
      </c>
      <c r="K1197" s="42"/>
      <c r="L1197" s="14"/>
    </row>
    <row r="1198" spans="2:12" x14ac:dyDescent="0.25">
      <c r="B1198" s="42">
        <v>44055</v>
      </c>
      <c r="D1198">
        <v>15986.03</v>
      </c>
      <c r="K1198" s="42"/>
      <c r="L1198" s="14"/>
    </row>
    <row r="1199" spans="2:12" x14ac:dyDescent="0.25">
      <c r="B1199" s="42">
        <v>44054</v>
      </c>
      <c r="D1199">
        <v>16005.99</v>
      </c>
      <c r="K1199" s="42"/>
      <c r="L1199" s="14"/>
    </row>
    <row r="1200" spans="2:12" x14ac:dyDescent="0.25">
      <c r="B1200" s="42">
        <v>44053</v>
      </c>
      <c r="D1200">
        <v>15931.97</v>
      </c>
      <c r="K1200" s="42"/>
      <c r="L1200" s="14"/>
    </row>
    <row r="1201" spans="2:12" x14ac:dyDescent="0.25">
      <c r="B1201" s="42">
        <v>44050</v>
      </c>
      <c r="D1201">
        <v>15852.65</v>
      </c>
      <c r="K1201" s="42"/>
      <c r="L1201" s="14"/>
    </row>
    <row r="1202" spans="2:12" x14ac:dyDescent="0.25">
      <c r="B1202" s="42">
        <v>44049</v>
      </c>
      <c r="D1202">
        <v>15833.02</v>
      </c>
      <c r="K1202" s="42"/>
      <c r="L1202" s="14"/>
    </row>
    <row r="1203" spans="2:12" x14ac:dyDescent="0.25">
      <c r="B1203" s="42">
        <v>44048</v>
      </c>
      <c r="D1203">
        <v>15689.69</v>
      </c>
      <c r="K1203" s="42"/>
      <c r="L1203" s="14"/>
    </row>
    <row r="1204" spans="2:12" x14ac:dyDescent="0.25">
      <c r="B1204" s="42">
        <v>44047</v>
      </c>
      <c r="D1204">
        <v>15676.74</v>
      </c>
      <c r="K1204" s="42"/>
      <c r="L1204" s="14"/>
    </row>
    <row r="1205" spans="2:12" x14ac:dyDescent="0.25">
      <c r="B1205" s="42">
        <v>44046</v>
      </c>
      <c r="D1205">
        <v>15388.98</v>
      </c>
      <c r="K1205" s="42"/>
      <c r="L1205" s="14"/>
    </row>
    <row r="1206" spans="2:12" x14ac:dyDescent="0.25">
      <c r="B1206" s="42">
        <v>44043</v>
      </c>
      <c r="D1206">
        <v>15645.34</v>
      </c>
      <c r="K1206" s="42"/>
      <c r="L1206" s="14"/>
    </row>
    <row r="1207" spans="2:12" x14ac:dyDescent="0.25">
      <c r="B1207" s="42">
        <v>44042</v>
      </c>
      <c r="D1207">
        <v>15685.92</v>
      </c>
      <c r="K1207" s="42"/>
      <c r="L1207" s="14"/>
    </row>
    <row r="1208" spans="2:12" x14ac:dyDescent="0.25">
      <c r="B1208" s="42">
        <v>44041</v>
      </c>
      <c r="D1208">
        <v>15824.19</v>
      </c>
      <c r="K1208" s="42"/>
      <c r="L1208" s="14"/>
    </row>
    <row r="1209" spans="2:12" x14ac:dyDescent="0.25">
      <c r="B1209" s="42">
        <v>44040</v>
      </c>
      <c r="D1209">
        <v>15961.7</v>
      </c>
      <c r="K1209" s="42"/>
      <c r="L1209" s="14"/>
    </row>
    <row r="1210" spans="2:12" x14ac:dyDescent="0.25">
      <c r="B1210" s="42">
        <v>44039</v>
      </c>
      <c r="D1210">
        <v>15723.39</v>
      </c>
      <c r="K1210" s="42"/>
      <c r="L1210" s="14"/>
    </row>
    <row r="1211" spans="2:12" x14ac:dyDescent="0.25">
      <c r="B1211" s="42">
        <v>44036</v>
      </c>
      <c r="D1211">
        <v>15811.4</v>
      </c>
      <c r="K1211" s="42"/>
      <c r="L1211" s="14"/>
    </row>
    <row r="1212" spans="2:12" x14ac:dyDescent="0.25">
      <c r="B1212" s="42">
        <v>44035</v>
      </c>
      <c r="D1212">
        <v>15841.48</v>
      </c>
      <c r="K1212" s="42"/>
      <c r="L1212" s="14"/>
    </row>
    <row r="1213" spans="2:12" x14ac:dyDescent="0.25">
      <c r="B1213" s="42">
        <v>44034</v>
      </c>
      <c r="D1213">
        <v>15722.51</v>
      </c>
      <c r="K1213" s="42"/>
      <c r="L1213" s="14"/>
    </row>
    <row r="1214" spans="2:12" x14ac:dyDescent="0.25">
      <c r="B1214" s="42">
        <v>44033</v>
      </c>
      <c r="D1214">
        <v>15764.41</v>
      </c>
      <c r="K1214" s="42"/>
      <c r="L1214" s="14"/>
    </row>
    <row r="1215" spans="2:12" x14ac:dyDescent="0.25">
      <c r="B1215" s="42">
        <v>44032</v>
      </c>
      <c r="D1215">
        <v>15566.56</v>
      </c>
      <c r="K1215" s="42"/>
      <c r="L1215" s="14"/>
    </row>
    <row r="1216" spans="2:12" x14ac:dyDescent="0.25">
      <c r="B1216" s="42">
        <v>44029</v>
      </c>
      <c r="D1216">
        <v>15396.44</v>
      </c>
      <c r="K1216" s="42"/>
      <c r="L1216" s="14"/>
    </row>
    <row r="1217" spans="2:12" x14ac:dyDescent="0.25">
      <c r="B1217" s="42">
        <v>44028</v>
      </c>
      <c r="D1217">
        <v>15167.99</v>
      </c>
      <c r="K1217" s="42"/>
      <c r="L1217" s="14"/>
    </row>
    <row r="1218" spans="2:12" x14ac:dyDescent="0.25">
      <c r="B1218" s="42">
        <v>44027</v>
      </c>
      <c r="D1218">
        <v>14993.52</v>
      </c>
      <c r="K1218" s="42"/>
      <c r="L1218" s="14"/>
    </row>
    <row r="1219" spans="2:12" x14ac:dyDescent="0.25">
      <c r="B1219" s="42">
        <v>44026</v>
      </c>
      <c r="D1219">
        <v>14978.23</v>
      </c>
      <c r="K1219" s="42"/>
      <c r="L1219" s="14"/>
    </row>
    <row r="1220" spans="2:12" x14ac:dyDescent="0.25">
      <c r="B1220" s="42">
        <v>44025</v>
      </c>
      <c r="D1220">
        <v>15254.09</v>
      </c>
      <c r="K1220" s="42"/>
      <c r="L1220" s="14"/>
    </row>
    <row r="1221" spans="2:12" x14ac:dyDescent="0.25">
      <c r="B1221" s="42">
        <v>44022</v>
      </c>
      <c r="D1221">
        <v>15204.13</v>
      </c>
      <c r="K1221" s="42"/>
      <c r="L1221" s="14"/>
    </row>
    <row r="1222" spans="2:12" x14ac:dyDescent="0.25">
      <c r="B1222" s="42">
        <v>44021</v>
      </c>
      <c r="D1222">
        <v>15268.19</v>
      </c>
      <c r="K1222" s="42"/>
      <c r="L1222" s="14"/>
    </row>
    <row r="1223" spans="2:12" x14ac:dyDescent="0.25">
      <c r="B1223" s="42">
        <v>44020</v>
      </c>
      <c r="D1223">
        <v>15104.09</v>
      </c>
      <c r="K1223" s="42"/>
      <c r="L1223" s="14"/>
    </row>
    <row r="1224" spans="2:12" x14ac:dyDescent="0.25">
      <c r="B1224" s="42">
        <v>44019</v>
      </c>
      <c r="D1224">
        <v>15236.58</v>
      </c>
      <c r="K1224" s="42"/>
      <c r="L1224" s="14"/>
    </row>
    <row r="1225" spans="2:12" x14ac:dyDescent="0.25">
      <c r="B1225" s="42">
        <v>44018</v>
      </c>
      <c r="D1225">
        <v>15185.78</v>
      </c>
      <c r="K1225" s="42"/>
      <c r="L1225" s="14"/>
    </row>
    <row r="1226" spans="2:12" x14ac:dyDescent="0.25">
      <c r="B1226" s="42">
        <v>44015</v>
      </c>
      <c r="D1226">
        <v>14964.59</v>
      </c>
      <c r="K1226" s="42"/>
      <c r="L1226" s="14"/>
    </row>
    <row r="1227" spans="2:12" x14ac:dyDescent="0.25">
      <c r="B1227" s="42">
        <v>44014</v>
      </c>
      <c r="D1227">
        <v>14886.06</v>
      </c>
      <c r="K1227" s="42"/>
      <c r="L1227" s="14"/>
    </row>
    <row r="1228" spans="2:12" x14ac:dyDescent="0.25">
      <c r="B1228" s="42">
        <v>44013</v>
      </c>
      <c r="D1228">
        <v>14707.64</v>
      </c>
      <c r="K1228" s="42"/>
      <c r="L1228" s="14"/>
    </row>
    <row r="1229" spans="2:12" x14ac:dyDescent="0.25">
      <c r="B1229" s="42">
        <v>44012</v>
      </c>
      <c r="D1229">
        <v>14527.18</v>
      </c>
      <c r="K1229" s="42"/>
      <c r="L1229" s="14"/>
    </row>
    <row r="1230" spans="2:12" x14ac:dyDescent="0.25">
      <c r="B1230" s="42">
        <v>44011</v>
      </c>
      <c r="D1230">
        <v>14541.76</v>
      </c>
      <c r="K1230" s="42"/>
      <c r="L1230" s="14"/>
    </row>
    <row r="1231" spans="2:12" x14ac:dyDescent="0.25">
      <c r="B1231" s="42">
        <v>44008</v>
      </c>
      <c r="D1231">
        <v>14641.26</v>
      </c>
      <c r="K1231" s="42"/>
      <c r="L1231" s="14"/>
    </row>
    <row r="1232" spans="2:12" x14ac:dyDescent="0.25">
      <c r="B1232" s="42">
        <v>44007</v>
      </c>
      <c r="D1232">
        <v>14508.61</v>
      </c>
      <c r="K1232" s="42"/>
      <c r="L1232" s="14"/>
    </row>
    <row r="1233" spans="2:12" x14ac:dyDescent="0.25">
      <c r="B1233" s="42">
        <v>44006</v>
      </c>
      <c r="D1233">
        <v>14531.72</v>
      </c>
      <c r="K1233" s="42"/>
      <c r="L1233" s="14"/>
    </row>
    <row r="1234" spans="2:12" x14ac:dyDescent="0.25">
      <c r="B1234" s="42">
        <v>44005</v>
      </c>
      <c r="D1234">
        <v>14765.36</v>
      </c>
      <c r="K1234" s="42"/>
      <c r="L1234" s="14"/>
    </row>
    <row r="1235" spans="2:12" x14ac:dyDescent="0.25">
      <c r="B1235" s="42">
        <v>44004</v>
      </c>
      <c r="D1235">
        <v>14540.07</v>
      </c>
      <c r="K1235" s="42"/>
      <c r="L1235" s="14"/>
    </row>
    <row r="1236" spans="2:12" x14ac:dyDescent="0.25">
      <c r="B1236" s="42">
        <v>44001</v>
      </c>
      <c r="D1236">
        <v>14445.87</v>
      </c>
      <c r="K1236" s="42"/>
      <c r="L1236" s="14"/>
    </row>
    <row r="1237" spans="2:12" x14ac:dyDescent="0.25">
      <c r="B1237" s="42">
        <v>44000</v>
      </c>
      <c r="D1237">
        <v>14227.14</v>
      </c>
      <c r="K1237" s="42"/>
      <c r="L1237" s="14"/>
    </row>
    <row r="1238" spans="2:12" x14ac:dyDescent="0.25">
      <c r="B1238" s="42">
        <v>43999</v>
      </c>
      <c r="D1238">
        <v>13930.35</v>
      </c>
      <c r="K1238" s="42"/>
      <c r="L1238" s="14"/>
    </row>
    <row r="1239" spans="2:12" x14ac:dyDescent="0.25">
      <c r="B1239" s="42">
        <v>43998</v>
      </c>
      <c r="D1239">
        <v>13976.63</v>
      </c>
      <c r="K1239" s="42"/>
      <c r="L1239" s="14"/>
    </row>
    <row r="1240" spans="2:12" x14ac:dyDescent="0.25">
      <c r="B1240" s="42">
        <v>43997</v>
      </c>
      <c r="D1240">
        <v>13835.27</v>
      </c>
      <c r="K1240" s="42"/>
      <c r="L1240" s="14"/>
    </row>
    <row r="1241" spans="2:12" x14ac:dyDescent="0.25">
      <c r="B1241" s="42">
        <v>43994</v>
      </c>
      <c r="D1241">
        <v>14059.69</v>
      </c>
      <c r="K1241" s="42"/>
      <c r="L1241" s="14"/>
    </row>
    <row r="1242" spans="2:12" x14ac:dyDescent="0.25">
      <c r="B1242" s="42">
        <v>43993</v>
      </c>
      <c r="D1242">
        <v>13959.73</v>
      </c>
      <c r="K1242" s="42"/>
      <c r="L1242" s="14"/>
    </row>
    <row r="1243" spans="2:12" x14ac:dyDescent="0.25">
      <c r="B1243" s="42">
        <v>43992</v>
      </c>
      <c r="D1243">
        <v>14260.91</v>
      </c>
      <c r="K1243" s="42"/>
      <c r="L1243" s="14"/>
    </row>
    <row r="1244" spans="2:12" x14ac:dyDescent="0.25">
      <c r="B1244" s="42">
        <v>43991</v>
      </c>
      <c r="D1244">
        <v>14162.9</v>
      </c>
      <c r="K1244" s="42"/>
      <c r="L1244" s="14"/>
    </row>
    <row r="1245" spans="2:12" x14ac:dyDescent="0.25">
      <c r="B1245" s="42">
        <v>43990</v>
      </c>
      <c r="D1245">
        <v>14333.2</v>
      </c>
      <c r="K1245" s="42"/>
      <c r="L1245" s="14"/>
    </row>
    <row r="1246" spans="2:12" x14ac:dyDescent="0.25">
      <c r="B1246" s="42">
        <v>43987</v>
      </c>
      <c r="D1246">
        <v>14297.55</v>
      </c>
      <c r="K1246" s="42"/>
      <c r="L1246" s="14"/>
    </row>
    <row r="1247" spans="2:12" x14ac:dyDescent="0.25">
      <c r="B1247" s="42">
        <v>43986</v>
      </c>
      <c r="D1247">
        <v>14138.19</v>
      </c>
      <c r="K1247" s="42"/>
      <c r="L1247" s="14"/>
    </row>
    <row r="1248" spans="2:12" x14ac:dyDescent="0.25">
      <c r="B1248" s="42">
        <v>43985</v>
      </c>
      <c r="D1248">
        <v>14183.95</v>
      </c>
      <c r="K1248" s="42"/>
      <c r="L1248" s="14"/>
    </row>
    <row r="1249" spans="2:12" x14ac:dyDescent="0.25">
      <c r="B1249" s="42">
        <v>43984</v>
      </c>
      <c r="D1249">
        <v>14065.56</v>
      </c>
      <c r="K1249" s="42"/>
      <c r="L1249" s="14"/>
    </row>
    <row r="1250" spans="2:12" x14ac:dyDescent="0.25">
      <c r="B1250" s="42">
        <v>43983</v>
      </c>
      <c r="D1250">
        <v>13850</v>
      </c>
      <c r="K1250" s="42"/>
      <c r="L1250" s="14"/>
    </row>
    <row r="1251" spans="2:12" x14ac:dyDescent="0.25">
      <c r="B1251" s="42">
        <v>43980</v>
      </c>
      <c r="D1251">
        <v>13503.45</v>
      </c>
      <c r="K1251" s="42"/>
      <c r="L1251" s="14"/>
    </row>
    <row r="1252" spans="2:12" x14ac:dyDescent="0.25">
      <c r="B1252" s="42">
        <v>43979</v>
      </c>
      <c r="D1252">
        <v>13364.65</v>
      </c>
      <c r="K1252" s="42"/>
      <c r="L1252" s="14"/>
    </row>
    <row r="1253" spans="2:12" x14ac:dyDescent="0.25">
      <c r="B1253" s="42">
        <v>43978</v>
      </c>
      <c r="D1253">
        <v>13117.99</v>
      </c>
      <c r="K1253" s="42"/>
      <c r="L1253" s="14"/>
    </row>
    <row r="1254" spans="2:12" x14ac:dyDescent="0.25">
      <c r="B1254" s="42">
        <v>43977</v>
      </c>
      <c r="D1254">
        <v>12715.39</v>
      </c>
      <c r="K1254" s="42"/>
      <c r="L1254" s="14"/>
    </row>
    <row r="1255" spans="2:12" x14ac:dyDescent="0.25">
      <c r="B1255" s="42">
        <v>43973</v>
      </c>
      <c r="D1255">
        <v>12729.74</v>
      </c>
      <c r="K1255" s="42"/>
      <c r="L1255" s="14"/>
    </row>
    <row r="1256" spans="2:12" x14ac:dyDescent="0.25">
      <c r="B1256" s="42">
        <v>43972</v>
      </c>
      <c r="D1256">
        <v>12824.12</v>
      </c>
      <c r="K1256" s="42"/>
      <c r="L1256" s="14"/>
    </row>
    <row r="1257" spans="2:12" x14ac:dyDescent="0.25">
      <c r="B1257" s="42">
        <v>43971</v>
      </c>
      <c r="D1257">
        <v>12768.2</v>
      </c>
      <c r="K1257" s="42"/>
      <c r="L1257" s="14"/>
    </row>
    <row r="1258" spans="2:12" x14ac:dyDescent="0.25">
      <c r="B1258" s="42">
        <v>43970</v>
      </c>
      <c r="D1258">
        <v>12504.22</v>
      </c>
      <c r="K1258" s="42"/>
      <c r="L1258" s="14"/>
    </row>
    <row r="1259" spans="2:12" x14ac:dyDescent="0.25">
      <c r="B1259" s="42">
        <v>43969</v>
      </c>
      <c r="D1259">
        <v>12425.57</v>
      </c>
      <c r="K1259" s="42"/>
      <c r="L1259" s="14"/>
    </row>
    <row r="1260" spans="2:12" x14ac:dyDescent="0.25">
      <c r="B1260" s="42">
        <v>43966</v>
      </c>
      <c r="D1260">
        <v>12867.16</v>
      </c>
      <c r="K1260" s="42"/>
      <c r="L1260" s="14"/>
    </row>
    <row r="1261" spans="2:12" x14ac:dyDescent="0.25">
      <c r="B1261" s="42">
        <v>43965</v>
      </c>
      <c r="D1261">
        <v>12875.51</v>
      </c>
      <c r="K1261" s="42"/>
      <c r="L1261" s="14"/>
    </row>
    <row r="1262" spans="2:12" x14ac:dyDescent="0.25">
      <c r="B1262" s="42">
        <v>43964</v>
      </c>
      <c r="D1262">
        <v>13214.58</v>
      </c>
      <c r="K1262" s="42"/>
      <c r="L1262" s="14"/>
    </row>
    <row r="1263" spans="2:12" x14ac:dyDescent="0.25">
      <c r="B1263" s="42">
        <v>43963</v>
      </c>
      <c r="D1263">
        <v>12951.29</v>
      </c>
      <c r="K1263" s="42"/>
      <c r="L1263" s="14"/>
    </row>
    <row r="1264" spans="2:12" x14ac:dyDescent="0.25">
      <c r="B1264" s="42">
        <v>43962</v>
      </c>
      <c r="D1264">
        <v>13011.35</v>
      </c>
      <c r="K1264" s="42"/>
      <c r="L1264" s="14"/>
    </row>
    <row r="1265" spans="2:12" x14ac:dyDescent="0.25">
      <c r="B1265" s="42">
        <v>43959</v>
      </c>
      <c r="D1265">
        <v>13028.62</v>
      </c>
      <c r="K1265" s="42"/>
      <c r="L1265" s="14"/>
    </row>
    <row r="1266" spans="2:12" x14ac:dyDescent="0.25">
      <c r="B1266" s="42">
        <v>43958</v>
      </c>
      <c r="D1266">
        <v>12954.81</v>
      </c>
      <c r="K1266" s="42"/>
      <c r="L1266" s="14"/>
    </row>
    <row r="1267" spans="2:12" x14ac:dyDescent="0.25">
      <c r="B1267" s="42">
        <v>43957</v>
      </c>
      <c r="D1267">
        <v>13055.99</v>
      </c>
      <c r="K1267" s="42"/>
      <c r="L1267" s="14"/>
    </row>
    <row r="1268" spans="2:12" x14ac:dyDescent="0.25">
      <c r="B1268" s="42">
        <v>43956</v>
      </c>
      <c r="D1268">
        <v>12963.99</v>
      </c>
      <c r="K1268" s="42"/>
      <c r="L1268" s="14"/>
    </row>
    <row r="1269" spans="2:12" x14ac:dyDescent="0.25">
      <c r="B1269" s="42">
        <v>43955</v>
      </c>
      <c r="D1269">
        <v>13086.63</v>
      </c>
      <c r="K1269" s="42"/>
      <c r="L1269" s="14"/>
    </row>
    <row r="1270" spans="2:12" x14ac:dyDescent="0.25">
      <c r="B1270" s="42">
        <v>43951</v>
      </c>
      <c r="D1270">
        <v>13884.18</v>
      </c>
      <c r="K1270" s="42"/>
      <c r="L1270" s="14"/>
    </row>
    <row r="1271" spans="2:12" x14ac:dyDescent="0.25">
      <c r="B1271" s="42">
        <v>43950</v>
      </c>
      <c r="D1271">
        <v>13452.51</v>
      </c>
      <c r="K1271" s="42"/>
      <c r="L1271" s="14"/>
    </row>
    <row r="1272" spans="2:12" x14ac:dyDescent="0.25">
      <c r="B1272" s="42">
        <v>43949</v>
      </c>
      <c r="D1272">
        <v>13208.29</v>
      </c>
      <c r="K1272" s="42"/>
      <c r="L1272" s="14"/>
    </row>
    <row r="1273" spans="2:12" x14ac:dyDescent="0.25">
      <c r="B1273" s="42">
        <v>43948</v>
      </c>
      <c r="D1273">
        <v>13069.49</v>
      </c>
      <c r="K1273" s="42"/>
      <c r="L1273" s="14"/>
    </row>
    <row r="1274" spans="2:12" x14ac:dyDescent="0.25">
      <c r="B1274" s="42">
        <v>43945</v>
      </c>
      <c r="D1274">
        <v>12889.39</v>
      </c>
      <c r="K1274" s="42"/>
      <c r="L1274" s="14"/>
    </row>
    <row r="1275" spans="2:12" x14ac:dyDescent="0.25">
      <c r="B1275" s="42">
        <v>43944</v>
      </c>
      <c r="D1275">
        <v>13113.97</v>
      </c>
      <c r="K1275" s="42"/>
      <c r="L1275" s="14"/>
    </row>
    <row r="1276" spans="2:12" x14ac:dyDescent="0.25">
      <c r="B1276" s="42">
        <v>43943</v>
      </c>
      <c r="D1276">
        <v>12935.73</v>
      </c>
      <c r="K1276" s="42"/>
      <c r="L1276" s="14"/>
    </row>
    <row r="1277" spans="2:12" x14ac:dyDescent="0.25">
      <c r="B1277" s="42">
        <v>43942</v>
      </c>
      <c r="D1277">
        <v>12645.91</v>
      </c>
      <c r="K1277" s="42"/>
      <c r="L1277" s="14"/>
    </row>
    <row r="1278" spans="2:12" x14ac:dyDescent="0.25">
      <c r="B1278" s="42">
        <v>43941</v>
      </c>
      <c r="D1278">
        <v>13040.65</v>
      </c>
      <c r="K1278" s="42"/>
      <c r="L1278" s="14"/>
    </row>
    <row r="1279" spans="2:12" x14ac:dyDescent="0.25">
      <c r="B1279" s="42">
        <v>43938</v>
      </c>
      <c r="D1279">
        <v>13047.57</v>
      </c>
      <c r="K1279" s="42"/>
      <c r="L1279" s="14"/>
    </row>
    <row r="1280" spans="2:12" x14ac:dyDescent="0.25">
      <c r="B1280" s="42">
        <v>43937</v>
      </c>
      <c r="D1280">
        <v>12661.83</v>
      </c>
      <c r="K1280" s="42"/>
      <c r="L1280" s="14"/>
    </row>
    <row r="1281" spans="2:12" x14ac:dyDescent="0.25">
      <c r="B1281" s="42">
        <v>43936</v>
      </c>
      <c r="D1281">
        <v>12566.85</v>
      </c>
      <c r="K1281" s="42"/>
      <c r="L1281" s="14"/>
    </row>
    <row r="1282" spans="2:12" x14ac:dyDescent="0.25">
      <c r="B1282" s="42">
        <v>43934</v>
      </c>
      <c r="D1282">
        <v>12663.31</v>
      </c>
      <c r="K1282" s="42"/>
      <c r="L1282" s="14"/>
    </row>
    <row r="1283" spans="2:12" x14ac:dyDescent="0.25">
      <c r="B1283" s="42">
        <v>43930</v>
      </c>
      <c r="D1283">
        <v>12829.57</v>
      </c>
      <c r="K1283" s="42"/>
      <c r="L1283" s="14"/>
    </row>
    <row r="1284" spans="2:12" x14ac:dyDescent="0.25">
      <c r="B1284" s="42">
        <v>43929</v>
      </c>
      <c r="D1284">
        <v>12318.25</v>
      </c>
      <c r="K1284" s="42"/>
      <c r="L1284" s="14"/>
    </row>
    <row r="1285" spans="2:12" x14ac:dyDescent="0.25">
      <c r="B1285" s="42">
        <v>43928</v>
      </c>
      <c r="D1285">
        <v>12379.42</v>
      </c>
      <c r="K1285" s="42"/>
      <c r="L1285" s="14"/>
    </row>
    <row r="1286" spans="2:12" x14ac:dyDescent="0.25">
      <c r="B1286" s="42">
        <v>43924</v>
      </c>
      <c r="D1286">
        <v>11382.02</v>
      </c>
      <c r="K1286" s="42"/>
      <c r="L1286" s="14"/>
    </row>
    <row r="1287" spans="2:12" x14ac:dyDescent="0.25">
      <c r="B1287" s="42">
        <v>43922</v>
      </c>
      <c r="D1287">
        <v>11621.35</v>
      </c>
      <c r="K1287" s="42"/>
      <c r="L1287" s="14"/>
    </row>
    <row r="1288" spans="2:12" x14ac:dyDescent="0.25">
      <c r="B1288" s="42">
        <v>43921</v>
      </c>
      <c r="D1288">
        <v>12105.66</v>
      </c>
      <c r="K1288" s="42"/>
      <c r="L1288" s="14"/>
    </row>
    <row r="1289" spans="2:12" x14ac:dyDescent="0.25">
      <c r="B1289" s="42">
        <v>43920</v>
      </c>
      <c r="D1289">
        <v>11659.76</v>
      </c>
      <c r="K1289" s="42"/>
      <c r="L1289" s="14"/>
    </row>
    <row r="1290" spans="2:12" x14ac:dyDescent="0.25">
      <c r="B1290" s="42">
        <v>43917</v>
      </c>
      <c r="D1290">
        <v>12193.62</v>
      </c>
      <c r="K1290" s="42"/>
      <c r="L1290" s="14"/>
    </row>
    <row r="1291" spans="2:12" x14ac:dyDescent="0.25">
      <c r="B1291" s="42">
        <v>43916</v>
      </c>
      <c r="D1291">
        <v>12167.15</v>
      </c>
      <c r="K1291" s="42"/>
      <c r="L1291" s="14"/>
    </row>
    <row r="1292" spans="2:12" x14ac:dyDescent="0.25">
      <c r="B1292" s="42">
        <v>43915</v>
      </c>
      <c r="D1292">
        <v>11710.71</v>
      </c>
      <c r="K1292" s="42"/>
      <c r="L1292" s="14"/>
    </row>
    <row r="1293" spans="2:12" x14ac:dyDescent="0.25">
      <c r="B1293" s="42">
        <v>43914</v>
      </c>
      <c r="D1293">
        <v>10983.15</v>
      </c>
      <c r="K1293" s="42"/>
      <c r="L1293" s="14"/>
    </row>
    <row r="1294" spans="2:12" x14ac:dyDescent="0.25">
      <c r="B1294" s="42">
        <v>43913</v>
      </c>
      <c r="D1294">
        <v>10710.41</v>
      </c>
      <c r="K1294" s="42"/>
      <c r="L1294" s="14"/>
    </row>
    <row r="1295" spans="2:12" x14ac:dyDescent="0.25">
      <c r="B1295" s="42">
        <v>43910</v>
      </c>
      <c r="D1295">
        <v>12298.74</v>
      </c>
      <c r="K1295" s="42"/>
      <c r="L1295" s="14"/>
    </row>
    <row r="1296" spans="2:12" x14ac:dyDescent="0.25">
      <c r="B1296" s="42">
        <v>43909</v>
      </c>
      <c r="D1296">
        <v>11620.92</v>
      </c>
      <c r="K1296" s="42"/>
      <c r="L1296" s="14"/>
    </row>
    <row r="1297" spans="2:12" x14ac:dyDescent="0.25">
      <c r="B1297" s="42">
        <v>43908</v>
      </c>
      <c r="D1297">
        <v>11904.02</v>
      </c>
      <c r="K1297" s="42"/>
      <c r="L1297" s="14"/>
    </row>
    <row r="1298" spans="2:12" x14ac:dyDescent="0.25">
      <c r="B1298" s="42">
        <v>43907</v>
      </c>
      <c r="D1298">
        <v>12604.41</v>
      </c>
      <c r="K1298" s="42"/>
      <c r="L1298" s="14"/>
    </row>
    <row r="1299" spans="2:12" x14ac:dyDescent="0.25">
      <c r="B1299" s="42">
        <v>43906</v>
      </c>
      <c r="D1299">
        <v>12928.18</v>
      </c>
      <c r="K1299" s="42"/>
      <c r="L1299" s="14"/>
    </row>
    <row r="1300" spans="2:12" x14ac:dyDescent="0.25">
      <c r="B1300" s="42">
        <v>43903</v>
      </c>
      <c r="D1300">
        <v>13987.31</v>
      </c>
      <c r="K1300" s="42"/>
      <c r="L1300" s="14"/>
    </row>
    <row r="1301" spans="2:12" x14ac:dyDescent="0.25">
      <c r="B1301" s="42">
        <v>43902</v>
      </c>
      <c r="D1301">
        <v>13474.38</v>
      </c>
      <c r="K1301" s="42"/>
      <c r="L1301" s="14"/>
    </row>
    <row r="1302" spans="2:12" x14ac:dyDescent="0.25">
      <c r="B1302" s="42">
        <v>43901</v>
      </c>
      <c r="D1302">
        <v>14694.31</v>
      </c>
      <c r="K1302" s="42"/>
      <c r="L1302" s="14"/>
    </row>
    <row r="1303" spans="2:12" x14ac:dyDescent="0.25">
      <c r="B1303" s="42">
        <v>43899</v>
      </c>
      <c r="D1303">
        <v>14684.56</v>
      </c>
      <c r="K1303" s="42"/>
      <c r="L1303" s="14"/>
    </row>
    <row r="1304" spans="2:12" x14ac:dyDescent="0.25">
      <c r="B1304" s="42">
        <v>43896</v>
      </c>
      <c r="D1304">
        <v>15440.48</v>
      </c>
      <c r="K1304" s="42"/>
      <c r="L1304" s="14"/>
    </row>
    <row r="1305" spans="2:12" x14ac:dyDescent="0.25">
      <c r="B1305" s="42">
        <v>43895</v>
      </c>
      <c r="D1305">
        <v>15833.21</v>
      </c>
      <c r="K1305" s="42"/>
      <c r="L1305" s="14"/>
    </row>
    <row r="1306" spans="2:12" x14ac:dyDescent="0.25">
      <c r="B1306" s="42">
        <v>43894</v>
      </c>
      <c r="D1306">
        <v>15805.53</v>
      </c>
      <c r="K1306" s="42"/>
      <c r="L1306" s="14"/>
    </row>
    <row r="1307" spans="2:12" x14ac:dyDescent="0.25">
      <c r="B1307" s="42">
        <v>43893</v>
      </c>
      <c r="D1307">
        <v>15878.98</v>
      </c>
      <c r="K1307" s="42"/>
      <c r="L1307" s="14"/>
    </row>
    <row r="1308" spans="2:12" x14ac:dyDescent="0.25">
      <c r="B1308" s="42">
        <v>43892</v>
      </c>
      <c r="D1308">
        <v>15632.14</v>
      </c>
      <c r="K1308" s="42"/>
      <c r="L1308" s="14"/>
    </row>
    <row r="1309" spans="2:12" x14ac:dyDescent="0.25">
      <c r="B1309" s="42">
        <v>43889</v>
      </c>
      <c r="D1309">
        <v>15726.92</v>
      </c>
      <c r="K1309" s="42"/>
      <c r="L1309" s="14"/>
    </row>
    <row r="1310" spans="2:12" x14ac:dyDescent="0.25">
      <c r="B1310" s="42">
        <v>43888</v>
      </c>
      <c r="D1310">
        <v>16332.81</v>
      </c>
      <c r="K1310" s="42"/>
      <c r="L1310" s="14"/>
    </row>
    <row r="1311" spans="2:12" x14ac:dyDescent="0.25">
      <c r="B1311" s="42">
        <v>43887</v>
      </c>
      <c r="D1311">
        <v>16396.23</v>
      </c>
      <c r="K1311" s="42"/>
      <c r="L1311" s="14"/>
    </row>
    <row r="1312" spans="2:12" x14ac:dyDescent="0.25">
      <c r="B1312" s="42">
        <v>43886</v>
      </c>
      <c r="D1312">
        <v>16563.91</v>
      </c>
      <c r="K1312" s="42"/>
      <c r="L1312" s="14"/>
    </row>
    <row r="1313" spans="2:12" x14ac:dyDescent="0.25">
      <c r="B1313" s="42">
        <v>43885</v>
      </c>
      <c r="D1313">
        <v>16608.12</v>
      </c>
      <c r="K1313" s="42"/>
      <c r="L1313" s="14"/>
    </row>
    <row r="1314" spans="2:12" x14ac:dyDescent="0.25">
      <c r="B1314" s="42">
        <v>43881</v>
      </c>
      <c r="D1314">
        <v>16961.16</v>
      </c>
      <c r="K1314" s="42"/>
      <c r="L1314" s="14"/>
    </row>
    <row r="1315" spans="2:12" x14ac:dyDescent="0.25">
      <c r="B1315" s="42">
        <v>43880</v>
      </c>
      <c r="D1315">
        <v>17024.41</v>
      </c>
      <c r="K1315" s="42"/>
      <c r="L1315" s="14"/>
    </row>
    <row r="1316" spans="2:12" x14ac:dyDescent="0.25">
      <c r="B1316" s="42">
        <v>43879</v>
      </c>
      <c r="D1316">
        <v>16837.080000000002</v>
      </c>
      <c r="K1316" s="42"/>
      <c r="L1316" s="14"/>
    </row>
    <row r="1317" spans="2:12" x14ac:dyDescent="0.25">
      <c r="B1317" s="42">
        <v>43878</v>
      </c>
      <c r="D1317">
        <v>16911.919999999998</v>
      </c>
      <c r="K1317" s="42"/>
      <c r="L1317" s="14"/>
    </row>
    <row r="1318" spans="2:12" x14ac:dyDescent="0.25">
      <c r="B1318" s="42">
        <v>43875</v>
      </c>
      <c r="D1318">
        <v>17002.89</v>
      </c>
      <c r="K1318" s="42"/>
      <c r="L1318" s="14"/>
    </row>
    <row r="1319" spans="2:12" x14ac:dyDescent="0.25">
      <c r="B1319" s="42">
        <v>43874</v>
      </c>
      <c r="D1319">
        <v>17088.84</v>
      </c>
      <c r="K1319" s="42"/>
      <c r="L1319" s="14"/>
    </row>
    <row r="1320" spans="2:12" x14ac:dyDescent="0.25">
      <c r="B1320" s="42">
        <v>43873</v>
      </c>
      <c r="D1320">
        <v>17126.07</v>
      </c>
      <c r="K1320" s="42"/>
      <c r="L1320" s="14"/>
    </row>
    <row r="1321" spans="2:12" x14ac:dyDescent="0.25">
      <c r="B1321" s="42">
        <v>43872</v>
      </c>
      <c r="D1321">
        <v>16995.099999999999</v>
      </c>
      <c r="K1321" s="42"/>
      <c r="L1321" s="14"/>
    </row>
    <row r="1322" spans="2:12" x14ac:dyDescent="0.25">
      <c r="B1322" s="42">
        <v>43871</v>
      </c>
      <c r="D1322">
        <v>16887.86</v>
      </c>
      <c r="K1322" s="42"/>
      <c r="L1322" s="14"/>
    </row>
    <row r="1323" spans="2:12" x14ac:dyDescent="0.25">
      <c r="B1323" s="42">
        <v>43868</v>
      </c>
      <c r="D1323">
        <v>16981.75</v>
      </c>
      <c r="K1323" s="42"/>
      <c r="L1323" s="14"/>
    </row>
    <row r="1324" spans="2:12" x14ac:dyDescent="0.25">
      <c r="B1324" s="42">
        <v>43867</v>
      </c>
      <c r="D1324">
        <v>17037.28</v>
      </c>
      <c r="K1324" s="42"/>
      <c r="L1324" s="14"/>
    </row>
    <row r="1325" spans="2:12" x14ac:dyDescent="0.25">
      <c r="B1325" s="42">
        <v>43866</v>
      </c>
      <c r="D1325">
        <v>16968.830000000002</v>
      </c>
      <c r="K1325" s="42"/>
      <c r="L1325" s="14"/>
    </row>
    <row r="1326" spans="2:12" x14ac:dyDescent="0.25">
      <c r="B1326" s="42">
        <v>43865</v>
      </c>
      <c r="D1326">
        <v>16815.12</v>
      </c>
      <c r="K1326" s="42"/>
      <c r="L1326" s="14"/>
    </row>
    <row r="1327" spans="2:12" x14ac:dyDescent="0.25">
      <c r="B1327" s="42">
        <v>43864</v>
      </c>
      <c r="D1327">
        <v>16433.650000000001</v>
      </c>
      <c r="K1327" s="42"/>
      <c r="L1327" s="14"/>
    </row>
    <row r="1328" spans="2:12" x14ac:dyDescent="0.25">
      <c r="B1328" s="42">
        <v>43862</v>
      </c>
      <c r="D1328">
        <v>16369</v>
      </c>
      <c r="K1328" s="42"/>
      <c r="L1328" s="14"/>
    </row>
    <row r="1329" spans="2:12" x14ac:dyDescent="0.25">
      <c r="B1329" s="42">
        <v>43861</v>
      </c>
      <c r="D1329">
        <v>16790.45</v>
      </c>
      <c r="K1329" s="42"/>
      <c r="L1329" s="14"/>
    </row>
    <row r="1330" spans="2:12" x14ac:dyDescent="0.25">
      <c r="B1330" s="42">
        <v>43860</v>
      </c>
      <c r="D1330">
        <v>16893.91</v>
      </c>
      <c r="K1330" s="42"/>
      <c r="L1330" s="14"/>
    </row>
    <row r="1331" spans="2:12" x14ac:dyDescent="0.25">
      <c r="B1331" s="42">
        <v>43859</v>
      </c>
      <c r="D1331">
        <v>17025.46</v>
      </c>
      <c r="K1331" s="42"/>
      <c r="L1331" s="14"/>
    </row>
    <row r="1332" spans="2:12" x14ac:dyDescent="0.25">
      <c r="B1332" s="42">
        <v>43858</v>
      </c>
      <c r="D1332">
        <v>16922.009999999998</v>
      </c>
      <c r="K1332" s="42"/>
      <c r="L1332" s="14"/>
    </row>
    <row r="1333" spans="2:12" x14ac:dyDescent="0.25">
      <c r="B1333" s="42">
        <v>43857</v>
      </c>
      <c r="D1333">
        <v>17010.7</v>
      </c>
      <c r="K1333" s="42"/>
      <c r="L1333" s="14"/>
    </row>
    <row r="1334" spans="2:12" x14ac:dyDescent="0.25">
      <c r="B1334" s="42">
        <v>43854</v>
      </c>
      <c r="D1334">
        <v>17192.150000000001</v>
      </c>
      <c r="K1334" s="42"/>
      <c r="L1334" s="14"/>
    </row>
    <row r="1335" spans="2:12" x14ac:dyDescent="0.25">
      <c r="B1335" s="42">
        <v>43853</v>
      </c>
      <c r="D1335">
        <v>17095.61</v>
      </c>
      <c r="K1335" s="42"/>
      <c r="L1335" s="14"/>
    </row>
    <row r="1336" spans="2:12" x14ac:dyDescent="0.25">
      <c r="B1336" s="42">
        <v>43852</v>
      </c>
      <c r="D1336">
        <v>16990.68</v>
      </c>
      <c r="K1336" s="42"/>
      <c r="L1336" s="14"/>
    </row>
    <row r="1337" spans="2:12" x14ac:dyDescent="0.25">
      <c r="B1337" s="42">
        <v>43851</v>
      </c>
      <c r="D1337">
        <v>17079.07</v>
      </c>
      <c r="K1337" s="42"/>
      <c r="L1337" s="14"/>
    </row>
    <row r="1338" spans="2:12" x14ac:dyDescent="0.25">
      <c r="B1338" s="42">
        <v>43850</v>
      </c>
      <c r="D1338">
        <v>17155.830000000002</v>
      </c>
      <c r="K1338" s="42"/>
      <c r="L1338" s="14"/>
    </row>
    <row r="1339" spans="2:12" x14ac:dyDescent="0.25">
      <c r="B1339" s="42">
        <v>43847</v>
      </c>
      <c r="D1339">
        <v>17335.2</v>
      </c>
      <c r="K1339" s="42"/>
      <c r="L1339" s="14"/>
    </row>
    <row r="1340" spans="2:12" x14ac:dyDescent="0.25">
      <c r="B1340" s="42">
        <v>43846</v>
      </c>
      <c r="D1340">
        <v>17339.57</v>
      </c>
      <c r="K1340" s="42"/>
      <c r="L1340" s="14"/>
    </row>
    <row r="1341" spans="2:12" x14ac:dyDescent="0.25">
      <c r="B1341" s="42">
        <v>43845</v>
      </c>
      <c r="D1341">
        <v>17322.5</v>
      </c>
      <c r="K1341" s="42"/>
      <c r="L1341" s="14"/>
    </row>
    <row r="1342" spans="2:12" x14ac:dyDescent="0.25">
      <c r="B1342" s="42">
        <v>43844</v>
      </c>
      <c r="D1342">
        <v>17349.12</v>
      </c>
      <c r="K1342" s="42"/>
      <c r="L1342" s="14"/>
    </row>
    <row r="1343" spans="2:12" x14ac:dyDescent="0.25">
      <c r="B1343" s="42">
        <v>43843</v>
      </c>
      <c r="D1343">
        <v>17303.2</v>
      </c>
      <c r="K1343" s="42"/>
      <c r="L1343" s="14"/>
    </row>
    <row r="1344" spans="2:12" x14ac:dyDescent="0.25">
      <c r="B1344" s="42">
        <v>43840</v>
      </c>
      <c r="D1344">
        <v>17201.080000000002</v>
      </c>
      <c r="K1344" s="42"/>
      <c r="L1344" s="14"/>
    </row>
    <row r="1345" spans="2:12" x14ac:dyDescent="0.25">
      <c r="B1345" s="42">
        <v>43839</v>
      </c>
      <c r="D1345">
        <v>17143.650000000001</v>
      </c>
      <c r="K1345" s="42"/>
      <c r="L1345" s="14"/>
    </row>
    <row r="1346" spans="2:12" x14ac:dyDescent="0.25">
      <c r="B1346" s="42">
        <v>43838</v>
      </c>
      <c r="D1346">
        <v>16876.240000000002</v>
      </c>
      <c r="K1346" s="42"/>
      <c r="L1346" s="14"/>
    </row>
    <row r="1347" spans="2:12" x14ac:dyDescent="0.25">
      <c r="B1347" s="42">
        <v>43837</v>
      </c>
      <c r="D1347">
        <v>16915.03</v>
      </c>
      <c r="K1347" s="42"/>
      <c r="L1347" s="14"/>
    </row>
    <row r="1348" spans="2:12" x14ac:dyDescent="0.25">
      <c r="B1348" s="42">
        <v>43836</v>
      </c>
      <c r="D1348">
        <v>16830.93</v>
      </c>
      <c r="K1348" s="42"/>
      <c r="L1348" s="14"/>
    </row>
    <row r="1349" spans="2:12" x14ac:dyDescent="0.25">
      <c r="B1349" s="42">
        <v>43833</v>
      </c>
      <c r="D1349">
        <v>17158.75</v>
      </c>
      <c r="K1349" s="42"/>
      <c r="L1349" s="14"/>
    </row>
    <row r="1350" spans="2:12" x14ac:dyDescent="0.25">
      <c r="B1350" s="42">
        <v>43832</v>
      </c>
      <c r="D1350">
        <v>17236.7</v>
      </c>
      <c r="K1350" s="42"/>
      <c r="L1350" s="14"/>
    </row>
    <row r="1351" spans="2:12" x14ac:dyDescent="0.25">
      <c r="B1351" s="42">
        <v>43831</v>
      </c>
      <c r="D1351">
        <v>17096.830000000002</v>
      </c>
      <c r="K1351" s="42"/>
      <c r="L1351" s="14"/>
    </row>
    <row r="1352" spans="2:12" x14ac:dyDescent="0.25">
      <c r="B1352" s="42">
        <v>43830</v>
      </c>
      <c r="D1352">
        <v>17077.060000000001</v>
      </c>
      <c r="K1352" s="42"/>
      <c r="L1352" s="14"/>
    </row>
    <row r="1353" spans="2:12" x14ac:dyDescent="0.25">
      <c r="B1353" s="42">
        <v>43829</v>
      </c>
      <c r="D1353">
        <v>17199.73</v>
      </c>
      <c r="K1353" s="42"/>
      <c r="L1353" s="14"/>
    </row>
    <row r="1354" spans="2:12" x14ac:dyDescent="0.25">
      <c r="B1354" s="42">
        <v>43826</v>
      </c>
      <c r="D1354">
        <v>17185.66</v>
      </c>
      <c r="K1354" s="42"/>
      <c r="L1354" s="14"/>
    </row>
    <row r="1355" spans="2:12" x14ac:dyDescent="0.25">
      <c r="B1355" s="42">
        <v>43825</v>
      </c>
      <c r="D1355">
        <v>17018.259999999998</v>
      </c>
      <c r="K1355" s="42"/>
      <c r="L1355" s="14"/>
    </row>
    <row r="1356" spans="2:12" x14ac:dyDescent="0.25">
      <c r="B1356" s="42">
        <v>43823</v>
      </c>
      <c r="D1356">
        <v>17141.8</v>
      </c>
      <c r="K1356" s="42"/>
      <c r="L1356" s="14"/>
    </row>
    <row r="1357" spans="2:12" x14ac:dyDescent="0.25">
      <c r="B1357" s="42">
        <v>43822</v>
      </c>
      <c r="D1357">
        <v>17209.400000000001</v>
      </c>
      <c r="K1357" s="42"/>
      <c r="L1357" s="14"/>
    </row>
    <row r="1358" spans="2:12" x14ac:dyDescent="0.25">
      <c r="B1358" s="42">
        <v>43819</v>
      </c>
      <c r="D1358">
        <v>17222.14</v>
      </c>
      <c r="K1358" s="42"/>
      <c r="L1358" s="14"/>
    </row>
    <row r="1359" spans="2:12" x14ac:dyDescent="0.25">
      <c r="B1359" s="42">
        <v>43818</v>
      </c>
      <c r="D1359">
        <v>17205.12</v>
      </c>
      <c r="K1359" s="42"/>
      <c r="L1359" s="14"/>
    </row>
    <row r="1360" spans="2:12" x14ac:dyDescent="0.25">
      <c r="B1360" s="42">
        <v>43817</v>
      </c>
      <c r="D1360">
        <v>17150.93</v>
      </c>
      <c r="K1360" s="42"/>
      <c r="L1360" s="14"/>
    </row>
    <row r="1361" spans="2:12" x14ac:dyDescent="0.25">
      <c r="B1361" s="42">
        <v>43816</v>
      </c>
      <c r="D1361">
        <v>17071.490000000002</v>
      </c>
      <c r="K1361" s="42"/>
      <c r="L1361" s="14"/>
    </row>
    <row r="1362" spans="2:12" x14ac:dyDescent="0.25">
      <c r="B1362" s="42">
        <v>43815</v>
      </c>
      <c r="D1362">
        <v>16915.650000000001</v>
      </c>
      <c r="K1362" s="42"/>
      <c r="L1362" s="14"/>
    </row>
    <row r="1363" spans="2:12" x14ac:dyDescent="0.25">
      <c r="B1363" s="42">
        <v>43812</v>
      </c>
      <c r="D1363">
        <v>16961.560000000001</v>
      </c>
      <c r="K1363" s="42"/>
      <c r="L1363" s="14"/>
    </row>
    <row r="1364" spans="2:12" x14ac:dyDescent="0.25">
      <c r="B1364" s="42">
        <v>43811</v>
      </c>
      <c r="D1364">
        <v>16800.36</v>
      </c>
      <c r="K1364" s="42"/>
      <c r="L1364" s="14"/>
    </row>
    <row r="1365" spans="2:12" x14ac:dyDescent="0.25">
      <c r="B1365" s="42">
        <v>43810</v>
      </c>
      <c r="D1365">
        <v>16713.79</v>
      </c>
      <c r="K1365" s="42"/>
      <c r="L1365" s="14"/>
    </row>
    <row r="1366" spans="2:12" x14ac:dyDescent="0.25">
      <c r="B1366" s="42">
        <v>43809</v>
      </c>
      <c r="D1366">
        <v>16638.939999999999</v>
      </c>
      <c r="K1366" s="42"/>
      <c r="L1366" s="14"/>
    </row>
    <row r="1367" spans="2:12" x14ac:dyDescent="0.25">
      <c r="B1367" s="42">
        <v>43808</v>
      </c>
      <c r="D1367">
        <v>16751.53</v>
      </c>
      <c r="K1367" s="42"/>
      <c r="L1367" s="14"/>
    </row>
    <row r="1368" spans="2:12" x14ac:dyDescent="0.25">
      <c r="B1368" s="42">
        <v>43805</v>
      </c>
      <c r="D1368">
        <v>16729.080000000002</v>
      </c>
      <c r="K1368" s="42"/>
      <c r="L1368" s="14"/>
    </row>
    <row r="1369" spans="2:12" x14ac:dyDescent="0.25">
      <c r="B1369" s="42">
        <v>43804</v>
      </c>
      <c r="D1369">
        <v>16865.04</v>
      </c>
      <c r="K1369" s="42"/>
      <c r="L1369" s="14"/>
    </row>
    <row r="1370" spans="2:12" x14ac:dyDescent="0.25">
      <c r="B1370" s="42">
        <v>43803</v>
      </c>
      <c r="D1370">
        <v>16899.88</v>
      </c>
      <c r="K1370" s="42"/>
      <c r="L1370" s="14"/>
    </row>
    <row r="1371" spans="2:12" x14ac:dyDescent="0.25">
      <c r="B1371" s="42">
        <v>43802</v>
      </c>
      <c r="D1371">
        <v>16831.11</v>
      </c>
      <c r="K1371" s="42"/>
      <c r="L1371" s="14"/>
    </row>
    <row r="1372" spans="2:12" x14ac:dyDescent="0.25">
      <c r="B1372" s="42">
        <v>43801</v>
      </c>
      <c r="D1372">
        <v>16906.88</v>
      </c>
      <c r="K1372" s="42"/>
      <c r="L1372" s="14"/>
    </row>
    <row r="1373" spans="2:12" x14ac:dyDescent="0.25">
      <c r="B1373" s="42">
        <v>43798</v>
      </c>
      <c r="D1373">
        <v>16917.89</v>
      </c>
      <c r="K1373" s="42"/>
      <c r="L1373" s="14"/>
    </row>
    <row r="1374" spans="2:12" x14ac:dyDescent="0.25">
      <c r="B1374" s="42">
        <v>43797</v>
      </c>
      <c r="D1374">
        <v>17051.310000000001</v>
      </c>
      <c r="K1374" s="42"/>
      <c r="L1374" s="14"/>
    </row>
    <row r="1375" spans="2:12" x14ac:dyDescent="0.25">
      <c r="B1375" s="42">
        <v>43796</v>
      </c>
      <c r="D1375">
        <v>16980.54</v>
      </c>
      <c r="K1375" s="42"/>
      <c r="L1375" s="14"/>
    </row>
    <row r="1376" spans="2:12" x14ac:dyDescent="0.25">
      <c r="B1376" s="42">
        <v>43795</v>
      </c>
      <c r="D1376">
        <v>16892.150000000001</v>
      </c>
      <c r="K1376" s="42"/>
      <c r="L1376" s="14"/>
    </row>
    <row r="1377" spans="2:12" x14ac:dyDescent="0.25">
      <c r="B1377" s="42">
        <v>43794</v>
      </c>
      <c r="D1377">
        <v>16942.7</v>
      </c>
      <c r="K1377" s="42"/>
      <c r="L1377" s="14"/>
    </row>
    <row r="1378" spans="2:12" x14ac:dyDescent="0.25">
      <c r="B1378" s="42">
        <v>43791</v>
      </c>
      <c r="D1378">
        <v>16719.11</v>
      </c>
      <c r="K1378" s="42"/>
      <c r="L1378" s="14"/>
    </row>
    <row r="1379" spans="2:12" x14ac:dyDescent="0.25">
      <c r="B1379" s="42">
        <v>43790</v>
      </c>
      <c r="D1379">
        <v>16794.86</v>
      </c>
      <c r="K1379" s="42"/>
      <c r="L1379" s="14"/>
    </row>
    <row r="1380" spans="2:12" x14ac:dyDescent="0.25">
      <c r="B1380" s="42">
        <v>43789</v>
      </c>
      <c r="D1380">
        <v>16837.96</v>
      </c>
      <c r="K1380" s="42"/>
      <c r="L1380" s="14"/>
    </row>
    <row r="1381" spans="2:12" x14ac:dyDescent="0.25">
      <c r="B1381" s="42">
        <v>43788</v>
      </c>
      <c r="D1381">
        <v>16755.150000000001</v>
      </c>
      <c r="K1381" s="42"/>
      <c r="L1381" s="14"/>
    </row>
    <row r="1382" spans="2:12" x14ac:dyDescent="0.25">
      <c r="B1382" s="42">
        <v>43787</v>
      </c>
      <c r="D1382">
        <v>16677.14</v>
      </c>
      <c r="K1382" s="42"/>
      <c r="L1382" s="14"/>
    </row>
    <row r="1383" spans="2:12" x14ac:dyDescent="0.25">
      <c r="B1383" s="42">
        <v>43784</v>
      </c>
      <c r="D1383">
        <v>16692.52</v>
      </c>
      <c r="K1383" s="42"/>
      <c r="L1383" s="14"/>
    </row>
    <row r="1384" spans="2:12" x14ac:dyDescent="0.25">
      <c r="B1384" s="42">
        <v>43783</v>
      </c>
      <c r="D1384">
        <v>16659.78</v>
      </c>
      <c r="K1384" s="42"/>
      <c r="L1384" s="14"/>
    </row>
    <row r="1385" spans="2:12" x14ac:dyDescent="0.25">
      <c r="B1385" s="42">
        <v>43782</v>
      </c>
      <c r="D1385">
        <v>16615.37</v>
      </c>
      <c r="K1385" s="42"/>
      <c r="L1385" s="14"/>
    </row>
    <row r="1386" spans="2:12" x14ac:dyDescent="0.25">
      <c r="B1386" s="42">
        <v>43780</v>
      </c>
      <c r="D1386">
        <v>16717.75</v>
      </c>
      <c r="K1386" s="42"/>
      <c r="L1386" s="14"/>
    </row>
    <row r="1387" spans="2:12" x14ac:dyDescent="0.25">
      <c r="B1387" s="42">
        <v>43777</v>
      </c>
      <c r="D1387">
        <v>16710.37</v>
      </c>
      <c r="K1387" s="42"/>
      <c r="L1387" s="14"/>
    </row>
    <row r="1388" spans="2:12" x14ac:dyDescent="0.25">
      <c r="B1388" s="42">
        <v>43776</v>
      </c>
      <c r="D1388">
        <v>16856.169999999998</v>
      </c>
      <c r="K1388" s="42"/>
      <c r="L1388" s="14"/>
    </row>
    <row r="1389" spans="2:12" x14ac:dyDescent="0.25">
      <c r="B1389" s="42">
        <v>43775</v>
      </c>
      <c r="D1389">
        <v>16791.61</v>
      </c>
      <c r="K1389" s="42"/>
      <c r="L1389" s="14"/>
    </row>
    <row r="1390" spans="2:12" x14ac:dyDescent="0.25">
      <c r="B1390" s="42">
        <v>43774</v>
      </c>
      <c r="D1390">
        <v>16723.060000000001</v>
      </c>
      <c r="K1390" s="42"/>
      <c r="L1390" s="14"/>
    </row>
    <row r="1391" spans="2:12" x14ac:dyDescent="0.25">
      <c r="B1391" s="42">
        <v>43773</v>
      </c>
      <c r="D1391">
        <v>16756.87</v>
      </c>
      <c r="K1391" s="42"/>
      <c r="L1391" s="14"/>
    </row>
    <row r="1392" spans="2:12" x14ac:dyDescent="0.25">
      <c r="B1392" s="42">
        <v>43770</v>
      </c>
      <c r="D1392">
        <v>16685.73</v>
      </c>
      <c r="K1392" s="42"/>
      <c r="L1392" s="14"/>
    </row>
    <row r="1393" spans="2:12" x14ac:dyDescent="0.25">
      <c r="B1393" s="42">
        <v>43769</v>
      </c>
      <c r="D1393">
        <v>16667.29</v>
      </c>
      <c r="K1393" s="42"/>
      <c r="L1393" s="14"/>
    </row>
    <row r="1394" spans="2:12" x14ac:dyDescent="0.25">
      <c r="B1394" s="42">
        <v>43768</v>
      </c>
      <c r="D1394">
        <v>16620.07</v>
      </c>
      <c r="K1394" s="42"/>
      <c r="L1394" s="14"/>
    </row>
    <row r="1395" spans="2:12" x14ac:dyDescent="0.25">
      <c r="B1395" s="42">
        <v>43767</v>
      </c>
      <c r="D1395">
        <v>16539.23</v>
      </c>
      <c r="K1395" s="42"/>
      <c r="L1395" s="14"/>
    </row>
    <row r="1396" spans="2:12" x14ac:dyDescent="0.25">
      <c r="B1396" s="42">
        <v>43765</v>
      </c>
      <c r="D1396">
        <v>16315.17</v>
      </c>
      <c r="K1396" s="42"/>
      <c r="L1396" s="14"/>
    </row>
    <row r="1397" spans="2:12" x14ac:dyDescent="0.25">
      <c r="B1397" s="42">
        <v>43763</v>
      </c>
      <c r="D1397">
        <v>16254.45</v>
      </c>
      <c r="K1397" s="42"/>
      <c r="L1397" s="14"/>
    </row>
    <row r="1398" spans="2:12" x14ac:dyDescent="0.25">
      <c r="B1398" s="42">
        <v>43762</v>
      </c>
      <c r="D1398">
        <v>16252.63</v>
      </c>
      <c r="K1398" s="42"/>
      <c r="L1398" s="14"/>
    </row>
    <row r="1399" spans="2:12" x14ac:dyDescent="0.25">
      <c r="B1399" s="42">
        <v>43761</v>
      </c>
      <c r="D1399">
        <v>16282.84</v>
      </c>
      <c r="K1399" s="42"/>
      <c r="L1399" s="14"/>
    </row>
    <row r="1400" spans="2:12" x14ac:dyDescent="0.25">
      <c r="B1400" s="42">
        <v>43760</v>
      </c>
      <c r="D1400">
        <v>16248.11</v>
      </c>
      <c r="K1400" s="42"/>
      <c r="L1400" s="14"/>
    </row>
    <row r="1401" spans="2:12" x14ac:dyDescent="0.25">
      <c r="B1401" s="42">
        <v>43756</v>
      </c>
      <c r="D1401">
        <v>16351.16</v>
      </c>
      <c r="K1401" s="42"/>
      <c r="L1401" s="14"/>
    </row>
    <row r="1402" spans="2:12" x14ac:dyDescent="0.25">
      <c r="B1402" s="42">
        <v>43755</v>
      </c>
      <c r="D1402">
        <v>16245.31</v>
      </c>
      <c r="K1402" s="42"/>
      <c r="L1402" s="14"/>
    </row>
    <row r="1403" spans="2:12" x14ac:dyDescent="0.25">
      <c r="B1403" s="42">
        <v>43754</v>
      </c>
      <c r="D1403">
        <v>16057.85</v>
      </c>
      <c r="K1403" s="42"/>
      <c r="L1403" s="14"/>
    </row>
    <row r="1404" spans="2:12" x14ac:dyDescent="0.25">
      <c r="B1404" s="42">
        <v>43753</v>
      </c>
      <c r="D1404">
        <v>16007.83</v>
      </c>
      <c r="K1404" s="42"/>
      <c r="L1404" s="14"/>
    </row>
    <row r="1405" spans="2:12" x14ac:dyDescent="0.25">
      <c r="B1405" s="42">
        <v>43752</v>
      </c>
      <c r="D1405">
        <v>15885.74</v>
      </c>
      <c r="K1405" s="42"/>
      <c r="L1405" s="14"/>
    </row>
    <row r="1406" spans="2:12" x14ac:dyDescent="0.25">
      <c r="B1406" s="42">
        <v>43749</v>
      </c>
      <c r="D1406">
        <v>15835.17</v>
      </c>
      <c r="K1406" s="42"/>
      <c r="L1406" s="14"/>
    </row>
    <row r="1407" spans="2:12" x14ac:dyDescent="0.25">
      <c r="B1407" s="42">
        <v>43748</v>
      </c>
      <c r="D1407">
        <v>15736.44</v>
      </c>
      <c r="K1407" s="42"/>
      <c r="L1407" s="14"/>
    </row>
    <row r="1408" spans="2:12" x14ac:dyDescent="0.25">
      <c r="B1408" s="42">
        <v>43747</v>
      </c>
      <c r="D1408">
        <v>15846.77</v>
      </c>
      <c r="K1408" s="42"/>
      <c r="L1408" s="14"/>
    </row>
    <row r="1409" spans="2:12" x14ac:dyDescent="0.25">
      <c r="B1409" s="42">
        <v>43745</v>
      </c>
      <c r="D1409">
        <v>15584.94</v>
      </c>
      <c r="K1409" s="42"/>
      <c r="L1409" s="14"/>
    </row>
    <row r="1410" spans="2:12" x14ac:dyDescent="0.25">
      <c r="B1410" s="42">
        <v>43742</v>
      </c>
      <c r="D1410">
        <v>15652.7</v>
      </c>
      <c r="K1410" s="42"/>
      <c r="L1410" s="14"/>
    </row>
    <row r="1411" spans="2:12" x14ac:dyDescent="0.25">
      <c r="B1411" s="42">
        <v>43741</v>
      </c>
      <c r="D1411">
        <v>15847.7</v>
      </c>
      <c r="K1411" s="42"/>
      <c r="L1411" s="14"/>
    </row>
    <row r="1412" spans="2:12" x14ac:dyDescent="0.25">
      <c r="B1412" s="42">
        <v>43739</v>
      </c>
      <c r="D1412">
        <v>15912.03</v>
      </c>
      <c r="K1412" s="42"/>
      <c r="L1412" s="14"/>
    </row>
    <row r="1413" spans="2:12" x14ac:dyDescent="0.25">
      <c r="B1413" s="42">
        <v>43738</v>
      </c>
      <c r="D1413">
        <v>16072.5</v>
      </c>
      <c r="K1413" s="42"/>
      <c r="L1413" s="14"/>
    </row>
    <row r="1414" spans="2:12" x14ac:dyDescent="0.25">
      <c r="B1414" s="42">
        <v>43735</v>
      </c>
      <c r="D1414">
        <v>16125.65</v>
      </c>
      <c r="K1414" s="42"/>
      <c r="L1414" s="14"/>
    </row>
    <row r="1415" spans="2:12" x14ac:dyDescent="0.25">
      <c r="B1415" s="42">
        <v>43734</v>
      </c>
      <c r="D1415">
        <v>16207.96</v>
      </c>
      <c r="K1415" s="42"/>
      <c r="L1415" s="14"/>
    </row>
    <row r="1416" spans="2:12" x14ac:dyDescent="0.25">
      <c r="B1416" s="42">
        <v>43733</v>
      </c>
      <c r="D1416">
        <v>16024.49</v>
      </c>
      <c r="K1416" s="42"/>
      <c r="L1416" s="14"/>
    </row>
    <row r="1417" spans="2:12" x14ac:dyDescent="0.25">
      <c r="B1417" s="42">
        <v>43732</v>
      </c>
      <c r="D1417">
        <v>16231.83</v>
      </c>
      <c r="K1417" s="42"/>
      <c r="L1417" s="14"/>
    </row>
    <row r="1418" spans="2:12" x14ac:dyDescent="0.25">
      <c r="B1418" s="42">
        <v>43731</v>
      </c>
      <c r="D1418">
        <v>16248.62</v>
      </c>
      <c r="K1418" s="42"/>
      <c r="L1418" s="14"/>
    </row>
    <row r="1419" spans="2:12" x14ac:dyDescent="0.25">
      <c r="B1419" s="42">
        <v>43728</v>
      </c>
      <c r="D1419">
        <v>15791.99</v>
      </c>
      <c r="K1419" s="42"/>
      <c r="L1419" s="14"/>
    </row>
    <row r="1420" spans="2:12" x14ac:dyDescent="0.25">
      <c r="B1420" s="42">
        <v>43727</v>
      </c>
      <c r="D1420">
        <v>14994.39</v>
      </c>
      <c r="K1420" s="42"/>
      <c r="L1420" s="14"/>
    </row>
    <row r="1421" spans="2:12" x14ac:dyDescent="0.25">
      <c r="B1421" s="42">
        <v>43726</v>
      </c>
      <c r="D1421">
        <v>15184.69</v>
      </c>
      <c r="K1421" s="42"/>
      <c r="L1421" s="14"/>
    </row>
    <row r="1422" spans="2:12" x14ac:dyDescent="0.25">
      <c r="B1422" s="42">
        <v>43725</v>
      </c>
      <c r="D1422">
        <v>15152.39</v>
      </c>
      <c r="K1422" s="42"/>
      <c r="L1422" s="14"/>
    </row>
    <row r="1423" spans="2:12" x14ac:dyDescent="0.25">
      <c r="B1423" s="42">
        <v>43724</v>
      </c>
      <c r="D1423">
        <v>15412.83</v>
      </c>
      <c r="K1423" s="42"/>
      <c r="L1423" s="14"/>
    </row>
    <row r="1424" spans="2:12" x14ac:dyDescent="0.25">
      <c r="B1424" s="42">
        <v>43721</v>
      </c>
      <c r="D1424">
        <v>15514.2</v>
      </c>
      <c r="K1424" s="42"/>
      <c r="L1424" s="14"/>
    </row>
    <row r="1425" spans="2:12" x14ac:dyDescent="0.25">
      <c r="B1425" s="42">
        <v>43720</v>
      </c>
      <c r="D1425">
        <v>15383.82</v>
      </c>
      <c r="K1425" s="42"/>
      <c r="L1425" s="14"/>
    </row>
    <row r="1426" spans="2:12" x14ac:dyDescent="0.25">
      <c r="B1426" s="42">
        <v>43719</v>
      </c>
      <c r="D1426">
        <v>15457.9</v>
      </c>
      <c r="K1426" s="42"/>
      <c r="L1426" s="14"/>
    </row>
    <row r="1427" spans="2:12" x14ac:dyDescent="0.25">
      <c r="B1427" s="42">
        <v>43717</v>
      </c>
      <c r="D1427">
        <v>15412.14</v>
      </c>
      <c r="K1427" s="42"/>
      <c r="L1427" s="14"/>
    </row>
    <row r="1428" spans="2:12" x14ac:dyDescent="0.25">
      <c r="B1428" s="42">
        <v>43714</v>
      </c>
      <c r="D1428">
        <v>15332.57</v>
      </c>
      <c r="K1428" s="42"/>
      <c r="L1428" s="14"/>
    </row>
    <row r="1429" spans="2:12" x14ac:dyDescent="0.25">
      <c r="B1429" s="42">
        <v>43713</v>
      </c>
      <c r="D1429">
        <v>15194.86</v>
      </c>
      <c r="K1429" s="42"/>
      <c r="L1429" s="14"/>
    </row>
    <row r="1430" spans="2:12" x14ac:dyDescent="0.25">
      <c r="B1430" s="42">
        <v>43712</v>
      </c>
      <c r="D1430">
        <v>15190.3</v>
      </c>
      <c r="K1430" s="42"/>
      <c r="L1430" s="14"/>
    </row>
    <row r="1431" spans="2:12" x14ac:dyDescent="0.25">
      <c r="B1431" s="42">
        <v>43711</v>
      </c>
      <c r="D1431">
        <v>15124.8</v>
      </c>
      <c r="K1431" s="42"/>
      <c r="L1431" s="14"/>
    </row>
    <row r="1432" spans="2:12" x14ac:dyDescent="0.25">
      <c r="B1432" s="42">
        <v>43707</v>
      </c>
      <c r="D1432">
        <v>15440.47</v>
      </c>
      <c r="K1432" s="42"/>
      <c r="L1432" s="14"/>
    </row>
    <row r="1433" spans="2:12" x14ac:dyDescent="0.25">
      <c r="B1433" s="42">
        <v>43706</v>
      </c>
      <c r="D1433">
        <v>15335.45</v>
      </c>
      <c r="K1433" s="42"/>
      <c r="L1433" s="14"/>
    </row>
    <row r="1434" spans="2:12" x14ac:dyDescent="0.25">
      <c r="B1434" s="42">
        <v>43705</v>
      </c>
      <c r="D1434">
        <v>15472.44</v>
      </c>
      <c r="K1434" s="42"/>
      <c r="L1434" s="14"/>
    </row>
    <row r="1435" spans="2:12" x14ac:dyDescent="0.25">
      <c r="B1435" s="42">
        <v>43704</v>
      </c>
      <c r="D1435">
        <v>15555.44</v>
      </c>
      <c r="K1435" s="42"/>
      <c r="L1435" s="14"/>
    </row>
    <row r="1436" spans="2:12" x14ac:dyDescent="0.25">
      <c r="B1436" s="42">
        <v>43703</v>
      </c>
      <c r="D1436">
        <v>15488.96</v>
      </c>
      <c r="K1436" s="42"/>
      <c r="L1436" s="14"/>
    </row>
    <row r="1437" spans="2:12" x14ac:dyDescent="0.25">
      <c r="B1437" s="42">
        <v>43700</v>
      </c>
      <c r="D1437">
        <v>15168.88</v>
      </c>
      <c r="K1437" s="42"/>
      <c r="L1437" s="14"/>
    </row>
    <row r="1438" spans="2:12" x14ac:dyDescent="0.25">
      <c r="B1438" s="42">
        <v>43699</v>
      </c>
      <c r="D1438">
        <v>15045.62</v>
      </c>
      <c r="K1438" s="42"/>
      <c r="L1438" s="14"/>
    </row>
    <row r="1439" spans="2:12" x14ac:dyDescent="0.25">
      <c r="B1439" s="42">
        <v>43698</v>
      </c>
      <c r="D1439">
        <v>15290.85</v>
      </c>
      <c r="K1439" s="42"/>
      <c r="L1439" s="14"/>
    </row>
    <row r="1440" spans="2:12" x14ac:dyDescent="0.25">
      <c r="B1440" s="42">
        <v>43697</v>
      </c>
      <c r="D1440">
        <v>15425.45</v>
      </c>
      <c r="K1440" s="42"/>
      <c r="L1440" s="14"/>
    </row>
    <row r="1441" spans="2:12" x14ac:dyDescent="0.25">
      <c r="B1441" s="42">
        <v>43696</v>
      </c>
      <c r="D1441">
        <v>15476.07</v>
      </c>
      <c r="K1441" s="42"/>
      <c r="L1441" s="14"/>
    </row>
    <row r="1442" spans="2:12" x14ac:dyDescent="0.25">
      <c r="B1442" s="42">
        <v>43693</v>
      </c>
      <c r="D1442">
        <v>15464.58</v>
      </c>
      <c r="K1442" s="42"/>
      <c r="L1442" s="14"/>
    </row>
    <row r="1443" spans="2:12" x14ac:dyDescent="0.25">
      <c r="B1443" s="42">
        <v>43691</v>
      </c>
      <c r="D1443">
        <v>15438.86</v>
      </c>
      <c r="K1443" s="42"/>
      <c r="L1443" s="14"/>
    </row>
    <row r="1444" spans="2:12" x14ac:dyDescent="0.25">
      <c r="B1444" s="42">
        <v>43690</v>
      </c>
      <c r="D1444">
        <v>15289.35</v>
      </c>
      <c r="K1444" s="42"/>
      <c r="L1444" s="14"/>
    </row>
    <row r="1445" spans="2:12" x14ac:dyDescent="0.25">
      <c r="B1445" s="42">
        <v>43686</v>
      </c>
      <c r="D1445">
        <v>15542.72</v>
      </c>
      <c r="K1445" s="42"/>
      <c r="L1445" s="14"/>
    </row>
    <row r="1446" spans="2:12" x14ac:dyDescent="0.25">
      <c r="B1446" s="42">
        <v>43685</v>
      </c>
      <c r="D1446">
        <v>15434.73</v>
      </c>
      <c r="K1446" s="42"/>
      <c r="L1446" s="14"/>
    </row>
    <row r="1447" spans="2:12" x14ac:dyDescent="0.25">
      <c r="B1447" s="42">
        <v>43684</v>
      </c>
      <c r="D1447">
        <v>15184.34</v>
      </c>
      <c r="K1447" s="42"/>
      <c r="L1447" s="14"/>
    </row>
    <row r="1448" spans="2:12" x14ac:dyDescent="0.25">
      <c r="B1448" s="42">
        <v>43683</v>
      </c>
      <c r="D1448">
        <v>15314.03</v>
      </c>
      <c r="K1448" s="42"/>
      <c r="L1448" s="14"/>
    </row>
    <row r="1449" spans="2:12" x14ac:dyDescent="0.25">
      <c r="B1449" s="42">
        <v>43682</v>
      </c>
      <c r="D1449">
        <v>15194.27</v>
      </c>
      <c r="K1449" s="42"/>
      <c r="L1449" s="14"/>
    </row>
    <row r="1450" spans="2:12" x14ac:dyDescent="0.25">
      <c r="B1450" s="42">
        <v>43679</v>
      </c>
      <c r="D1450">
        <v>15382.73</v>
      </c>
      <c r="K1450" s="42"/>
      <c r="L1450" s="14"/>
    </row>
    <row r="1451" spans="2:12" x14ac:dyDescent="0.25">
      <c r="B1451" s="42">
        <v>43678</v>
      </c>
      <c r="D1451">
        <v>15350.83</v>
      </c>
      <c r="K1451" s="42"/>
      <c r="L1451" s="14"/>
    </row>
    <row r="1452" spans="2:12" x14ac:dyDescent="0.25">
      <c r="B1452" s="42">
        <v>43677</v>
      </c>
      <c r="D1452">
        <v>15539.43</v>
      </c>
      <c r="K1452" s="42"/>
      <c r="L1452" s="14"/>
    </row>
    <row r="1453" spans="2:12" x14ac:dyDescent="0.25">
      <c r="B1453" s="42">
        <v>43676</v>
      </c>
      <c r="D1453">
        <v>15493.33</v>
      </c>
      <c r="K1453" s="42"/>
      <c r="L1453" s="14"/>
    </row>
    <row r="1454" spans="2:12" x14ac:dyDescent="0.25">
      <c r="B1454" s="42">
        <v>43675</v>
      </c>
      <c r="D1454">
        <v>15638.42</v>
      </c>
      <c r="K1454" s="42"/>
      <c r="L1454" s="14"/>
    </row>
    <row r="1455" spans="2:12" x14ac:dyDescent="0.25">
      <c r="B1455" s="42">
        <v>43672</v>
      </c>
      <c r="D1455">
        <v>15770.63</v>
      </c>
      <c r="K1455" s="42"/>
      <c r="L1455" s="14"/>
    </row>
    <row r="1456" spans="2:12" x14ac:dyDescent="0.25">
      <c r="B1456" s="42">
        <v>43671</v>
      </c>
      <c r="D1456">
        <v>15725.6</v>
      </c>
      <c r="K1456" s="42"/>
      <c r="L1456" s="14"/>
    </row>
    <row r="1457" spans="2:12" x14ac:dyDescent="0.25">
      <c r="B1457" s="42">
        <v>43670</v>
      </c>
      <c r="D1457">
        <v>15749.37</v>
      </c>
      <c r="K1457" s="42"/>
      <c r="L1457" s="14"/>
    </row>
    <row r="1458" spans="2:12" x14ac:dyDescent="0.25">
      <c r="B1458" s="42">
        <v>43669</v>
      </c>
      <c r="D1458">
        <v>15824.55</v>
      </c>
      <c r="K1458" s="42"/>
      <c r="L1458" s="14"/>
    </row>
    <row r="1459" spans="2:12" x14ac:dyDescent="0.25">
      <c r="B1459" s="42">
        <v>43668</v>
      </c>
      <c r="D1459">
        <v>15845.74</v>
      </c>
      <c r="K1459" s="42"/>
      <c r="L1459" s="14"/>
    </row>
    <row r="1460" spans="2:12" x14ac:dyDescent="0.25">
      <c r="B1460" s="42">
        <v>43665</v>
      </c>
      <c r="D1460">
        <v>15945.55</v>
      </c>
      <c r="K1460" s="42"/>
      <c r="L1460" s="14"/>
    </row>
    <row r="1461" spans="2:12" x14ac:dyDescent="0.25">
      <c r="B1461" s="42">
        <v>43664</v>
      </c>
      <c r="D1461">
        <v>16183.16</v>
      </c>
      <c r="K1461" s="42"/>
      <c r="L1461" s="14"/>
    </row>
    <row r="1462" spans="2:12" x14ac:dyDescent="0.25">
      <c r="B1462" s="42">
        <v>43663</v>
      </c>
      <c r="D1462">
        <v>16306.82</v>
      </c>
      <c r="K1462" s="42"/>
      <c r="L1462" s="14"/>
    </row>
    <row r="1463" spans="2:12" x14ac:dyDescent="0.25">
      <c r="B1463" s="42">
        <v>43662</v>
      </c>
      <c r="D1463">
        <v>16272.08</v>
      </c>
      <c r="K1463" s="42"/>
      <c r="L1463" s="14"/>
    </row>
    <row r="1464" spans="2:12" x14ac:dyDescent="0.25">
      <c r="B1464" s="42">
        <v>43661</v>
      </c>
      <c r="D1464">
        <v>16165.28</v>
      </c>
      <c r="K1464" s="42"/>
      <c r="L1464" s="14"/>
    </row>
    <row r="1465" spans="2:12" x14ac:dyDescent="0.25">
      <c r="B1465" s="42">
        <v>43658</v>
      </c>
      <c r="D1465">
        <v>16113.75</v>
      </c>
      <c r="K1465" s="42"/>
      <c r="L1465" s="14"/>
    </row>
    <row r="1466" spans="2:12" x14ac:dyDescent="0.25">
      <c r="B1466" s="42">
        <v>43657</v>
      </c>
      <c r="D1466">
        <v>16155.78</v>
      </c>
      <c r="K1466" s="42"/>
      <c r="L1466" s="14"/>
    </row>
    <row r="1467" spans="2:12" x14ac:dyDescent="0.25">
      <c r="B1467" s="42">
        <v>43656</v>
      </c>
      <c r="D1467">
        <v>16035.44</v>
      </c>
      <c r="K1467" s="42"/>
      <c r="L1467" s="14"/>
    </row>
    <row r="1468" spans="2:12" x14ac:dyDescent="0.25">
      <c r="B1468" s="42">
        <v>43655</v>
      </c>
      <c r="D1468">
        <v>16114.46</v>
      </c>
      <c r="K1468" s="42"/>
      <c r="L1468" s="14"/>
    </row>
    <row r="1469" spans="2:12" x14ac:dyDescent="0.25">
      <c r="B1469" s="42">
        <v>43654</v>
      </c>
      <c r="D1469">
        <v>16118.27</v>
      </c>
      <c r="K1469" s="42"/>
      <c r="L1469" s="14"/>
    </row>
    <row r="1470" spans="2:12" x14ac:dyDescent="0.25">
      <c r="B1470" s="42">
        <v>43651</v>
      </c>
      <c r="D1470">
        <v>16468.990000000002</v>
      </c>
      <c r="K1470" s="42"/>
      <c r="L1470" s="14"/>
    </row>
    <row r="1471" spans="2:12" x14ac:dyDescent="0.25">
      <c r="B1471" s="42">
        <v>43650</v>
      </c>
      <c r="D1471">
        <v>16658.04</v>
      </c>
      <c r="K1471" s="42"/>
      <c r="L1471" s="14"/>
    </row>
    <row r="1472" spans="2:12" x14ac:dyDescent="0.25">
      <c r="B1472" s="42">
        <v>43649</v>
      </c>
      <c r="D1472">
        <v>16612.16</v>
      </c>
      <c r="K1472" s="42"/>
      <c r="L1472" s="14"/>
    </row>
    <row r="1473" spans="2:12" x14ac:dyDescent="0.25">
      <c r="B1473" s="42">
        <v>43648</v>
      </c>
      <c r="D1473">
        <v>16603.169999999998</v>
      </c>
      <c r="K1473" s="42"/>
      <c r="L1473" s="14"/>
    </row>
    <row r="1474" spans="2:12" x14ac:dyDescent="0.25">
      <c r="B1474" s="42">
        <v>43647</v>
      </c>
      <c r="D1474">
        <v>16540.88</v>
      </c>
      <c r="K1474" s="42"/>
      <c r="L1474" s="14"/>
    </row>
    <row r="1475" spans="2:12" x14ac:dyDescent="0.25">
      <c r="B1475" s="42">
        <v>43644</v>
      </c>
      <c r="D1475">
        <v>16433.849999999999</v>
      </c>
      <c r="K1475" s="42"/>
      <c r="L1475" s="14"/>
    </row>
    <row r="1476" spans="2:12" x14ac:dyDescent="0.25">
      <c r="B1476" s="42">
        <v>43643</v>
      </c>
      <c r="D1476">
        <v>16507.34</v>
      </c>
      <c r="K1476" s="42"/>
      <c r="L1476" s="14"/>
    </row>
    <row r="1477" spans="2:12" x14ac:dyDescent="0.25">
      <c r="B1477" s="42">
        <v>43642</v>
      </c>
      <c r="D1477">
        <v>16515.68</v>
      </c>
      <c r="K1477" s="42"/>
      <c r="L1477" s="14"/>
    </row>
    <row r="1478" spans="2:12" x14ac:dyDescent="0.25">
      <c r="B1478" s="42">
        <v>43641</v>
      </c>
      <c r="D1478">
        <v>16444.46</v>
      </c>
      <c r="K1478" s="42"/>
      <c r="L1478" s="14"/>
    </row>
    <row r="1479" spans="2:12" x14ac:dyDescent="0.25">
      <c r="B1479" s="42">
        <v>43640</v>
      </c>
      <c r="D1479">
        <v>16309.52</v>
      </c>
      <c r="K1479" s="42"/>
      <c r="L1479" s="14"/>
    </row>
    <row r="1480" spans="2:12" x14ac:dyDescent="0.25">
      <c r="B1480" s="42">
        <v>43637</v>
      </c>
      <c r="D1480">
        <v>16343.59</v>
      </c>
      <c r="K1480" s="42"/>
      <c r="L1480" s="14"/>
    </row>
    <row r="1481" spans="2:12" x14ac:dyDescent="0.25">
      <c r="B1481" s="42">
        <v>43636</v>
      </c>
      <c r="D1481">
        <v>16493.650000000001</v>
      </c>
      <c r="K1481" s="42"/>
      <c r="L1481" s="14"/>
    </row>
    <row r="1482" spans="2:12" x14ac:dyDescent="0.25">
      <c r="B1482" s="42">
        <v>43635</v>
      </c>
      <c r="D1482">
        <v>16283.94</v>
      </c>
      <c r="K1482" s="42"/>
      <c r="L1482" s="14"/>
    </row>
    <row r="1483" spans="2:12" x14ac:dyDescent="0.25">
      <c r="B1483" s="42">
        <v>43634</v>
      </c>
      <c r="D1483">
        <v>16283.98</v>
      </c>
      <c r="K1483" s="42"/>
      <c r="L1483" s="14"/>
    </row>
    <row r="1484" spans="2:12" x14ac:dyDescent="0.25">
      <c r="B1484" s="42">
        <v>43633</v>
      </c>
      <c r="D1484">
        <v>16257.06</v>
      </c>
      <c r="K1484" s="42"/>
      <c r="L1484" s="14"/>
    </row>
    <row r="1485" spans="2:12" x14ac:dyDescent="0.25">
      <c r="B1485" s="42">
        <v>43630</v>
      </c>
      <c r="D1485">
        <v>16467.55</v>
      </c>
      <c r="K1485" s="42"/>
      <c r="L1485" s="14"/>
    </row>
    <row r="1486" spans="2:12" x14ac:dyDescent="0.25">
      <c r="B1486" s="42">
        <v>43629</v>
      </c>
      <c r="D1486">
        <v>16593.97</v>
      </c>
      <c r="K1486" s="42"/>
      <c r="L1486" s="14"/>
    </row>
    <row r="1487" spans="2:12" x14ac:dyDescent="0.25">
      <c r="B1487" s="42">
        <v>43628</v>
      </c>
      <c r="D1487">
        <v>16568.09</v>
      </c>
      <c r="K1487" s="42"/>
      <c r="L1487" s="14"/>
    </row>
    <row r="1488" spans="2:12" x14ac:dyDescent="0.25">
      <c r="B1488" s="42">
        <v>43627</v>
      </c>
      <c r="D1488">
        <v>16650.75</v>
      </c>
      <c r="K1488" s="42"/>
      <c r="L1488" s="14"/>
    </row>
    <row r="1489" spans="2:12" x14ac:dyDescent="0.25">
      <c r="B1489" s="42">
        <v>43626</v>
      </c>
      <c r="D1489">
        <v>16590.990000000002</v>
      </c>
      <c r="K1489" s="42"/>
      <c r="L1489" s="14"/>
    </row>
    <row r="1490" spans="2:12" x14ac:dyDescent="0.25">
      <c r="B1490" s="42">
        <v>43623</v>
      </c>
      <c r="D1490">
        <v>16518.62</v>
      </c>
      <c r="K1490" s="42"/>
      <c r="L1490" s="14"/>
    </row>
    <row r="1491" spans="2:12" x14ac:dyDescent="0.25">
      <c r="B1491" s="42">
        <v>43622</v>
      </c>
      <c r="D1491">
        <v>16481.14</v>
      </c>
      <c r="K1491" s="42"/>
      <c r="L1491" s="14"/>
    </row>
    <row r="1492" spans="2:12" x14ac:dyDescent="0.25">
      <c r="B1492" s="42">
        <v>43620</v>
      </c>
      <c r="D1492">
        <v>16728.740000000002</v>
      </c>
      <c r="K1492" s="42"/>
      <c r="L1492" s="14"/>
    </row>
    <row r="1493" spans="2:12" x14ac:dyDescent="0.25">
      <c r="B1493" s="42">
        <v>43619</v>
      </c>
      <c r="D1493">
        <v>16815.25</v>
      </c>
      <c r="K1493" s="42"/>
      <c r="L1493" s="14"/>
    </row>
    <row r="1494" spans="2:12" x14ac:dyDescent="0.25">
      <c r="B1494" s="42">
        <v>43616</v>
      </c>
      <c r="D1494">
        <v>16583.46</v>
      </c>
      <c r="K1494" s="42"/>
      <c r="L1494" s="14"/>
    </row>
    <row r="1495" spans="2:12" x14ac:dyDescent="0.25">
      <c r="B1495" s="42">
        <v>43615</v>
      </c>
      <c r="D1495">
        <v>16615.59</v>
      </c>
      <c r="K1495" s="42"/>
      <c r="L1495" s="14"/>
    </row>
    <row r="1496" spans="2:12" x14ac:dyDescent="0.25">
      <c r="B1496" s="42">
        <v>43614</v>
      </c>
      <c r="D1496">
        <v>16497.62</v>
      </c>
      <c r="K1496" s="42"/>
      <c r="L1496" s="14"/>
    </row>
    <row r="1497" spans="2:12" x14ac:dyDescent="0.25">
      <c r="B1497" s="42">
        <v>43613</v>
      </c>
      <c r="D1497">
        <v>16591.7</v>
      </c>
      <c r="K1497" s="42"/>
      <c r="L1497" s="14"/>
    </row>
    <row r="1498" spans="2:12" x14ac:dyDescent="0.25">
      <c r="B1498" s="42">
        <v>43612</v>
      </c>
      <c r="D1498">
        <v>16585.13</v>
      </c>
      <c r="K1498" s="42"/>
      <c r="L1498" s="14"/>
    </row>
    <row r="1499" spans="2:12" x14ac:dyDescent="0.25">
      <c r="B1499" s="42">
        <v>43609</v>
      </c>
      <c r="D1499">
        <v>16472.95</v>
      </c>
      <c r="K1499" s="42"/>
      <c r="L1499" s="14"/>
    </row>
    <row r="1500" spans="2:12" x14ac:dyDescent="0.25">
      <c r="B1500" s="42">
        <v>43608</v>
      </c>
      <c r="D1500">
        <v>16212.78</v>
      </c>
      <c r="K1500" s="42"/>
      <c r="L1500" s="14"/>
    </row>
    <row r="1501" spans="2:12" x14ac:dyDescent="0.25">
      <c r="B1501" s="42">
        <v>43607</v>
      </c>
      <c r="D1501">
        <v>16325.28</v>
      </c>
      <c r="K1501" s="42"/>
      <c r="L1501" s="14"/>
    </row>
    <row r="1502" spans="2:12" x14ac:dyDescent="0.25">
      <c r="B1502" s="42">
        <v>43606</v>
      </c>
      <c r="D1502">
        <v>16268.26</v>
      </c>
      <c r="K1502" s="42"/>
      <c r="L1502" s="14"/>
    </row>
    <row r="1503" spans="2:12" x14ac:dyDescent="0.25">
      <c r="B1503" s="42">
        <v>43605</v>
      </c>
      <c r="D1503">
        <v>16433.77</v>
      </c>
      <c r="K1503" s="42"/>
      <c r="L1503" s="14"/>
    </row>
    <row r="1504" spans="2:12" x14ac:dyDescent="0.25">
      <c r="B1504" s="42">
        <v>43602</v>
      </c>
      <c r="D1504">
        <v>15848.71</v>
      </c>
      <c r="K1504" s="42"/>
      <c r="L1504" s="14"/>
    </row>
    <row r="1505" spans="2:12" x14ac:dyDescent="0.25">
      <c r="B1505" s="42">
        <v>43601</v>
      </c>
      <c r="D1505">
        <v>15640.22</v>
      </c>
      <c r="K1505" s="42"/>
      <c r="L1505" s="14"/>
    </row>
    <row r="1506" spans="2:12" x14ac:dyDescent="0.25">
      <c r="B1506" s="42">
        <v>43600</v>
      </c>
      <c r="D1506">
        <v>15500.82</v>
      </c>
      <c r="K1506" s="42"/>
      <c r="L1506" s="14"/>
    </row>
    <row r="1507" spans="2:12" x14ac:dyDescent="0.25">
      <c r="B1507" s="42">
        <v>43599</v>
      </c>
      <c r="D1507">
        <v>15591.19</v>
      </c>
      <c r="K1507" s="42"/>
      <c r="L1507" s="14"/>
    </row>
    <row r="1508" spans="2:12" x14ac:dyDescent="0.25">
      <c r="B1508" s="42">
        <v>43598</v>
      </c>
      <c r="D1508">
        <v>15488.6</v>
      </c>
      <c r="K1508" s="42"/>
      <c r="L1508" s="14"/>
    </row>
    <row r="1509" spans="2:12" x14ac:dyDescent="0.25">
      <c r="B1509" s="42">
        <v>43595</v>
      </c>
      <c r="D1509">
        <v>15670.18</v>
      </c>
      <c r="K1509" s="42"/>
      <c r="L1509" s="14"/>
    </row>
    <row r="1510" spans="2:12" x14ac:dyDescent="0.25">
      <c r="B1510" s="42">
        <v>43594</v>
      </c>
      <c r="D1510">
        <v>15701.95</v>
      </c>
      <c r="K1510" s="42"/>
      <c r="L1510" s="14"/>
    </row>
    <row r="1511" spans="2:12" x14ac:dyDescent="0.25">
      <c r="B1511" s="42">
        <v>43593</v>
      </c>
      <c r="D1511">
        <v>15782.09</v>
      </c>
      <c r="K1511" s="42"/>
      <c r="L1511" s="14"/>
    </row>
    <row r="1512" spans="2:12" x14ac:dyDescent="0.25">
      <c r="B1512" s="42">
        <v>43592</v>
      </c>
      <c r="D1512">
        <v>15974.41</v>
      </c>
      <c r="K1512" s="42"/>
      <c r="L1512" s="14"/>
    </row>
    <row r="1513" spans="2:12" x14ac:dyDescent="0.25">
      <c r="B1513" s="42">
        <v>43591</v>
      </c>
      <c r="D1513">
        <v>16110.44</v>
      </c>
      <c r="K1513" s="42"/>
      <c r="L1513" s="14"/>
    </row>
    <row r="1514" spans="2:12" x14ac:dyDescent="0.25">
      <c r="B1514" s="42">
        <v>43588</v>
      </c>
      <c r="D1514">
        <v>16268.79</v>
      </c>
      <c r="K1514" s="42"/>
      <c r="L1514" s="14"/>
    </row>
    <row r="1515" spans="2:12" x14ac:dyDescent="0.25">
      <c r="B1515" s="42">
        <v>43587</v>
      </c>
      <c r="D1515">
        <v>16286.18</v>
      </c>
      <c r="K1515" s="42"/>
      <c r="L1515" s="14"/>
    </row>
    <row r="1516" spans="2:12" x14ac:dyDescent="0.25">
      <c r="B1516" s="42">
        <v>43585</v>
      </c>
      <c r="D1516">
        <v>16318.66</v>
      </c>
      <c r="K1516" s="42"/>
      <c r="L1516" s="14"/>
    </row>
    <row r="1517" spans="2:12" x14ac:dyDescent="0.25">
      <c r="B1517" s="42">
        <v>43581</v>
      </c>
      <c r="D1517">
        <v>16327.7</v>
      </c>
      <c r="K1517" s="42"/>
      <c r="L1517" s="14"/>
    </row>
    <row r="1518" spans="2:12" x14ac:dyDescent="0.25">
      <c r="B1518" s="42">
        <v>43580</v>
      </c>
      <c r="D1518">
        <v>16170.98</v>
      </c>
      <c r="K1518" s="42"/>
      <c r="L1518" s="14"/>
    </row>
    <row r="1519" spans="2:12" x14ac:dyDescent="0.25">
      <c r="B1519" s="42">
        <v>43579</v>
      </c>
      <c r="D1519">
        <v>16288.16</v>
      </c>
      <c r="K1519" s="42"/>
      <c r="L1519" s="14"/>
    </row>
    <row r="1520" spans="2:12" x14ac:dyDescent="0.25">
      <c r="B1520" s="42">
        <v>43578</v>
      </c>
      <c r="D1520">
        <v>16079.51</v>
      </c>
      <c r="K1520" s="42"/>
      <c r="L1520" s="14"/>
    </row>
    <row r="1521" spans="2:12" x14ac:dyDescent="0.25">
      <c r="B1521" s="42">
        <v>43577</v>
      </c>
      <c r="D1521">
        <v>16105.19</v>
      </c>
      <c r="K1521" s="42"/>
      <c r="L1521" s="14"/>
    </row>
    <row r="1522" spans="2:12" x14ac:dyDescent="0.25">
      <c r="B1522" s="42">
        <v>43573</v>
      </c>
      <c r="D1522">
        <v>16325.13</v>
      </c>
      <c r="K1522" s="42"/>
      <c r="L1522" s="14"/>
    </row>
    <row r="1523" spans="2:12" x14ac:dyDescent="0.25">
      <c r="B1523" s="42">
        <v>43571</v>
      </c>
      <c r="D1523">
        <v>16372.86</v>
      </c>
      <c r="K1523" s="42"/>
      <c r="L1523" s="14"/>
    </row>
    <row r="1524" spans="2:12" x14ac:dyDescent="0.25">
      <c r="B1524" s="42">
        <v>43570</v>
      </c>
      <c r="D1524">
        <v>16238.41</v>
      </c>
      <c r="K1524" s="42"/>
      <c r="L1524" s="14"/>
    </row>
    <row r="1525" spans="2:12" x14ac:dyDescent="0.25">
      <c r="B1525" s="42">
        <v>43567</v>
      </c>
      <c r="D1525">
        <v>16173.27</v>
      </c>
      <c r="K1525" s="42"/>
      <c r="L1525" s="14"/>
    </row>
    <row r="1526" spans="2:12" x14ac:dyDescent="0.25">
      <c r="B1526" s="42">
        <v>43566</v>
      </c>
      <c r="D1526">
        <v>16108.32</v>
      </c>
      <c r="K1526" s="42"/>
      <c r="L1526" s="14"/>
    </row>
    <row r="1527" spans="2:12" x14ac:dyDescent="0.25">
      <c r="B1527" s="42">
        <v>43565</v>
      </c>
      <c r="D1527">
        <v>16091.08</v>
      </c>
      <c r="K1527" s="42"/>
      <c r="L1527" s="14"/>
    </row>
    <row r="1528" spans="2:12" x14ac:dyDescent="0.25">
      <c r="B1528" s="42">
        <v>43564</v>
      </c>
      <c r="D1528">
        <v>16212.81</v>
      </c>
      <c r="K1528" s="42"/>
      <c r="L1528" s="14"/>
    </row>
    <row r="1529" spans="2:12" x14ac:dyDescent="0.25">
      <c r="B1529" s="42">
        <v>43563</v>
      </c>
      <c r="D1529">
        <v>16119.14</v>
      </c>
      <c r="K1529" s="42"/>
      <c r="L1529" s="14"/>
    </row>
    <row r="1530" spans="2:12" x14ac:dyDescent="0.25">
      <c r="B1530" s="42">
        <v>43560</v>
      </c>
      <c r="D1530">
        <v>16204.48</v>
      </c>
      <c r="K1530" s="42"/>
      <c r="L1530" s="14"/>
    </row>
    <row r="1531" spans="2:12" x14ac:dyDescent="0.25">
      <c r="B1531" s="42">
        <v>43559</v>
      </c>
      <c r="D1531">
        <v>16110.09</v>
      </c>
      <c r="K1531" s="42"/>
      <c r="L1531" s="14"/>
    </row>
    <row r="1532" spans="2:12" x14ac:dyDescent="0.25">
      <c r="B1532" s="42">
        <v>43558</v>
      </c>
      <c r="D1532">
        <v>16173.92</v>
      </c>
      <c r="K1532" s="42"/>
      <c r="L1532" s="14"/>
    </row>
    <row r="1533" spans="2:12" x14ac:dyDescent="0.25">
      <c r="B1533" s="42">
        <v>43557</v>
      </c>
      <c r="D1533">
        <v>16270.13</v>
      </c>
      <c r="K1533" s="42"/>
      <c r="L1533" s="14"/>
    </row>
    <row r="1534" spans="2:12" x14ac:dyDescent="0.25">
      <c r="B1534" s="42">
        <v>43556</v>
      </c>
      <c r="D1534">
        <v>16208.94</v>
      </c>
      <c r="K1534" s="42"/>
      <c r="L1534" s="14"/>
    </row>
    <row r="1535" spans="2:12" x14ac:dyDescent="0.25">
      <c r="B1535" s="42">
        <v>43553</v>
      </c>
      <c r="D1535">
        <v>16146.11</v>
      </c>
      <c r="K1535" s="42"/>
      <c r="L1535" s="14"/>
    </row>
    <row r="1536" spans="2:12" x14ac:dyDescent="0.25">
      <c r="B1536" s="42">
        <v>43552</v>
      </c>
      <c r="D1536">
        <v>16071.26</v>
      </c>
      <c r="K1536" s="42"/>
      <c r="L1536" s="14"/>
    </row>
    <row r="1537" spans="2:12" x14ac:dyDescent="0.25">
      <c r="B1537" s="42">
        <v>43551</v>
      </c>
      <c r="D1537">
        <v>15897.65</v>
      </c>
      <c r="K1537" s="42"/>
      <c r="L1537" s="14"/>
    </row>
    <row r="1538" spans="2:12" x14ac:dyDescent="0.25">
      <c r="B1538" s="42">
        <v>43550</v>
      </c>
      <c r="D1538">
        <v>15949.46</v>
      </c>
      <c r="K1538" s="42"/>
      <c r="L1538" s="14"/>
    </row>
    <row r="1539" spans="2:12" x14ac:dyDescent="0.25">
      <c r="B1539" s="42">
        <v>43549</v>
      </c>
      <c r="D1539">
        <v>15770.26</v>
      </c>
      <c r="K1539" s="42"/>
      <c r="L1539" s="14"/>
    </row>
    <row r="1540" spans="2:12" x14ac:dyDescent="0.25">
      <c r="B1540" s="42">
        <v>43546</v>
      </c>
      <c r="D1540">
        <v>15912.88</v>
      </c>
      <c r="K1540" s="42"/>
      <c r="L1540" s="14"/>
    </row>
    <row r="1541" spans="2:12" x14ac:dyDescent="0.25">
      <c r="B1541" s="42">
        <v>43544</v>
      </c>
      <c r="D1541">
        <v>15998.51</v>
      </c>
      <c r="K1541" s="42"/>
      <c r="L1541" s="14"/>
    </row>
    <row r="1542" spans="2:12" x14ac:dyDescent="0.25">
      <c r="B1542" s="42">
        <v>43543</v>
      </c>
      <c r="D1542">
        <v>16014.33</v>
      </c>
      <c r="K1542" s="42"/>
      <c r="L1542" s="14"/>
    </row>
    <row r="1543" spans="2:12" x14ac:dyDescent="0.25">
      <c r="B1543" s="42">
        <v>43542</v>
      </c>
      <c r="D1543">
        <v>15916.8</v>
      </c>
      <c r="K1543" s="42"/>
      <c r="L1543" s="14"/>
    </row>
    <row r="1544" spans="2:12" x14ac:dyDescent="0.25">
      <c r="B1544" s="42">
        <v>43539</v>
      </c>
      <c r="D1544">
        <v>15867.74</v>
      </c>
      <c r="K1544" s="42"/>
      <c r="L1544" s="14"/>
    </row>
    <row r="1545" spans="2:12" x14ac:dyDescent="0.25">
      <c r="B1545" s="42">
        <v>43538</v>
      </c>
      <c r="D1545">
        <v>15749.67</v>
      </c>
      <c r="K1545" s="42"/>
      <c r="L1545" s="14"/>
    </row>
    <row r="1546" spans="2:12" x14ac:dyDescent="0.25">
      <c r="B1546" s="42">
        <v>43537</v>
      </c>
      <c r="D1546">
        <v>15742.86</v>
      </c>
      <c r="K1546" s="42"/>
      <c r="L1546" s="14"/>
    </row>
    <row r="1547" spans="2:12" x14ac:dyDescent="0.25">
      <c r="B1547" s="42">
        <v>43536</v>
      </c>
      <c r="D1547">
        <v>15685.41</v>
      </c>
      <c r="K1547" s="42"/>
      <c r="L1547" s="14"/>
    </row>
    <row r="1548" spans="2:12" x14ac:dyDescent="0.25">
      <c r="B1548" s="42">
        <v>43535</v>
      </c>
      <c r="D1548">
        <v>15500.61</v>
      </c>
      <c r="K1548" s="42"/>
      <c r="L1548" s="14"/>
    </row>
    <row r="1549" spans="2:12" x14ac:dyDescent="0.25">
      <c r="B1549" s="42">
        <v>43532</v>
      </c>
      <c r="D1549">
        <v>15316.51</v>
      </c>
      <c r="K1549" s="42"/>
      <c r="L1549" s="14"/>
    </row>
    <row r="1550" spans="2:12" x14ac:dyDescent="0.25">
      <c r="B1550" s="42">
        <v>43531</v>
      </c>
      <c r="D1550">
        <v>15348.14</v>
      </c>
      <c r="K1550" s="42"/>
      <c r="L1550" s="14"/>
    </row>
    <row r="1551" spans="2:12" x14ac:dyDescent="0.25">
      <c r="B1551" s="42">
        <v>43530</v>
      </c>
      <c r="D1551">
        <v>15340.93</v>
      </c>
      <c r="K1551" s="42"/>
      <c r="L1551" s="14"/>
    </row>
    <row r="1552" spans="2:12" x14ac:dyDescent="0.25">
      <c r="B1552" s="42">
        <v>43529</v>
      </c>
      <c r="D1552">
        <v>15249.97</v>
      </c>
      <c r="K1552" s="42"/>
      <c r="L1552" s="14"/>
    </row>
    <row r="1553" spans="2:12" x14ac:dyDescent="0.25">
      <c r="B1553" s="42">
        <v>43525</v>
      </c>
      <c r="D1553">
        <v>15077.91</v>
      </c>
      <c r="K1553" s="42"/>
      <c r="L1553" s="14"/>
    </row>
    <row r="1554" spans="2:12" x14ac:dyDescent="0.25">
      <c r="B1554" s="42">
        <v>43524</v>
      </c>
      <c r="D1554">
        <v>14979.39</v>
      </c>
      <c r="K1554" s="42"/>
      <c r="L1554" s="14"/>
    </row>
    <row r="1555" spans="2:12" x14ac:dyDescent="0.25">
      <c r="B1555" s="42">
        <v>43523</v>
      </c>
      <c r="D1555">
        <v>14993.45</v>
      </c>
      <c r="K1555" s="42"/>
      <c r="L1555" s="14"/>
    </row>
    <row r="1556" spans="2:12" x14ac:dyDescent="0.25">
      <c r="B1556" s="42">
        <v>43522</v>
      </c>
      <c r="D1556">
        <v>15033.15</v>
      </c>
      <c r="K1556" s="42"/>
      <c r="L1556" s="14"/>
    </row>
    <row r="1557" spans="2:12" x14ac:dyDescent="0.25">
      <c r="B1557" s="42">
        <v>43521</v>
      </c>
      <c r="D1557">
        <v>15095.33</v>
      </c>
      <c r="K1557" s="42"/>
      <c r="L1557" s="14"/>
    </row>
    <row r="1558" spans="2:12" x14ac:dyDescent="0.25">
      <c r="B1558" s="42">
        <v>43518</v>
      </c>
      <c r="D1558">
        <v>14972.58</v>
      </c>
      <c r="K1558" s="42"/>
      <c r="L1558" s="14"/>
    </row>
    <row r="1559" spans="2:12" x14ac:dyDescent="0.25">
      <c r="B1559" s="42">
        <v>43517</v>
      </c>
      <c r="D1559">
        <v>14970.12</v>
      </c>
      <c r="K1559" s="42"/>
      <c r="L1559" s="14"/>
    </row>
    <row r="1560" spans="2:12" x14ac:dyDescent="0.25">
      <c r="B1560" s="42">
        <v>43516</v>
      </c>
      <c r="D1560">
        <v>14891.6</v>
      </c>
      <c r="K1560" s="42"/>
      <c r="L1560" s="14"/>
    </row>
    <row r="1561" spans="2:12" x14ac:dyDescent="0.25">
      <c r="B1561" s="42">
        <v>43515</v>
      </c>
      <c r="D1561">
        <v>14709.75</v>
      </c>
      <c r="K1561" s="42"/>
      <c r="L1561" s="14"/>
    </row>
    <row r="1562" spans="2:12" x14ac:dyDescent="0.25">
      <c r="B1562" s="42">
        <v>43514</v>
      </c>
      <c r="D1562">
        <v>14760.48</v>
      </c>
      <c r="K1562" s="42"/>
      <c r="L1562" s="14"/>
    </row>
    <row r="1563" spans="2:12" x14ac:dyDescent="0.25">
      <c r="B1563" s="42">
        <v>43511</v>
      </c>
      <c r="D1563">
        <v>14876.27</v>
      </c>
      <c r="K1563" s="42"/>
      <c r="L1563" s="14"/>
    </row>
    <row r="1564" spans="2:12" x14ac:dyDescent="0.25">
      <c r="B1564" s="42">
        <v>43510</v>
      </c>
      <c r="D1564">
        <v>14906.26</v>
      </c>
      <c r="K1564" s="42"/>
      <c r="L1564" s="14"/>
    </row>
    <row r="1565" spans="2:12" x14ac:dyDescent="0.25">
      <c r="B1565" s="42">
        <v>43509</v>
      </c>
      <c r="D1565">
        <v>14970.62</v>
      </c>
      <c r="K1565" s="42"/>
      <c r="L1565" s="14"/>
    </row>
    <row r="1566" spans="2:12" x14ac:dyDescent="0.25">
      <c r="B1566" s="42">
        <v>43508</v>
      </c>
      <c r="D1566">
        <v>15023.02</v>
      </c>
      <c r="K1566" s="42"/>
      <c r="L1566" s="14"/>
    </row>
    <row r="1567" spans="2:12" x14ac:dyDescent="0.25">
      <c r="B1567" s="42">
        <v>43507</v>
      </c>
      <c r="D1567">
        <v>15100.61</v>
      </c>
      <c r="K1567" s="42"/>
      <c r="L1567" s="14"/>
    </row>
    <row r="1568" spans="2:12" x14ac:dyDescent="0.25">
      <c r="B1568" s="42">
        <v>43504</v>
      </c>
      <c r="D1568">
        <v>15173.02</v>
      </c>
      <c r="K1568" s="42"/>
      <c r="L1568" s="14"/>
    </row>
    <row r="1569" spans="2:12" x14ac:dyDescent="0.25">
      <c r="B1569" s="42">
        <v>43503</v>
      </c>
      <c r="D1569">
        <v>15347.41</v>
      </c>
      <c r="K1569" s="42"/>
      <c r="L1569" s="14"/>
    </row>
    <row r="1570" spans="2:12" x14ac:dyDescent="0.25">
      <c r="B1570" s="42">
        <v>43502</v>
      </c>
      <c r="D1570">
        <v>15337.8</v>
      </c>
      <c r="K1570" s="42"/>
      <c r="L1570" s="14"/>
    </row>
    <row r="1571" spans="2:12" x14ac:dyDescent="0.25">
      <c r="B1571" s="42">
        <v>43501</v>
      </c>
      <c r="D1571">
        <v>15155.99</v>
      </c>
      <c r="K1571" s="42"/>
      <c r="L1571" s="14"/>
    </row>
    <row r="1572" spans="2:12" x14ac:dyDescent="0.25">
      <c r="B1572" s="42">
        <v>43500</v>
      </c>
      <c r="D1572">
        <v>15125.02</v>
      </c>
      <c r="K1572" s="42"/>
      <c r="L1572" s="14"/>
    </row>
    <row r="1573" spans="2:12" x14ac:dyDescent="0.25">
      <c r="B1573" s="42">
        <v>43497</v>
      </c>
      <c r="D1573">
        <v>15099.21</v>
      </c>
      <c r="K1573" s="42"/>
      <c r="L1573" s="14"/>
    </row>
    <row r="1574" spans="2:12" x14ac:dyDescent="0.25">
      <c r="B1574" s="42">
        <v>43496</v>
      </c>
      <c r="D1574">
        <v>15012.34</v>
      </c>
      <c r="K1574" s="42"/>
      <c r="L1574" s="14"/>
    </row>
    <row r="1575" spans="2:12" x14ac:dyDescent="0.25">
      <c r="B1575" s="42">
        <v>43495</v>
      </c>
      <c r="D1575">
        <v>14764.02</v>
      </c>
      <c r="K1575" s="42"/>
      <c r="L1575" s="14"/>
    </row>
    <row r="1576" spans="2:12" x14ac:dyDescent="0.25">
      <c r="B1576" s="42">
        <v>43494</v>
      </c>
      <c r="D1576">
        <v>14764.59</v>
      </c>
      <c r="K1576" s="42"/>
      <c r="L1576" s="14"/>
    </row>
    <row r="1577" spans="2:12" x14ac:dyDescent="0.25">
      <c r="B1577" s="42">
        <v>43493</v>
      </c>
      <c r="D1577">
        <v>14777.11</v>
      </c>
      <c r="K1577" s="42"/>
      <c r="L1577" s="14"/>
    </row>
    <row r="1578" spans="2:12" x14ac:dyDescent="0.25">
      <c r="B1578" s="42">
        <v>43490</v>
      </c>
      <c r="D1578">
        <v>14942.09</v>
      </c>
      <c r="K1578" s="42"/>
      <c r="L1578" s="14"/>
    </row>
    <row r="1579" spans="2:12" x14ac:dyDescent="0.25">
      <c r="B1579" s="42">
        <v>43489</v>
      </c>
      <c r="D1579">
        <v>15038.07</v>
      </c>
      <c r="K1579" s="42"/>
      <c r="L1579" s="14"/>
    </row>
    <row r="1580" spans="2:12" x14ac:dyDescent="0.25">
      <c r="B1580" s="42">
        <v>43488</v>
      </c>
      <c r="D1580">
        <v>15007.4</v>
      </c>
      <c r="K1580" s="42"/>
      <c r="L1580" s="14"/>
    </row>
    <row r="1581" spans="2:12" x14ac:dyDescent="0.25">
      <c r="B1581" s="42">
        <v>43487</v>
      </c>
      <c r="D1581">
        <v>15133.83</v>
      </c>
      <c r="K1581" s="42"/>
      <c r="L1581" s="14"/>
    </row>
    <row r="1582" spans="2:12" x14ac:dyDescent="0.25">
      <c r="B1582" s="42">
        <v>43486</v>
      </c>
      <c r="D1582">
        <v>15188</v>
      </c>
      <c r="K1582" s="42"/>
      <c r="L1582" s="14"/>
    </row>
    <row r="1583" spans="2:12" x14ac:dyDescent="0.25">
      <c r="B1583" s="42">
        <v>43483</v>
      </c>
      <c r="D1583">
        <v>15111.95</v>
      </c>
      <c r="K1583" s="42"/>
      <c r="L1583" s="14"/>
    </row>
    <row r="1584" spans="2:12" x14ac:dyDescent="0.25">
      <c r="B1584" s="42">
        <v>43482</v>
      </c>
      <c r="D1584">
        <v>15109.54</v>
      </c>
      <c r="K1584" s="42"/>
      <c r="L1584" s="14"/>
    </row>
    <row r="1585" spans="2:12" x14ac:dyDescent="0.25">
      <c r="B1585" s="42">
        <v>43481</v>
      </c>
      <c r="D1585">
        <v>15087.41</v>
      </c>
      <c r="K1585" s="42"/>
      <c r="L1585" s="14"/>
    </row>
    <row r="1586" spans="2:12" x14ac:dyDescent="0.25">
      <c r="B1586" s="42">
        <v>43480</v>
      </c>
      <c r="D1586">
        <v>15082.59</v>
      </c>
      <c r="K1586" s="42"/>
      <c r="L1586" s="14"/>
    </row>
    <row r="1587" spans="2:12" x14ac:dyDescent="0.25">
      <c r="B1587" s="42">
        <v>43479</v>
      </c>
      <c r="D1587">
        <v>14875.92</v>
      </c>
      <c r="K1587" s="42"/>
      <c r="L1587" s="14"/>
    </row>
    <row r="1588" spans="2:12" x14ac:dyDescent="0.25">
      <c r="B1588" s="42">
        <v>43476</v>
      </c>
      <c r="D1588">
        <v>14955.33</v>
      </c>
      <c r="K1588" s="42"/>
      <c r="L1588" s="14"/>
    </row>
    <row r="1589" spans="2:12" x14ac:dyDescent="0.25">
      <c r="B1589" s="42">
        <v>43475</v>
      </c>
      <c r="D1589">
        <v>14992.23</v>
      </c>
      <c r="K1589" s="42"/>
      <c r="L1589" s="14"/>
    </row>
    <row r="1590" spans="2:12" x14ac:dyDescent="0.25">
      <c r="B1590" s="42">
        <v>43474</v>
      </c>
      <c r="D1590">
        <v>15038.74</v>
      </c>
      <c r="K1590" s="42"/>
      <c r="L1590" s="14"/>
    </row>
    <row r="1591" spans="2:12" x14ac:dyDescent="0.25">
      <c r="B1591" s="42">
        <v>43473</v>
      </c>
      <c r="D1591">
        <v>14965.34</v>
      </c>
      <c r="K1591" s="42"/>
      <c r="L1591" s="14"/>
    </row>
    <row r="1592" spans="2:12" x14ac:dyDescent="0.25">
      <c r="B1592" s="42">
        <v>43472</v>
      </c>
      <c r="D1592">
        <v>14923.27</v>
      </c>
      <c r="K1592" s="42"/>
      <c r="L1592" s="14"/>
    </row>
    <row r="1593" spans="2:12" x14ac:dyDescent="0.25">
      <c r="B1593" s="42">
        <v>43469</v>
      </c>
      <c r="D1593">
        <v>14861.69</v>
      </c>
      <c r="K1593" s="42"/>
      <c r="L1593" s="14"/>
    </row>
    <row r="1594" spans="2:12" x14ac:dyDescent="0.25">
      <c r="B1594" s="42">
        <v>43468</v>
      </c>
      <c r="D1594">
        <v>14785.38</v>
      </c>
      <c r="K1594" s="42"/>
      <c r="L1594" s="14"/>
    </row>
    <row r="1595" spans="2:12" x14ac:dyDescent="0.25">
      <c r="B1595" s="42">
        <v>43467</v>
      </c>
      <c r="D1595">
        <v>14951.96</v>
      </c>
      <c r="K1595" s="42"/>
      <c r="L1595" s="14"/>
    </row>
    <row r="1596" spans="2:12" x14ac:dyDescent="0.25">
      <c r="B1596" s="42">
        <v>43466</v>
      </c>
      <c r="D1596">
        <v>15114.9</v>
      </c>
      <c r="K1596" s="42"/>
      <c r="L1596" s="14"/>
    </row>
    <row r="1597" spans="2:12" x14ac:dyDescent="0.25">
      <c r="B1597" s="42">
        <v>43465</v>
      </c>
      <c r="D1597">
        <v>15048.98</v>
      </c>
      <c r="K1597" s="42"/>
      <c r="L1597" s="14"/>
    </row>
    <row r="1598" spans="2:12" x14ac:dyDescent="0.25">
      <c r="B1598" s="42">
        <v>43462</v>
      </c>
      <c r="D1598">
        <v>15045.34</v>
      </c>
      <c r="K1598" s="42"/>
      <c r="L1598" s="14"/>
    </row>
    <row r="1599" spans="2:12" x14ac:dyDescent="0.25">
      <c r="B1599" s="42">
        <v>43461</v>
      </c>
      <c r="D1599">
        <v>14930.18</v>
      </c>
      <c r="K1599" s="42"/>
      <c r="L1599" s="14"/>
    </row>
    <row r="1600" spans="2:12" x14ac:dyDescent="0.25">
      <c r="B1600" s="42">
        <v>43460</v>
      </c>
      <c r="D1600">
        <v>14860.97</v>
      </c>
      <c r="K1600" s="42"/>
      <c r="L1600" s="14"/>
    </row>
    <row r="1601" spans="2:12" x14ac:dyDescent="0.25">
      <c r="B1601" s="42">
        <v>43458</v>
      </c>
      <c r="D1601">
        <v>14769.13</v>
      </c>
      <c r="K1601" s="42"/>
      <c r="L1601" s="14"/>
    </row>
    <row r="1602" spans="2:12" x14ac:dyDescent="0.25">
      <c r="B1602" s="42">
        <v>43455</v>
      </c>
      <c r="D1602">
        <v>14894.42</v>
      </c>
      <c r="K1602" s="42"/>
      <c r="L1602" s="14"/>
    </row>
    <row r="1603" spans="2:12" x14ac:dyDescent="0.25">
      <c r="B1603" s="42">
        <v>43454</v>
      </c>
      <c r="D1603">
        <v>15163.14</v>
      </c>
      <c r="K1603" s="42"/>
      <c r="L1603" s="14"/>
    </row>
    <row r="1604" spans="2:12" x14ac:dyDescent="0.25">
      <c r="B1604" s="42">
        <v>43453</v>
      </c>
      <c r="D1604">
        <v>15184.78</v>
      </c>
      <c r="K1604" s="42"/>
      <c r="L1604" s="14"/>
    </row>
    <row r="1605" spans="2:12" x14ac:dyDescent="0.25">
      <c r="B1605" s="42">
        <v>43452</v>
      </c>
      <c r="D1605">
        <v>15103.63</v>
      </c>
      <c r="K1605" s="42"/>
      <c r="L1605" s="14"/>
    </row>
    <row r="1606" spans="2:12" x14ac:dyDescent="0.25">
      <c r="B1606" s="42">
        <v>43451</v>
      </c>
      <c r="D1606">
        <v>15075.46</v>
      </c>
      <c r="K1606" s="42"/>
      <c r="L1606" s="14"/>
    </row>
    <row r="1607" spans="2:12" x14ac:dyDescent="0.25">
      <c r="B1607" s="42">
        <v>43448</v>
      </c>
      <c r="D1607">
        <v>14960.64</v>
      </c>
      <c r="K1607" s="42"/>
      <c r="L1607" s="14"/>
    </row>
    <row r="1608" spans="2:12" x14ac:dyDescent="0.25">
      <c r="B1608" s="42">
        <v>43447</v>
      </c>
      <c r="D1608">
        <v>14941.4</v>
      </c>
      <c r="K1608" s="42"/>
      <c r="L1608" s="14"/>
    </row>
    <row r="1609" spans="2:12" x14ac:dyDescent="0.25">
      <c r="B1609" s="42">
        <v>43446</v>
      </c>
      <c r="D1609">
        <v>14866.71</v>
      </c>
      <c r="K1609" s="42"/>
      <c r="L1609" s="14"/>
    </row>
    <row r="1610" spans="2:12" x14ac:dyDescent="0.25">
      <c r="B1610" s="42">
        <v>43445</v>
      </c>
      <c r="D1610">
        <v>14605.79</v>
      </c>
      <c r="K1610" s="42"/>
      <c r="L1610" s="14"/>
    </row>
    <row r="1611" spans="2:12" x14ac:dyDescent="0.25">
      <c r="B1611" s="42">
        <v>43444</v>
      </c>
      <c r="D1611">
        <v>14521.73</v>
      </c>
      <c r="K1611" s="42"/>
      <c r="L1611" s="14"/>
    </row>
    <row r="1612" spans="2:12" x14ac:dyDescent="0.25">
      <c r="B1612" s="42">
        <v>43441</v>
      </c>
      <c r="D1612">
        <v>14805.93</v>
      </c>
      <c r="K1612" s="42"/>
      <c r="L1612" s="14"/>
    </row>
    <row r="1613" spans="2:12" x14ac:dyDescent="0.25">
      <c r="B1613" s="42">
        <v>43440</v>
      </c>
      <c r="D1613">
        <v>14677.79</v>
      </c>
      <c r="K1613" s="42"/>
      <c r="L1613" s="14"/>
    </row>
    <row r="1614" spans="2:12" x14ac:dyDescent="0.25">
      <c r="B1614" s="42">
        <v>43439</v>
      </c>
      <c r="D1614">
        <v>14929.43</v>
      </c>
      <c r="K1614" s="42"/>
      <c r="L1614" s="14"/>
    </row>
    <row r="1615" spans="2:12" x14ac:dyDescent="0.25">
      <c r="B1615" s="42">
        <v>43438</v>
      </c>
      <c r="D1615">
        <v>15049.32</v>
      </c>
      <c r="K1615" s="42"/>
      <c r="L1615" s="14"/>
    </row>
    <row r="1616" spans="2:12" x14ac:dyDescent="0.25">
      <c r="B1616" s="42">
        <v>43437</v>
      </c>
      <c r="D1616">
        <v>15069.07</v>
      </c>
      <c r="K1616" s="42"/>
      <c r="L1616" s="14"/>
    </row>
    <row r="1617" spans="2:12" x14ac:dyDescent="0.25">
      <c r="B1617" s="42">
        <v>43434</v>
      </c>
      <c r="D1617">
        <v>15059.37</v>
      </c>
      <c r="K1617" s="42"/>
      <c r="L1617" s="14"/>
    </row>
    <row r="1618" spans="2:12" x14ac:dyDescent="0.25">
      <c r="B1618" s="42">
        <v>43433</v>
      </c>
      <c r="D1618">
        <v>15034.36</v>
      </c>
      <c r="K1618" s="42"/>
      <c r="L1618" s="14"/>
    </row>
    <row r="1619" spans="2:12" x14ac:dyDescent="0.25">
      <c r="B1619" s="42">
        <v>43432</v>
      </c>
      <c r="D1619">
        <v>14854.61</v>
      </c>
      <c r="K1619" s="42"/>
      <c r="L1619" s="14"/>
    </row>
    <row r="1620" spans="2:12" x14ac:dyDescent="0.25">
      <c r="B1620" s="42">
        <v>43431</v>
      </c>
      <c r="D1620">
        <v>14794.7</v>
      </c>
      <c r="K1620" s="42"/>
      <c r="L1620" s="14"/>
    </row>
    <row r="1621" spans="2:12" x14ac:dyDescent="0.25">
      <c r="B1621" s="42">
        <v>43430</v>
      </c>
      <c r="D1621">
        <v>14715.81</v>
      </c>
      <c r="K1621" s="42"/>
      <c r="L1621" s="14"/>
    </row>
    <row r="1622" spans="2:12" x14ac:dyDescent="0.25">
      <c r="B1622" s="42">
        <v>43426</v>
      </c>
      <c r="D1622">
        <v>14574.82</v>
      </c>
      <c r="K1622" s="42"/>
      <c r="L1622" s="14"/>
    </row>
    <row r="1623" spans="2:12" x14ac:dyDescent="0.25">
      <c r="B1623" s="42">
        <v>43425</v>
      </c>
      <c r="D1623">
        <v>14676.29</v>
      </c>
      <c r="K1623" s="42"/>
      <c r="L1623" s="14"/>
    </row>
    <row r="1624" spans="2:12" x14ac:dyDescent="0.25">
      <c r="B1624" s="42">
        <v>43424</v>
      </c>
      <c r="D1624">
        <v>14754.03</v>
      </c>
      <c r="K1624" s="42"/>
      <c r="L1624" s="14"/>
    </row>
    <row r="1625" spans="2:12" x14ac:dyDescent="0.25">
      <c r="B1625" s="42">
        <v>43423</v>
      </c>
      <c r="D1625">
        <v>14902.44</v>
      </c>
      <c r="K1625" s="42"/>
      <c r="L1625" s="14"/>
    </row>
    <row r="1626" spans="2:12" x14ac:dyDescent="0.25">
      <c r="B1626" s="42">
        <v>43420</v>
      </c>
      <c r="D1626">
        <v>14790.05</v>
      </c>
      <c r="K1626" s="42"/>
      <c r="L1626" s="14"/>
    </row>
    <row r="1627" spans="2:12" x14ac:dyDescent="0.25">
      <c r="B1627" s="42">
        <v>43419</v>
      </c>
      <c r="D1627">
        <v>14699.33</v>
      </c>
      <c r="K1627" s="42"/>
      <c r="L1627" s="14"/>
    </row>
    <row r="1628" spans="2:12" x14ac:dyDescent="0.25">
      <c r="B1628" s="42">
        <v>43418</v>
      </c>
      <c r="D1628">
        <v>14643.42</v>
      </c>
      <c r="K1628" s="42"/>
      <c r="L1628" s="14"/>
    </row>
    <row r="1629" spans="2:12" x14ac:dyDescent="0.25">
      <c r="B1629" s="42">
        <v>43417</v>
      </c>
      <c r="D1629">
        <v>14651.98</v>
      </c>
      <c r="K1629" s="42"/>
      <c r="L1629" s="14"/>
    </row>
    <row r="1630" spans="2:12" x14ac:dyDescent="0.25">
      <c r="B1630" s="42">
        <v>43416</v>
      </c>
      <c r="D1630">
        <v>14513.12</v>
      </c>
      <c r="K1630" s="42"/>
      <c r="L1630" s="14"/>
    </row>
    <row r="1631" spans="2:12" x14ac:dyDescent="0.25">
      <c r="B1631" s="42">
        <v>43413</v>
      </c>
      <c r="D1631">
        <v>14655.69</v>
      </c>
      <c r="K1631" s="42"/>
      <c r="L1631" s="14"/>
    </row>
    <row r="1632" spans="2:12" x14ac:dyDescent="0.25">
      <c r="B1632" s="42">
        <v>43411</v>
      </c>
      <c r="D1632">
        <v>14673.98</v>
      </c>
      <c r="K1632" s="42"/>
      <c r="L1632" s="14"/>
    </row>
    <row r="1633" spans="2:12" x14ac:dyDescent="0.25">
      <c r="B1633" s="42">
        <v>43410</v>
      </c>
      <c r="D1633">
        <v>14579.28</v>
      </c>
      <c r="K1633" s="42"/>
      <c r="L1633" s="14"/>
    </row>
    <row r="1634" spans="2:12" x14ac:dyDescent="0.25">
      <c r="B1634" s="42">
        <v>43409</v>
      </c>
      <c r="D1634">
        <v>14570.98</v>
      </c>
      <c r="K1634" s="42"/>
      <c r="L1634" s="14"/>
    </row>
    <row r="1635" spans="2:12" x14ac:dyDescent="0.25">
      <c r="B1635" s="42">
        <v>43406</v>
      </c>
      <c r="D1635">
        <v>14609.96</v>
      </c>
      <c r="K1635" s="42"/>
      <c r="L1635" s="14"/>
    </row>
    <row r="1636" spans="2:12" x14ac:dyDescent="0.25">
      <c r="B1636" s="42">
        <v>43405</v>
      </c>
      <c r="D1636">
        <v>14371.1</v>
      </c>
      <c r="K1636" s="42"/>
      <c r="L1636" s="14"/>
    </row>
    <row r="1637" spans="2:12" x14ac:dyDescent="0.25">
      <c r="B1637" s="42">
        <v>43404</v>
      </c>
      <c r="D1637">
        <v>14377.38</v>
      </c>
      <c r="K1637" s="42"/>
      <c r="L1637" s="14"/>
    </row>
    <row r="1638" spans="2:12" x14ac:dyDescent="0.25">
      <c r="B1638" s="42">
        <v>43403</v>
      </c>
      <c r="D1638">
        <v>14116.91</v>
      </c>
      <c r="K1638" s="42"/>
      <c r="L1638" s="14"/>
    </row>
    <row r="1639" spans="2:12" x14ac:dyDescent="0.25">
      <c r="B1639" s="42">
        <v>43402</v>
      </c>
      <c r="D1639">
        <v>14189.11</v>
      </c>
      <c r="K1639" s="42"/>
      <c r="L1639" s="14"/>
    </row>
    <row r="1640" spans="2:12" x14ac:dyDescent="0.25">
      <c r="B1640" s="42">
        <v>43399</v>
      </c>
      <c r="D1640">
        <v>13882.95</v>
      </c>
      <c r="K1640" s="42"/>
      <c r="L1640" s="14"/>
    </row>
    <row r="1641" spans="2:12" x14ac:dyDescent="0.25">
      <c r="B1641" s="42">
        <v>43398</v>
      </c>
      <c r="D1641">
        <v>14014.33</v>
      </c>
      <c r="K1641" s="42"/>
      <c r="L1641" s="14"/>
    </row>
    <row r="1642" spans="2:12" x14ac:dyDescent="0.25">
      <c r="B1642" s="42">
        <v>43397</v>
      </c>
      <c r="D1642">
        <v>14139.75</v>
      </c>
      <c r="K1642" s="42"/>
      <c r="L1642" s="14"/>
    </row>
    <row r="1643" spans="2:12" x14ac:dyDescent="0.25">
      <c r="B1643" s="42">
        <v>43396</v>
      </c>
      <c r="D1643">
        <v>14031.96</v>
      </c>
      <c r="K1643" s="42"/>
      <c r="L1643" s="14"/>
    </row>
    <row r="1644" spans="2:12" x14ac:dyDescent="0.25">
      <c r="B1644" s="42">
        <v>43395</v>
      </c>
      <c r="D1644">
        <v>14166.64</v>
      </c>
      <c r="K1644" s="42"/>
      <c r="L1644" s="14"/>
    </row>
    <row r="1645" spans="2:12" x14ac:dyDescent="0.25">
      <c r="B1645" s="42">
        <v>43392</v>
      </c>
      <c r="D1645">
        <v>14247.22</v>
      </c>
      <c r="K1645" s="42"/>
      <c r="L1645" s="14"/>
    </row>
    <row r="1646" spans="2:12" x14ac:dyDescent="0.25">
      <c r="B1646" s="42">
        <v>43390</v>
      </c>
      <c r="D1646">
        <v>14453.94</v>
      </c>
      <c r="K1646" s="42"/>
      <c r="L1646" s="14"/>
    </row>
    <row r="1647" spans="2:12" x14ac:dyDescent="0.25">
      <c r="B1647" s="42">
        <v>43389</v>
      </c>
      <c r="D1647">
        <v>14636.1</v>
      </c>
      <c r="K1647" s="42"/>
      <c r="L1647" s="14"/>
    </row>
    <row r="1648" spans="2:12" x14ac:dyDescent="0.25">
      <c r="B1648" s="42">
        <v>43388</v>
      </c>
      <c r="D1648">
        <v>14536.17</v>
      </c>
      <c r="K1648" s="42"/>
      <c r="L1648" s="14"/>
    </row>
    <row r="1649" spans="2:12" x14ac:dyDescent="0.25">
      <c r="B1649" s="42">
        <v>43385</v>
      </c>
      <c r="D1649">
        <v>14480.86</v>
      </c>
      <c r="K1649" s="42"/>
      <c r="L1649" s="14"/>
    </row>
    <row r="1650" spans="2:12" x14ac:dyDescent="0.25">
      <c r="B1650" s="42">
        <v>43384</v>
      </c>
      <c r="D1650">
        <v>14152</v>
      </c>
      <c r="K1650" s="42"/>
      <c r="L1650" s="14"/>
    </row>
    <row r="1651" spans="2:12" x14ac:dyDescent="0.25">
      <c r="B1651" s="42">
        <v>43383</v>
      </c>
      <c r="D1651">
        <v>14463.71</v>
      </c>
      <c r="K1651" s="42"/>
      <c r="L1651" s="14"/>
    </row>
    <row r="1652" spans="2:12" x14ac:dyDescent="0.25">
      <c r="B1652" s="42">
        <v>43382</v>
      </c>
      <c r="D1652">
        <v>14243.79</v>
      </c>
      <c r="K1652" s="42"/>
      <c r="L1652" s="14"/>
    </row>
    <row r="1653" spans="2:12" x14ac:dyDescent="0.25">
      <c r="B1653" s="42">
        <v>43381</v>
      </c>
      <c r="D1653">
        <v>14308.79</v>
      </c>
      <c r="K1653" s="42"/>
      <c r="L1653" s="14"/>
    </row>
    <row r="1654" spans="2:12" x14ac:dyDescent="0.25">
      <c r="B1654" s="42">
        <v>43378</v>
      </c>
      <c r="D1654">
        <v>14265.08</v>
      </c>
      <c r="K1654" s="42"/>
      <c r="L1654" s="14"/>
    </row>
    <row r="1655" spans="2:12" x14ac:dyDescent="0.25">
      <c r="B1655" s="42">
        <v>43377</v>
      </c>
      <c r="D1655">
        <v>14656.09</v>
      </c>
      <c r="K1655" s="42"/>
      <c r="L1655" s="14"/>
    </row>
    <row r="1656" spans="2:12" x14ac:dyDescent="0.25">
      <c r="B1656" s="42">
        <v>43376</v>
      </c>
      <c r="D1656">
        <v>15014.23</v>
      </c>
      <c r="K1656" s="42"/>
      <c r="L1656" s="14"/>
    </row>
    <row r="1657" spans="2:12" x14ac:dyDescent="0.25">
      <c r="B1657" s="42">
        <v>43374</v>
      </c>
      <c r="D1657">
        <v>15221.75</v>
      </c>
      <c r="K1657" s="42"/>
      <c r="L1657" s="14"/>
    </row>
    <row r="1658" spans="2:12" x14ac:dyDescent="0.25">
      <c r="B1658" s="42">
        <v>43371</v>
      </c>
      <c r="D1658">
        <v>15114.08</v>
      </c>
      <c r="K1658" s="42"/>
      <c r="L1658" s="14"/>
    </row>
    <row r="1659" spans="2:12" x14ac:dyDescent="0.25">
      <c r="B1659" s="42">
        <v>43370</v>
      </c>
      <c r="D1659">
        <v>15179.24</v>
      </c>
      <c r="K1659" s="42"/>
      <c r="L1659" s="14"/>
    </row>
    <row r="1660" spans="2:12" x14ac:dyDescent="0.25">
      <c r="B1660" s="42">
        <v>43369</v>
      </c>
      <c r="D1660">
        <v>15284.67</v>
      </c>
      <c r="K1660" s="42"/>
      <c r="L1660" s="14"/>
    </row>
    <row r="1661" spans="2:12" x14ac:dyDescent="0.25">
      <c r="B1661" s="42">
        <v>43368</v>
      </c>
      <c r="D1661">
        <v>15303.55</v>
      </c>
      <c r="K1661" s="42"/>
      <c r="L1661" s="14"/>
    </row>
    <row r="1662" spans="2:12" x14ac:dyDescent="0.25">
      <c r="B1662" s="42">
        <v>43367</v>
      </c>
      <c r="D1662">
        <v>15165.18</v>
      </c>
      <c r="K1662" s="42"/>
      <c r="L1662" s="14"/>
    </row>
    <row r="1663" spans="2:12" x14ac:dyDescent="0.25">
      <c r="B1663" s="42">
        <v>43364</v>
      </c>
      <c r="D1663">
        <v>15408.16</v>
      </c>
      <c r="K1663" s="42"/>
      <c r="L1663" s="14"/>
    </row>
    <row r="1664" spans="2:12" x14ac:dyDescent="0.25">
      <c r="B1664" s="42">
        <v>43362</v>
      </c>
      <c r="D1664">
        <v>15534.28</v>
      </c>
      <c r="K1664" s="42"/>
      <c r="L1664" s="14"/>
    </row>
    <row r="1665" spans="2:12" x14ac:dyDescent="0.25">
      <c r="B1665" s="42">
        <v>43361</v>
      </c>
      <c r="D1665">
        <v>15594.57</v>
      </c>
      <c r="K1665" s="42"/>
      <c r="L1665" s="14"/>
    </row>
    <row r="1666" spans="2:12" x14ac:dyDescent="0.25">
      <c r="B1666" s="42">
        <v>43360</v>
      </c>
      <c r="D1666">
        <v>15731.26</v>
      </c>
      <c r="K1666" s="42"/>
      <c r="L1666" s="14"/>
    </row>
    <row r="1667" spans="2:12" x14ac:dyDescent="0.25">
      <c r="B1667" s="42">
        <v>43357</v>
      </c>
      <c r="D1667">
        <v>15920.48</v>
      </c>
      <c r="K1667" s="42"/>
      <c r="L1667" s="14"/>
    </row>
    <row r="1668" spans="2:12" x14ac:dyDescent="0.25">
      <c r="B1668" s="42">
        <v>43355</v>
      </c>
      <c r="D1668">
        <v>15719.62</v>
      </c>
      <c r="K1668" s="42"/>
      <c r="L1668" s="14"/>
    </row>
    <row r="1669" spans="2:12" x14ac:dyDescent="0.25">
      <c r="B1669" s="42">
        <v>43354</v>
      </c>
      <c r="D1669">
        <v>15605.11</v>
      </c>
      <c r="K1669" s="42"/>
      <c r="L1669" s="14"/>
    </row>
    <row r="1670" spans="2:12" x14ac:dyDescent="0.25">
      <c r="B1670" s="42">
        <v>43353</v>
      </c>
      <c r="D1670">
        <v>15813.26</v>
      </c>
      <c r="K1670" s="42"/>
      <c r="L1670" s="14"/>
    </row>
    <row r="1671" spans="2:12" x14ac:dyDescent="0.25">
      <c r="B1671" s="42">
        <v>43350</v>
      </c>
      <c r="D1671">
        <v>16019.84</v>
      </c>
      <c r="K1671" s="42"/>
      <c r="L1671" s="14"/>
    </row>
    <row r="1672" spans="2:12" x14ac:dyDescent="0.25">
      <c r="B1672" s="42">
        <v>43349</v>
      </c>
      <c r="D1672">
        <v>15947.67</v>
      </c>
      <c r="K1672" s="42"/>
      <c r="L1672" s="14"/>
    </row>
    <row r="1673" spans="2:12" x14ac:dyDescent="0.25">
      <c r="B1673" s="42">
        <v>43348</v>
      </c>
      <c r="D1673">
        <v>15862.15</v>
      </c>
      <c r="K1673" s="42"/>
      <c r="L1673" s="14"/>
    </row>
    <row r="1674" spans="2:12" x14ac:dyDescent="0.25">
      <c r="B1674" s="42">
        <v>43347</v>
      </c>
      <c r="D1674">
        <v>15922.09</v>
      </c>
      <c r="K1674" s="42"/>
      <c r="L1674" s="14"/>
    </row>
    <row r="1675" spans="2:12" x14ac:dyDescent="0.25">
      <c r="B1675" s="42">
        <v>43346</v>
      </c>
      <c r="D1675">
        <v>16007.84</v>
      </c>
      <c r="K1675" s="42"/>
      <c r="L1675" s="14"/>
    </row>
    <row r="1676" spans="2:12" x14ac:dyDescent="0.25">
      <c r="B1676" s="42">
        <v>43343</v>
      </c>
      <c r="D1676">
        <v>16143.51</v>
      </c>
      <c r="K1676" s="42"/>
      <c r="L1676" s="14"/>
    </row>
    <row r="1677" spans="2:12" x14ac:dyDescent="0.25">
      <c r="B1677" s="42">
        <v>43342</v>
      </c>
      <c r="D1677">
        <v>16135.61</v>
      </c>
      <c r="K1677" s="42"/>
      <c r="L1677" s="14"/>
    </row>
    <row r="1678" spans="2:12" x14ac:dyDescent="0.25">
      <c r="B1678" s="42">
        <v>43341</v>
      </c>
      <c r="D1678">
        <v>16156.02</v>
      </c>
      <c r="K1678" s="42"/>
      <c r="L1678" s="14"/>
    </row>
    <row r="1679" spans="2:12" x14ac:dyDescent="0.25">
      <c r="B1679" s="42">
        <v>43340</v>
      </c>
      <c r="D1679">
        <v>16220.45</v>
      </c>
      <c r="K1679" s="42"/>
      <c r="L1679" s="14"/>
    </row>
    <row r="1680" spans="2:12" x14ac:dyDescent="0.25">
      <c r="B1680" s="42">
        <v>43339</v>
      </c>
      <c r="D1680">
        <v>16156.09</v>
      </c>
      <c r="K1680" s="42"/>
      <c r="L1680" s="14"/>
    </row>
    <row r="1681" spans="2:12" x14ac:dyDescent="0.25">
      <c r="B1681" s="42">
        <v>43336</v>
      </c>
      <c r="D1681">
        <v>15969.8</v>
      </c>
      <c r="K1681" s="42"/>
      <c r="L1681" s="14"/>
    </row>
    <row r="1682" spans="2:12" x14ac:dyDescent="0.25">
      <c r="B1682" s="42">
        <v>43335</v>
      </c>
      <c r="D1682">
        <v>16001.85</v>
      </c>
      <c r="K1682" s="42"/>
      <c r="L1682" s="14"/>
    </row>
    <row r="1683" spans="2:12" x14ac:dyDescent="0.25">
      <c r="B1683" s="42">
        <v>43333</v>
      </c>
      <c r="D1683">
        <v>15985.48</v>
      </c>
      <c r="K1683" s="42"/>
      <c r="L1683" s="14"/>
    </row>
    <row r="1684" spans="2:12" x14ac:dyDescent="0.25">
      <c r="B1684" s="42">
        <v>43332</v>
      </c>
      <c r="D1684">
        <v>15959.04</v>
      </c>
      <c r="K1684" s="42"/>
      <c r="L1684" s="14"/>
    </row>
    <row r="1685" spans="2:12" x14ac:dyDescent="0.25">
      <c r="B1685" s="42">
        <v>43329</v>
      </c>
      <c r="D1685">
        <v>15845.64</v>
      </c>
      <c r="K1685" s="42"/>
      <c r="L1685" s="14"/>
    </row>
    <row r="1686" spans="2:12" x14ac:dyDescent="0.25">
      <c r="B1686" s="42">
        <v>43328</v>
      </c>
      <c r="D1686">
        <v>15727.25</v>
      </c>
      <c r="K1686" s="42"/>
      <c r="L1686" s="14"/>
    </row>
    <row r="1687" spans="2:12" x14ac:dyDescent="0.25">
      <c r="B1687" s="42">
        <v>43326</v>
      </c>
      <c r="D1687">
        <v>15796.36</v>
      </c>
      <c r="K1687" s="42"/>
      <c r="L1687" s="14"/>
    </row>
    <row r="1688" spans="2:12" x14ac:dyDescent="0.25">
      <c r="B1688" s="42">
        <v>43325</v>
      </c>
      <c r="D1688">
        <v>15676.23</v>
      </c>
      <c r="K1688" s="42"/>
      <c r="L1688" s="14"/>
    </row>
    <row r="1689" spans="2:12" x14ac:dyDescent="0.25">
      <c r="B1689" s="42">
        <v>43322</v>
      </c>
      <c r="D1689">
        <v>15776.32</v>
      </c>
      <c r="K1689" s="42"/>
      <c r="L1689" s="14"/>
    </row>
    <row r="1690" spans="2:12" x14ac:dyDescent="0.25">
      <c r="B1690" s="42">
        <v>43321</v>
      </c>
      <c r="D1690">
        <v>15833.23</v>
      </c>
      <c r="K1690" s="42"/>
      <c r="L1690" s="14"/>
    </row>
    <row r="1691" spans="2:12" x14ac:dyDescent="0.25">
      <c r="B1691" s="42">
        <v>43320</v>
      </c>
      <c r="D1691">
        <v>15803.64</v>
      </c>
      <c r="K1691" s="42"/>
      <c r="L1691" s="14"/>
    </row>
    <row r="1692" spans="2:12" x14ac:dyDescent="0.25">
      <c r="B1692" s="42">
        <v>43319</v>
      </c>
      <c r="D1692">
        <v>15720.05</v>
      </c>
      <c r="K1692" s="42"/>
      <c r="L1692" s="14"/>
    </row>
    <row r="1693" spans="2:12" x14ac:dyDescent="0.25">
      <c r="B1693" s="42">
        <v>43318</v>
      </c>
      <c r="D1693">
        <v>15716.78</v>
      </c>
      <c r="K1693" s="42"/>
      <c r="L1693" s="14"/>
    </row>
    <row r="1694" spans="2:12" x14ac:dyDescent="0.25">
      <c r="B1694" s="42">
        <v>43315</v>
      </c>
      <c r="D1694">
        <v>15680.51</v>
      </c>
      <c r="K1694" s="42"/>
      <c r="L1694" s="14"/>
    </row>
    <row r="1695" spans="2:12" x14ac:dyDescent="0.25">
      <c r="B1695" s="42">
        <v>43314</v>
      </c>
      <c r="D1695">
        <v>15520.25</v>
      </c>
      <c r="K1695" s="42"/>
      <c r="L1695" s="14"/>
    </row>
    <row r="1696" spans="2:12" x14ac:dyDescent="0.25">
      <c r="B1696" s="42">
        <v>43313</v>
      </c>
      <c r="D1696">
        <v>15658.27</v>
      </c>
      <c r="K1696" s="42"/>
      <c r="L1696" s="14"/>
    </row>
    <row r="1697" spans="2:12" x14ac:dyDescent="0.25">
      <c r="B1697" s="42">
        <v>43312</v>
      </c>
      <c r="D1697">
        <v>15672.47</v>
      </c>
      <c r="K1697" s="42"/>
      <c r="L1697" s="14"/>
    </row>
    <row r="1698" spans="2:12" x14ac:dyDescent="0.25">
      <c r="B1698" s="42">
        <v>43311</v>
      </c>
      <c r="D1698">
        <v>15621.47</v>
      </c>
      <c r="K1698" s="42"/>
      <c r="L1698" s="14"/>
    </row>
    <row r="1699" spans="2:12" x14ac:dyDescent="0.25">
      <c r="B1699" s="42">
        <v>43308</v>
      </c>
      <c r="D1699">
        <v>15564.19</v>
      </c>
      <c r="K1699" s="42"/>
      <c r="L1699" s="14"/>
    </row>
    <row r="1700" spans="2:12" x14ac:dyDescent="0.25">
      <c r="B1700" s="42">
        <v>43307</v>
      </c>
      <c r="D1700">
        <v>15410.93</v>
      </c>
      <c r="K1700" s="42"/>
      <c r="L1700" s="14"/>
    </row>
    <row r="1701" spans="2:12" x14ac:dyDescent="0.25">
      <c r="B1701" s="42">
        <v>43306</v>
      </c>
      <c r="D1701">
        <v>15358.72</v>
      </c>
      <c r="K1701" s="42"/>
      <c r="L1701" s="14"/>
    </row>
    <row r="1702" spans="2:12" x14ac:dyDescent="0.25">
      <c r="B1702" s="42">
        <v>43305</v>
      </c>
      <c r="D1702">
        <v>15361.88</v>
      </c>
      <c r="K1702" s="42"/>
      <c r="L1702" s="14"/>
    </row>
    <row r="1703" spans="2:12" x14ac:dyDescent="0.25">
      <c r="B1703" s="42">
        <v>43304</v>
      </c>
      <c r="D1703">
        <v>15293.5</v>
      </c>
      <c r="K1703" s="42"/>
      <c r="L1703" s="14"/>
    </row>
    <row r="1704" spans="2:12" x14ac:dyDescent="0.25">
      <c r="B1704" s="42">
        <v>43301</v>
      </c>
      <c r="D1704">
        <v>15190.13</v>
      </c>
      <c r="K1704" s="42"/>
      <c r="L1704" s="14"/>
    </row>
    <row r="1705" spans="2:12" x14ac:dyDescent="0.25">
      <c r="B1705" s="42">
        <v>43300</v>
      </c>
      <c r="D1705">
        <v>15116.83</v>
      </c>
      <c r="K1705" s="42"/>
      <c r="L1705" s="14"/>
    </row>
    <row r="1706" spans="2:12" x14ac:dyDescent="0.25">
      <c r="B1706" s="42">
        <v>43299</v>
      </c>
      <c r="D1706">
        <v>15135.57</v>
      </c>
      <c r="K1706" s="42"/>
      <c r="L1706" s="14"/>
    </row>
    <row r="1707" spans="2:12" x14ac:dyDescent="0.25">
      <c r="B1707" s="42">
        <v>43298</v>
      </c>
      <c r="D1707">
        <v>15172.31</v>
      </c>
      <c r="K1707" s="42"/>
      <c r="L1707" s="14"/>
    </row>
    <row r="1708" spans="2:12" x14ac:dyDescent="0.25">
      <c r="B1708" s="42">
        <v>43297</v>
      </c>
      <c r="D1708">
        <v>15072.66</v>
      </c>
      <c r="K1708" s="42"/>
      <c r="L1708" s="14"/>
    </row>
    <row r="1709" spans="2:12" x14ac:dyDescent="0.25">
      <c r="B1709" s="42">
        <v>43294</v>
      </c>
      <c r="D1709">
        <v>15184.88</v>
      </c>
      <c r="K1709" s="42"/>
      <c r="L1709" s="14"/>
    </row>
    <row r="1710" spans="2:12" x14ac:dyDescent="0.25">
      <c r="B1710" s="42">
        <v>43293</v>
      </c>
      <c r="D1710">
        <v>15190.82</v>
      </c>
      <c r="K1710" s="42"/>
      <c r="L1710" s="14"/>
    </row>
    <row r="1711" spans="2:12" x14ac:dyDescent="0.25">
      <c r="B1711" s="42">
        <v>43292</v>
      </c>
      <c r="D1711">
        <v>15085.15</v>
      </c>
      <c r="K1711" s="42"/>
      <c r="L1711" s="14"/>
    </row>
    <row r="1712" spans="2:12" x14ac:dyDescent="0.25">
      <c r="B1712" s="42">
        <v>43291</v>
      </c>
      <c r="D1712">
        <v>15081.6</v>
      </c>
      <c r="K1712" s="42"/>
      <c r="L1712" s="14"/>
    </row>
    <row r="1713" spans="2:12" x14ac:dyDescent="0.25">
      <c r="B1713" s="42">
        <v>43290</v>
      </c>
      <c r="D1713">
        <v>14951.2</v>
      </c>
      <c r="K1713" s="42"/>
      <c r="L1713" s="14"/>
    </row>
    <row r="1714" spans="2:12" x14ac:dyDescent="0.25">
      <c r="B1714" s="42">
        <v>43287</v>
      </c>
      <c r="D1714">
        <v>14840.13</v>
      </c>
      <c r="K1714" s="42"/>
      <c r="L1714" s="14"/>
    </row>
    <row r="1715" spans="2:12" x14ac:dyDescent="0.25">
      <c r="B1715" s="42">
        <v>43286</v>
      </c>
      <c r="D1715">
        <v>14808.54</v>
      </c>
      <c r="K1715" s="42"/>
      <c r="L1715" s="14"/>
    </row>
    <row r="1716" spans="2:12" x14ac:dyDescent="0.25">
      <c r="B1716" s="42">
        <v>43285</v>
      </c>
      <c r="D1716">
        <v>14830.5</v>
      </c>
      <c r="K1716" s="42"/>
      <c r="L1716" s="14"/>
    </row>
    <row r="1717" spans="2:12" x14ac:dyDescent="0.25">
      <c r="B1717" s="42">
        <v>43284</v>
      </c>
      <c r="D1717">
        <v>14734.11</v>
      </c>
      <c r="K1717" s="42"/>
      <c r="L1717" s="14"/>
    </row>
    <row r="1718" spans="2:12" x14ac:dyDescent="0.25">
      <c r="B1718" s="42">
        <v>43283</v>
      </c>
      <c r="D1718">
        <v>14675.42</v>
      </c>
      <c r="K1718" s="42"/>
      <c r="L1718" s="14"/>
    </row>
    <row r="1719" spans="2:12" x14ac:dyDescent="0.25">
      <c r="B1719" s="42">
        <v>43280</v>
      </c>
      <c r="D1719">
        <v>14753.91</v>
      </c>
      <c r="K1719" s="42"/>
      <c r="L1719" s="14"/>
    </row>
    <row r="1720" spans="2:12" x14ac:dyDescent="0.25">
      <c r="B1720" s="42">
        <v>43279</v>
      </c>
      <c r="D1720">
        <v>14581.53</v>
      </c>
      <c r="K1720" s="42"/>
      <c r="L1720" s="14"/>
    </row>
    <row r="1721" spans="2:12" x14ac:dyDescent="0.25">
      <c r="B1721" s="42">
        <v>43278</v>
      </c>
      <c r="D1721">
        <v>14694.16</v>
      </c>
      <c r="K1721" s="42"/>
      <c r="L1721" s="14"/>
    </row>
    <row r="1722" spans="2:12" x14ac:dyDescent="0.25">
      <c r="B1722" s="42">
        <v>43277</v>
      </c>
      <c r="D1722">
        <v>14821.45</v>
      </c>
      <c r="K1722" s="42"/>
      <c r="L1722" s="14"/>
    </row>
    <row r="1723" spans="2:12" x14ac:dyDescent="0.25">
      <c r="B1723" s="42">
        <v>43276</v>
      </c>
      <c r="D1723">
        <v>14812.28</v>
      </c>
      <c r="K1723" s="42"/>
      <c r="L1723" s="14"/>
    </row>
    <row r="1724" spans="2:12" x14ac:dyDescent="0.25">
      <c r="B1724" s="42">
        <v>43273</v>
      </c>
      <c r="D1724">
        <v>14894.02</v>
      </c>
      <c r="K1724" s="42"/>
      <c r="L1724" s="14"/>
    </row>
    <row r="1725" spans="2:12" x14ac:dyDescent="0.25">
      <c r="B1725" s="42">
        <v>43272</v>
      </c>
      <c r="D1725">
        <v>14782.87</v>
      </c>
      <c r="K1725" s="42"/>
      <c r="L1725" s="14"/>
    </row>
    <row r="1726" spans="2:12" x14ac:dyDescent="0.25">
      <c r="B1726" s="42">
        <v>43271</v>
      </c>
      <c r="D1726">
        <v>14822.46</v>
      </c>
      <c r="K1726" s="42"/>
      <c r="L1726" s="14"/>
    </row>
    <row r="1727" spans="2:12" x14ac:dyDescent="0.25">
      <c r="B1727" s="42">
        <v>43270</v>
      </c>
      <c r="D1727">
        <v>14737.7</v>
      </c>
      <c r="K1727" s="42"/>
      <c r="L1727" s="14"/>
    </row>
    <row r="1728" spans="2:12" x14ac:dyDescent="0.25">
      <c r="B1728" s="42">
        <v>43269</v>
      </c>
      <c r="D1728">
        <v>14860.73</v>
      </c>
      <c r="K1728" s="42"/>
      <c r="L1728" s="14"/>
    </row>
    <row r="1729" spans="2:12" x14ac:dyDescent="0.25">
      <c r="B1729" s="42">
        <v>43266</v>
      </c>
      <c r="D1729">
        <v>14885.3</v>
      </c>
      <c r="K1729" s="42"/>
      <c r="L1729" s="14"/>
    </row>
    <row r="1730" spans="2:12" x14ac:dyDescent="0.25">
      <c r="B1730" s="42">
        <v>43265</v>
      </c>
      <c r="D1730">
        <v>14871.97</v>
      </c>
      <c r="K1730" s="42"/>
      <c r="L1730" s="14"/>
    </row>
    <row r="1731" spans="2:12" x14ac:dyDescent="0.25">
      <c r="B1731" s="42">
        <v>43264</v>
      </c>
      <c r="D1731">
        <v>14917.68</v>
      </c>
      <c r="K1731" s="42"/>
      <c r="L1731" s="14"/>
    </row>
    <row r="1732" spans="2:12" x14ac:dyDescent="0.25">
      <c r="B1732" s="42">
        <v>43263</v>
      </c>
      <c r="D1732">
        <v>14898.66</v>
      </c>
      <c r="K1732" s="42"/>
      <c r="L1732" s="14"/>
    </row>
    <row r="1733" spans="2:12" x14ac:dyDescent="0.25">
      <c r="B1733" s="42">
        <v>43262</v>
      </c>
      <c r="D1733">
        <v>14821.8</v>
      </c>
      <c r="K1733" s="42"/>
      <c r="L1733" s="14"/>
    </row>
    <row r="1734" spans="2:12" x14ac:dyDescent="0.25">
      <c r="B1734" s="42">
        <v>43259</v>
      </c>
      <c r="D1734">
        <v>14795.31</v>
      </c>
      <c r="K1734" s="42"/>
      <c r="L1734" s="14"/>
    </row>
    <row r="1735" spans="2:12" x14ac:dyDescent="0.25">
      <c r="B1735" s="42">
        <v>43258</v>
      </c>
      <c r="D1735">
        <v>14796.24</v>
      </c>
      <c r="K1735" s="42"/>
      <c r="L1735" s="14"/>
    </row>
    <row r="1736" spans="2:12" x14ac:dyDescent="0.25">
      <c r="B1736" s="42">
        <v>43257</v>
      </c>
      <c r="D1736">
        <v>14681.25</v>
      </c>
      <c r="K1736" s="42"/>
      <c r="L1736" s="14"/>
    </row>
    <row r="1737" spans="2:12" x14ac:dyDescent="0.25">
      <c r="B1737" s="42">
        <v>43256</v>
      </c>
      <c r="D1737">
        <v>14555.52</v>
      </c>
      <c r="K1737" s="42"/>
      <c r="L1737" s="14"/>
    </row>
    <row r="1738" spans="2:12" x14ac:dyDescent="0.25">
      <c r="B1738" s="42">
        <v>43255</v>
      </c>
      <c r="D1738">
        <v>14604.11</v>
      </c>
      <c r="K1738" s="42"/>
      <c r="L1738" s="14"/>
    </row>
    <row r="1739" spans="2:12" x14ac:dyDescent="0.25">
      <c r="B1739" s="42">
        <v>43252</v>
      </c>
      <c r="D1739">
        <v>14695.4</v>
      </c>
      <c r="K1739" s="42"/>
      <c r="L1739" s="14"/>
    </row>
    <row r="1740" spans="2:12" x14ac:dyDescent="0.25">
      <c r="B1740" s="42">
        <v>43251</v>
      </c>
      <c r="D1740">
        <v>14750.26</v>
      </c>
      <c r="K1740" s="42"/>
      <c r="L1740" s="14"/>
    </row>
    <row r="1741" spans="2:12" x14ac:dyDescent="0.25">
      <c r="B1741" s="42">
        <v>43250</v>
      </c>
      <c r="D1741">
        <v>14568.75</v>
      </c>
      <c r="K1741" s="42"/>
      <c r="L1741" s="14"/>
    </row>
    <row r="1742" spans="2:12" x14ac:dyDescent="0.25">
      <c r="B1742" s="42">
        <v>43249</v>
      </c>
      <c r="D1742">
        <v>14594.78</v>
      </c>
      <c r="K1742" s="42"/>
      <c r="L1742" s="14"/>
    </row>
    <row r="1743" spans="2:12" x14ac:dyDescent="0.25">
      <c r="B1743" s="42">
        <v>43248</v>
      </c>
      <c r="D1743">
        <v>14670.76</v>
      </c>
      <c r="K1743" s="42"/>
      <c r="L1743" s="14"/>
    </row>
    <row r="1744" spans="2:12" x14ac:dyDescent="0.25">
      <c r="B1744" s="42">
        <v>43245</v>
      </c>
      <c r="D1744">
        <v>14556.18</v>
      </c>
      <c r="K1744" s="42"/>
      <c r="L1744" s="14"/>
    </row>
    <row r="1745" spans="2:12" x14ac:dyDescent="0.25">
      <c r="B1745" s="42">
        <v>43244</v>
      </c>
      <c r="D1745">
        <v>14415.65</v>
      </c>
      <c r="K1745" s="42"/>
      <c r="L1745" s="14"/>
    </row>
    <row r="1746" spans="2:12" x14ac:dyDescent="0.25">
      <c r="B1746" s="42">
        <v>43243</v>
      </c>
      <c r="D1746">
        <v>14301.15</v>
      </c>
      <c r="K1746" s="42"/>
      <c r="L1746" s="14"/>
    </row>
    <row r="1747" spans="2:12" x14ac:dyDescent="0.25">
      <c r="B1747" s="42">
        <v>43242</v>
      </c>
      <c r="D1747">
        <v>14446.97</v>
      </c>
      <c r="K1747" s="42"/>
      <c r="L1747" s="14"/>
    </row>
    <row r="1748" spans="2:12" x14ac:dyDescent="0.25">
      <c r="B1748" s="42">
        <v>43241</v>
      </c>
      <c r="D1748">
        <v>14419.57</v>
      </c>
      <c r="K1748" s="42"/>
      <c r="L1748" s="14"/>
    </row>
    <row r="1749" spans="2:12" x14ac:dyDescent="0.25">
      <c r="B1749" s="42">
        <v>43238</v>
      </c>
      <c r="D1749">
        <v>14528.82</v>
      </c>
      <c r="K1749" s="42"/>
      <c r="L1749" s="14"/>
    </row>
    <row r="1750" spans="2:12" x14ac:dyDescent="0.25">
      <c r="B1750" s="42">
        <v>43237</v>
      </c>
      <c r="D1750">
        <v>14647.15</v>
      </c>
      <c r="K1750" s="42"/>
      <c r="L1750" s="14"/>
    </row>
    <row r="1751" spans="2:12" x14ac:dyDescent="0.25">
      <c r="B1751" s="42">
        <v>43236</v>
      </c>
      <c r="D1751">
        <v>14727.26</v>
      </c>
      <c r="K1751" s="42"/>
      <c r="L1751" s="14"/>
    </row>
    <row r="1752" spans="2:12" x14ac:dyDescent="0.25">
      <c r="B1752" s="42">
        <v>43235</v>
      </c>
      <c r="D1752">
        <v>14810.54</v>
      </c>
      <c r="K1752" s="42"/>
      <c r="L1752" s="14"/>
    </row>
    <row r="1753" spans="2:12" x14ac:dyDescent="0.25">
      <c r="B1753" s="42">
        <v>43234</v>
      </c>
      <c r="D1753">
        <v>14817.01</v>
      </c>
      <c r="K1753" s="42"/>
      <c r="L1753" s="14"/>
    </row>
    <row r="1754" spans="2:12" x14ac:dyDescent="0.25">
      <c r="B1754" s="42">
        <v>43231</v>
      </c>
      <c r="D1754">
        <v>14816.93</v>
      </c>
      <c r="K1754" s="42"/>
      <c r="L1754" s="14"/>
    </row>
    <row r="1755" spans="2:12" x14ac:dyDescent="0.25">
      <c r="B1755" s="42">
        <v>43230</v>
      </c>
      <c r="D1755">
        <v>14693.55</v>
      </c>
      <c r="K1755" s="42"/>
      <c r="L1755" s="14"/>
    </row>
    <row r="1756" spans="2:12" x14ac:dyDescent="0.25">
      <c r="B1756" s="42">
        <v>43229</v>
      </c>
      <c r="D1756">
        <v>14728.03</v>
      </c>
      <c r="K1756" s="42"/>
      <c r="L1756" s="14"/>
    </row>
    <row r="1757" spans="2:12" x14ac:dyDescent="0.25">
      <c r="B1757" s="42">
        <v>43228</v>
      </c>
      <c r="D1757">
        <v>14694.93</v>
      </c>
      <c r="K1757" s="42"/>
      <c r="L1757" s="14"/>
    </row>
    <row r="1758" spans="2:12" x14ac:dyDescent="0.25">
      <c r="B1758" s="42">
        <v>43227</v>
      </c>
      <c r="D1758">
        <v>14691.72</v>
      </c>
      <c r="K1758" s="42"/>
      <c r="L1758" s="14"/>
    </row>
    <row r="1759" spans="2:12" x14ac:dyDescent="0.25">
      <c r="B1759" s="42">
        <v>43224</v>
      </c>
      <c r="D1759">
        <v>14558.42</v>
      </c>
      <c r="K1759" s="42"/>
      <c r="L1759" s="14"/>
    </row>
    <row r="1760" spans="2:12" x14ac:dyDescent="0.25">
      <c r="B1760" s="42">
        <v>43223</v>
      </c>
      <c r="D1760">
        <v>14642.62</v>
      </c>
      <c r="K1760" s="42"/>
      <c r="L1760" s="14"/>
    </row>
    <row r="1761" spans="2:12" x14ac:dyDescent="0.25">
      <c r="B1761" s="42">
        <v>43222</v>
      </c>
      <c r="D1761">
        <v>14695.26</v>
      </c>
      <c r="K1761" s="42"/>
      <c r="L1761" s="14"/>
    </row>
    <row r="1762" spans="2:12" x14ac:dyDescent="0.25">
      <c r="B1762" s="42">
        <v>43220</v>
      </c>
      <c r="D1762">
        <v>14723.32</v>
      </c>
      <c r="K1762" s="42"/>
      <c r="L1762" s="14"/>
    </row>
    <row r="1763" spans="2:12" x14ac:dyDescent="0.25">
      <c r="B1763" s="42">
        <v>43217</v>
      </c>
      <c r="D1763">
        <v>14658.83</v>
      </c>
      <c r="K1763" s="42"/>
      <c r="L1763" s="14"/>
    </row>
    <row r="1764" spans="2:12" x14ac:dyDescent="0.25">
      <c r="B1764" s="42">
        <v>43216</v>
      </c>
      <c r="D1764">
        <v>14556.65</v>
      </c>
      <c r="K1764" s="42"/>
      <c r="L1764" s="14"/>
    </row>
    <row r="1765" spans="2:12" x14ac:dyDescent="0.25">
      <c r="B1765" s="42">
        <v>43215</v>
      </c>
      <c r="D1765">
        <v>14491.88</v>
      </c>
      <c r="K1765" s="42"/>
      <c r="L1765" s="14"/>
    </row>
    <row r="1766" spans="2:12" x14ac:dyDescent="0.25">
      <c r="B1766" s="42">
        <v>43214</v>
      </c>
      <c r="D1766">
        <v>14551.96</v>
      </c>
      <c r="K1766" s="42"/>
      <c r="L1766" s="14"/>
    </row>
    <row r="1767" spans="2:12" x14ac:dyDescent="0.25">
      <c r="B1767" s="42">
        <v>43213</v>
      </c>
      <c r="D1767">
        <v>14511.28</v>
      </c>
      <c r="K1767" s="42"/>
      <c r="L1767" s="14"/>
    </row>
    <row r="1768" spans="2:12" x14ac:dyDescent="0.25">
      <c r="B1768" s="42">
        <v>43210</v>
      </c>
      <c r="D1768">
        <v>14482.97</v>
      </c>
      <c r="K1768" s="42"/>
      <c r="L1768" s="14"/>
    </row>
    <row r="1769" spans="2:12" x14ac:dyDescent="0.25">
      <c r="B1769" s="42">
        <v>43209</v>
      </c>
      <c r="D1769">
        <v>14484.7</v>
      </c>
      <c r="K1769" s="42"/>
      <c r="L1769" s="14"/>
    </row>
    <row r="1770" spans="2:12" x14ac:dyDescent="0.25">
      <c r="B1770" s="42">
        <v>43208</v>
      </c>
      <c r="D1770">
        <v>14431.07</v>
      </c>
      <c r="K1770" s="42"/>
      <c r="L1770" s="14"/>
    </row>
    <row r="1771" spans="2:12" x14ac:dyDescent="0.25">
      <c r="B1771" s="42">
        <v>43207</v>
      </c>
      <c r="D1771">
        <v>14461.97</v>
      </c>
      <c r="K1771" s="42"/>
      <c r="L1771" s="14"/>
    </row>
    <row r="1772" spans="2:12" x14ac:dyDescent="0.25">
      <c r="B1772" s="42">
        <v>43206</v>
      </c>
      <c r="D1772">
        <v>14434.05</v>
      </c>
      <c r="K1772" s="42"/>
      <c r="L1772" s="14"/>
    </row>
    <row r="1773" spans="2:12" x14ac:dyDescent="0.25">
      <c r="B1773" s="42">
        <v>43203</v>
      </c>
      <c r="D1773">
        <v>14368.56</v>
      </c>
      <c r="K1773" s="42"/>
      <c r="L1773" s="14"/>
    </row>
    <row r="1774" spans="2:12" x14ac:dyDescent="0.25">
      <c r="B1774" s="42">
        <v>43202</v>
      </c>
      <c r="D1774">
        <v>14338.46</v>
      </c>
      <c r="K1774" s="42"/>
      <c r="L1774" s="14"/>
    </row>
    <row r="1775" spans="2:12" x14ac:dyDescent="0.25">
      <c r="B1775" s="42">
        <v>43201</v>
      </c>
      <c r="D1775">
        <v>14281.6</v>
      </c>
      <c r="K1775" s="42"/>
      <c r="L1775" s="14"/>
    </row>
    <row r="1776" spans="2:12" x14ac:dyDescent="0.25">
      <c r="B1776" s="42">
        <v>43200</v>
      </c>
      <c r="D1776">
        <v>14261.15</v>
      </c>
      <c r="K1776" s="42"/>
      <c r="L1776" s="14"/>
    </row>
    <row r="1777" spans="2:12" x14ac:dyDescent="0.25">
      <c r="B1777" s="42">
        <v>43199</v>
      </c>
      <c r="D1777">
        <v>14229.77</v>
      </c>
      <c r="K1777" s="42"/>
      <c r="L1777" s="14"/>
    </row>
    <row r="1778" spans="2:12" x14ac:dyDescent="0.25">
      <c r="B1778" s="42">
        <v>43196</v>
      </c>
      <c r="D1778">
        <v>14164.28</v>
      </c>
      <c r="K1778" s="42"/>
      <c r="L1778" s="14"/>
    </row>
    <row r="1779" spans="2:12" x14ac:dyDescent="0.25">
      <c r="B1779" s="42">
        <v>43195</v>
      </c>
      <c r="D1779">
        <v>14155.47</v>
      </c>
      <c r="K1779" s="42"/>
      <c r="L1779" s="14"/>
    </row>
    <row r="1780" spans="2:12" x14ac:dyDescent="0.25">
      <c r="B1780" s="42">
        <v>43194</v>
      </c>
      <c r="D1780">
        <v>13885.72</v>
      </c>
      <c r="K1780" s="42"/>
      <c r="L1780" s="14"/>
    </row>
    <row r="1781" spans="2:12" x14ac:dyDescent="0.25">
      <c r="B1781" s="42">
        <v>43193</v>
      </c>
      <c r="D1781">
        <v>14045.55</v>
      </c>
      <c r="K1781" s="42"/>
      <c r="L1781" s="14"/>
    </row>
    <row r="1782" spans="2:12" x14ac:dyDescent="0.25">
      <c r="B1782" s="42">
        <v>43192</v>
      </c>
      <c r="D1782">
        <v>14000.07</v>
      </c>
      <c r="K1782" s="42"/>
      <c r="L1782" s="14"/>
    </row>
    <row r="1783" spans="2:12" x14ac:dyDescent="0.25">
      <c r="B1783" s="42">
        <v>43187</v>
      </c>
      <c r="D1783">
        <v>13865.57</v>
      </c>
      <c r="K1783" s="42"/>
      <c r="L1783" s="14"/>
    </row>
    <row r="1784" spans="2:12" x14ac:dyDescent="0.25">
      <c r="B1784" s="42">
        <v>43186</v>
      </c>
      <c r="D1784">
        <v>13962.15</v>
      </c>
      <c r="K1784" s="42"/>
      <c r="L1784" s="14"/>
    </row>
    <row r="1785" spans="2:12" x14ac:dyDescent="0.25">
      <c r="B1785" s="42">
        <v>43185</v>
      </c>
      <c r="D1785">
        <v>13888.82</v>
      </c>
      <c r="K1785" s="42"/>
      <c r="L1785" s="14"/>
    </row>
    <row r="1786" spans="2:12" x14ac:dyDescent="0.25">
      <c r="B1786" s="42">
        <v>43182</v>
      </c>
      <c r="D1786">
        <v>13706.99</v>
      </c>
      <c r="K1786" s="42"/>
      <c r="L1786" s="14"/>
    </row>
    <row r="1787" spans="2:12" x14ac:dyDescent="0.25">
      <c r="B1787" s="42">
        <v>43181</v>
      </c>
      <c r="D1787">
        <v>13867.01</v>
      </c>
      <c r="K1787" s="42"/>
      <c r="L1787" s="14"/>
    </row>
    <row r="1788" spans="2:12" x14ac:dyDescent="0.25">
      <c r="B1788" s="42">
        <v>43180</v>
      </c>
      <c r="D1788">
        <v>13920.51</v>
      </c>
      <c r="K1788" s="42"/>
      <c r="L1788" s="14"/>
    </row>
    <row r="1789" spans="2:12" x14ac:dyDescent="0.25">
      <c r="B1789" s="42">
        <v>43179</v>
      </c>
      <c r="D1789">
        <v>13878.17</v>
      </c>
      <c r="K1789" s="42"/>
      <c r="L1789" s="14"/>
    </row>
    <row r="1790" spans="2:12" x14ac:dyDescent="0.25">
      <c r="B1790" s="42">
        <v>43178</v>
      </c>
      <c r="D1790">
        <v>13822.99</v>
      </c>
      <c r="K1790" s="42"/>
      <c r="L1790" s="14"/>
    </row>
    <row r="1791" spans="2:12" x14ac:dyDescent="0.25">
      <c r="B1791" s="42">
        <v>43175</v>
      </c>
      <c r="D1791">
        <v>13961.14</v>
      </c>
      <c r="K1791" s="42"/>
      <c r="L1791" s="14"/>
    </row>
    <row r="1792" spans="2:12" x14ac:dyDescent="0.25">
      <c r="B1792" s="42">
        <v>43174</v>
      </c>
      <c r="D1792">
        <v>14179.36</v>
      </c>
      <c r="K1792" s="42"/>
      <c r="L1792" s="14"/>
    </row>
    <row r="1793" spans="2:12" x14ac:dyDescent="0.25">
      <c r="B1793" s="42">
        <v>43173</v>
      </c>
      <c r="D1793">
        <v>14248.81</v>
      </c>
      <c r="K1793" s="42"/>
      <c r="L1793" s="14"/>
    </row>
    <row r="1794" spans="2:12" x14ac:dyDescent="0.25">
      <c r="B1794" s="42">
        <v>43172</v>
      </c>
      <c r="D1794">
        <v>14270.64</v>
      </c>
      <c r="K1794" s="42"/>
      <c r="L1794" s="14"/>
    </row>
    <row r="1795" spans="2:12" x14ac:dyDescent="0.25">
      <c r="B1795" s="42">
        <v>43171</v>
      </c>
      <c r="D1795">
        <v>14260.92</v>
      </c>
      <c r="K1795" s="42"/>
      <c r="L1795" s="14"/>
    </row>
    <row r="1796" spans="2:12" x14ac:dyDescent="0.25">
      <c r="B1796" s="42">
        <v>43168</v>
      </c>
      <c r="D1796">
        <v>13994.68</v>
      </c>
      <c r="K1796" s="42"/>
      <c r="L1796" s="14"/>
    </row>
    <row r="1797" spans="2:12" x14ac:dyDescent="0.25">
      <c r="B1797" s="42">
        <v>43167</v>
      </c>
      <c r="D1797">
        <v>14016.3</v>
      </c>
      <c r="K1797" s="42"/>
      <c r="L1797" s="14"/>
    </row>
    <row r="1798" spans="2:12" x14ac:dyDescent="0.25">
      <c r="B1798" s="42">
        <v>43166</v>
      </c>
      <c r="D1798">
        <v>13895.27</v>
      </c>
      <c r="K1798" s="42"/>
      <c r="L1798" s="14"/>
    </row>
    <row r="1799" spans="2:12" x14ac:dyDescent="0.25">
      <c r="B1799" s="42">
        <v>43165</v>
      </c>
      <c r="D1799">
        <v>14025.34</v>
      </c>
      <c r="K1799" s="42"/>
      <c r="L1799" s="14"/>
    </row>
    <row r="1800" spans="2:12" x14ac:dyDescent="0.25">
      <c r="B1800" s="42">
        <v>43164</v>
      </c>
      <c r="D1800">
        <v>14175.32</v>
      </c>
      <c r="K1800" s="42"/>
      <c r="L1800" s="14"/>
    </row>
    <row r="1801" spans="2:12" x14ac:dyDescent="0.25">
      <c r="B1801" s="42">
        <v>43160</v>
      </c>
      <c r="D1801">
        <v>14311.52</v>
      </c>
      <c r="K1801" s="42"/>
      <c r="L1801" s="14"/>
    </row>
    <row r="1802" spans="2:12" x14ac:dyDescent="0.25">
      <c r="B1802" s="42">
        <v>43159</v>
      </c>
      <c r="D1802">
        <v>14358.71</v>
      </c>
      <c r="K1802" s="42"/>
      <c r="L1802" s="14"/>
    </row>
    <row r="1803" spans="2:12" x14ac:dyDescent="0.25">
      <c r="B1803" s="42">
        <v>43158</v>
      </c>
      <c r="D1803">
        <v>14438.9</v>
      </c>
      <c r="K1803" s="42"/>
      <c r="L1803" s="14"/>
    </row>
    <row r="1804" spans="2:12" x14ac:dyDescent="0.25">
      <c r="B1804" s="42">
        <v>43157</v>
      </c>
      <c r="D1804">
        <v>14477.62</v>
      </c>
      <c r="K1804" s="42"/>
      <c r="L1804" s="14"/>
    </row>
    <row r="1805" spans="2:12" x14ac:dyDescent="0.25">
      <c r="B1805" s="42">
        <v>43154</v>
      </c>
      <c r="D1805">
        <v>14352.4</v>
      </c>
      <c r="K1805" s="42"/>
      <c r="L1805" s="14"/>
    </row>
    <row r="1806" spans="2:12" x14ac:dyDescent="0.25">
      <c r="B1806" s="42">
        <v>43153</v>
      </c>
      <c r="D1806">
        <v>14204.17</v>
      </c>
      <c r="K1806" s="42"/>
      <c r="L1806" s="14"/>
    </row>
    <row r="1807" spans="2:12" x14ac:dyDescent="0.25">
      <c r="B1807" s="42">
        <v>43152</v>
      </c>
      <c r="D1807">
        <v>14220.48</v>
      </c>
      <c r="K1807" s="42"/>
      <c r="L1807" s="14"/>
    </row>
    <row r="1808" spans="2:12" x14ac:dyDescent="0.25">
      <c r="B1808" s="42">
        <v>43151</v>
      </c>
      <c r="D1808">
        <v>14169.77</v>
      </c>
      <c r="K1808" s="42"/>
      <c r="L1808" s="14"/>
    </row>
    <row r="1809" spans="2:12" x14ac:dyDescent="0.25">
      <c r="B1809" s="42">
        <v>43150</v>
      </c>
      <c r="D1809">
        <v>14194.28</v>
      </c>
      <c r="K1809" s="42"/>
      <c r="L1809" s="14"/>
    </row>
    <row r="1810" spans="2:12" x14ac:dyDescent="0.25">
      <c r="B1810" s="42">
        <v>43147</v>
      </c>
      <c r="D1810">
        <v>14295.41</v>
      </c>
      <c r="K1810" s="42"/>
      <c r="L1810" s="14"/>
    </row>
    <row r="1811" spans="2:12" x14ac:dyDescent="0.25">
      <c r="B1811" s="42">
        <v>43146</v>
      </c>
      <c r="D1811">
        <v>14422.85</v>
      </c>
      <c r="K1811" s="42"/>
      <c r="L1811" s="14"/>
    </row>
    <row r="1812" spans="2:12" x14ac:dyDescent="0.25">
      <c r="B1812" s="42">
        <v>43145</v>
      </c>
      <c r="D1812">
        <v>14359.35</v>
      </c>
      <c r="K1812" s="42"/>
      <c r="L1812" s="14"/>
    </row>
    <row r="1813" spans="2:12" x14ac:dyDescent="0.25">
      <c r="B1813" s="42">
        <v>43143</v>
      </c>
      <c r="D1813">
        <v>14412.46</v>
      </c>
      <c r="K1813" s="42"/>
      <c r="L1813" s="14"/>
    </row>
    <row r="1814" spans="2:12" x14ac:dyDescent="0.25">
      <c r="B1814" s="42">
        <v>43140</v>
      </c>
      <c r="D1814">
        <v>14296.5</v>
      </c>
      <c r="K1814" s="42"/>
      <c r="L1814" s="14"/>
    </row>
    <row r="1815" spans="2:12" x14ac:dyDescent="0.25">
      <c r="B1815" s="42">
        <v>43139</v>
      </c>
      <c r="D1815">
        <v>14463.16</v>
      </c>
      <c r="K1815" s="42"/>
      <c r="L1815" s="14"/>
    </row>
    <row r="1816" spans="2:12" x14ac:dyDescent="0.25">
      <c r="B1816" s="42">
        <v>43138</v>
      </c>
      <c r="D1816">
        <v>14317.57</v>
      </c>
      <c r="K1816" s="42"/>
      <c r="L1816" s="14"/>
    </row>
    <row r="1817" spans="2:12" x14ac:dyDescent="0.25">
      <c r="B1817" s="42">
        <v>43137</v>
      </c>
      <c r="D1817">
        <v>14344.02</v>
      </c>
      <c r="K1817" s="42"/>
      <c r="L1817" s="14"/>
    </row>
    <row r="1818" spans="2:12" x14ac:dyDescent="0.25">
      <c r="B1818" s="42">
        <v>43136</v>
      </c>
      <c r="D1818">
        <v>14574</v>
      </c>
      <c r="K1818" s="42"/>
      <c r="L1818" s="14"/>
    </row>
    <row r="1819" spans="2:12" x14ac:dyDescent="0.25">
      <c r="B1819" s="42">
        <v>43133</v>
      </c>
      <c r="D1819">
        <v>14702.49</v>
      </c>
      <c r="K1819" s="42"/>
      <c r="L1819" s="14"/>
    </row>
    <row r="1820" spans="2:12" x14ac:dyDescent="0.25">
      <c r="B1820" s="42">
        <v>43132</v>
      </c>
      <c r="D1820">
        <v>15052.72</v>
      </c>
      <c r="K1820" s="42"/>
      <c r="L1820" s="14"/>
    </row>
    <row r="1821" spans="2:12" x14ac:dyDescent="0.25">
      <c r="B1821" s="42">
        <v>43131</v>
      </c>
      <c r="D1821">
        <v>15065.82</v>
      </c>
      <c r="K1821" s="42"/>
      <c r="L1821" s="14"/>
    </row>
    <row r="1822" spans="2:12" x14ac:dyDescent="0.25">
      <c r="B1822" s="42">
        <v>43130</v>
      </c>
      <c r="D1822">
        <v>15095.42</v>
      </c>
      <c r="K1822" s="42"/>
      <c r="L1822" s="14"/>
    </row>
    <row r="1823" spans="2:12" x14ac:dyDescent="0.25">
      <c r="B1823" s="42">
        <v>43129</v>
      </c>
      <c r="D1823">
        <v>15204.42</v>
      </c>
      <c r="K1823" s="42"/>
      <c r="L1823" s="14"/>
    </row>
    <row r="1824" spans="2:12" x14ac:dyDescent="0.25">
      <c r="B1824" s="42">
        <v>43125</v>
      </c>
      <c r="D1824">
        <v>15121</v>
      </c>
      <c r="K1824" s="42"/>
      <c r="L1824" s="14"/>
    </row>
    <row r="1825" spans="2:12" x14ac:dyDescent="0.25">
      <c r="B1825" s="42">
        <v>43124</v>
      </c>
      <c r="D1825">
        <v>15143.35</v>
      </c>
      <c r="K1825" s="42"/>
      <c r="L1825" s="14"/>
    </row>
    <row r="1826" spans="2:12" x14ac:dyDescent="0.25">
      <c r="B1826" s="42">
        <v>43123</v>
      </c>
      <c r="D1826">
        <v>15140.24</v>
      </c>
      <c r="K1826" s="42"/>
      <c r="L1826" s="14"/>
    </row>
    <row r="1827" spans="2:12" x14ac:dyDescent="0.25">
      <c r="B1827" s="42">
        <v>43122</v>
      </c>
      <c r="D1827">
        <v>14979.72</v>
      </c>
      <c r="K1827" s="42"/>
      <c r="L1827" s="14"/>
    </row>
    <row r="1828" spans="2:12" x14ac:dyDescent="0.25">
      <c r="B1828" s="42">
        <v>43119</v>
      </c>
      <c r="D1828">
        <v>14880.8</v>
      </c>
      <c r="K1828" s="42"/>
      <c r="L1828" s="14"/>
    </row>
    <row r="1829" spans="2:12" x14ac:dyDescent="0.25">
      <c r="B1829" s="42">
        <v>43118</v>
      </c>
      <c r="D1829">
        <v>14774.67</v>
      </c>
      <c r="K1829" s="42"/>
      <c r="L1829" s="14"/>
    </row>
    <row r="1830" spans="2:12" x14ac:dyDescent="0.25">
      <c r="B1830" s="42">
        <v>43117</v>
      </c>
      <c r="D1830">
        <v>14734.07</v>
      </c>
      <c r="K1830" s="42"/>
      <c r="L1830" s="14"/>
    </row>
    <row r="1831" spans="2:12" x14ac:dyDescent="0.25">
      <c r="B1831" s="42">
        <v>43116</v>
      </c>
      <c r="D1831">
        <v>14613.79</v>
      </c>
      <c r="K1831" s="42"/>
      <c r="L1831" s="14"/>
    </row>
    <row r="1832" spans="2:12" x14ac:dyDescent="0.25">
      <c r="B1832" s="42">
        <v>43115</v>
      </c>
      <c r="D1832">
        <v>14669.9</v>
      </c>
      <c r="K1832" s="42"/>
      <c r="L1832" s="14"/>
    </row>
    <row r="1833" spans="2:12" x14ac:dyDescent="0.25">
      <c r="B1833" s="42">
        <v>43112</v>
      </c>
      <c r="D1833">
        <v>14587.54</v>
      </c>
      <c r="K1833" s="42"/>
      <c r="L1833" s="14"/>
    </row>
    <row r="1834" spans="2:12" x14ac:dyDescent="0.25">
      <c r="B1834" s="42">
        <v>43111</v>
      </c>
      <c r="D1834">
        <v>14546.49</v>
      </c>
      <c r="K1834" s="42"/>
      <c r="L1834" s="14"/>
    </row>
    <row r="1835" spans="2:12" x14ac:dyDescent="0.25">
      <c r="B1835" s="42">
        <v>43110</v>
      </c>
      <c r="D1835">
        <v>14520.56</v>
      </c>
      <c r="K1835" s="42"/>
      <c r="L1835" s="14"/>
    </row>
    <row r="1836" spans="2:12" x14ac:dyDescent="0.25">
      <c r="B1836" s="42">
        <v>43109</v>
      </c>
      <c r="D1836">
        <v>14527.15</v>
      </c>
      <c r="K1836" s="42"/>
      <c r="L1836" s="14"/>
    </row>
    <row r="1837" spans="2:12" x14ac:dyDescent="0.25">
      <c r="B1837" s="42">
        <v>43108</v>
      </c>
      <c r="D1837">
        <v>14508.81</v>
      </c>
      <c r="K1837" s="42"/>
      <c r="L1837" s="14"/>
    </row>
    <row r="1838" spans="2:12" x14ac:dyDescent="0.25">
      <c r="B1838" s="42">
        <v>43105</v>
      </c>
      <c r="D1838">
        <v>14420.42</v>
      </c>
      <c r="K1838" s="42"/>
      <c r="L1838" s="14"/>
    </row>
    <row r="1839" spans="2:12" x14ac:dyDescent="0.25">
      <c r="B1839" s="42">
        <v>43104</v>
      </c>
      <c r="D1839">
        <v>14346.59</v>
      </c>
      <c r="K1839" s="42"/>
      <c r="L1839" s="14"/>
    </row>
    <row r="1840" spans="2:12" x14ac:dyDescent="0.25">
      <c r="B1840" s="42">
        <v>43103</v>
      </c>
      <c r="D1840">
        <v>14262.48</v>
      </c>
      <c r="K1840" s="42"/>
      <c r="L1840" s="14"/>
    </row>
    <row r="1841" spans="2:12" x14ac:dyDescent="0.25">
      <c r="B1841" s="42">
        <v>43102</v>
      </c>
      <c r="D1841">
        <v>14261.1</v>
      </c>
      <c r="K1841" s="42"/>
      <c r="L1841" s="14"/>
    </row>
    <row r="1842" spans="2:12" x14ac:dyDescent="0.25">
      <c r="B1842" s="42">
        <v>43101</v>
      </c>
      <c r="D1842">
        <v>14252.02</v>
      </c>
      <c r="K1842" s="42"/>
      <c r="L1842" s="14"/>
    </row>
    <row r="1843" spans="2:12" x14ac:dyDescent="0.25">
      <c r="B1843" s="42">
        <v>43098</v>
      </c>
      <c r="D1843">
        <v>14381.92</v>
      </c>
      <c r="K1843" s="42"/>
      <c r="L1843" s="14"/>
    </row>
    <row r="1844" spans="2:12" x14ac:dyDescent="0.25">
      <c r="B1844" s="42">
        <v>43097</v>
      </c>
      <c r="D1844">
        <v>14309.85</v>
      </c>
      <c r="K1844" s="42"/>
      <c r="L1844" s="14"/>
    </row>
    <row r="1845" spans="2:12" x14ac:dyDescent="0.25">
      <c r="B1845" s="42">
        <v>43096</v>
      </c>
      <c r="D1845">
        <v>14327.42</v>
      </c>
      <c r="K1845" s="42"/>
      <c r="L1845" s="14"/>
    </row>
    <row r="1846" spans="2:12" x14ac:dyDescent="0.25">
      <c r="B1846" s="42">
        <v>43095</v>
      </c>
      <c r="D1846">
        <v>14383.04</v>
      </c>
      <c r="K1846" s="42"/>
      <c r="L1846" s="14"/>
    </row>
    <row r="1847" spans="2:12" x14ac:dyDescent="0.25">
      <c r="B1847" s="42">
        <v>43091</v>
      </c>
      <c r="D1847">
        <v>14330.49</v>
      </c>
      <c r="K1847" s="42"/>
      <c r="L1847" s="14"/>
    </row>
    <row r="1848" spans="2:12" x14ac:dyDescent="0.25">
      <c r="B1848" s="42">
        <v>43090</v>
      </c>
      <c r="D1848">
        <v>14258.49</v>
      </c>
      <c r="K1848" s="42"/>
      <c r="L1848" s="14"/>
    </row>
    <row r="1849" spans="2:12" x14ac:dyDescent="0.25">
      <c r="B1849" s="42">
        <v>43089</v>
      </c>
      <c r="D1849">
        <v>14263.81</v>
      </c>
      <c r="K1849" s="42"/>
      <c r="L1849" s="14"/>
    </row>
    <row r="1850" spans="2:12" x14ac:dyDescent="0.25">
      <c r="B1850" s="42">
        <v>43088</v>
      </c>
      <c r="D1850">
        <v>14289.76</v>
      </c>
      <c r="K1850" s="42"/>
      <c r="L1850" s="14"/>
    </row>
    <row r="1851" spans="2:12" x14ac:dyDescent="0.25">
      <c r="B1851" s="42">
        <v>43087</v>
      </c>
      <c r="D1851">
        <v>14188.11</v>
      </c>
      <c r="K1851" s="42"/>
      <c r="L1851" s="14"/>
    </row>
    <row r="1852" spans="2:12" x14ac:dyDescent="0.25">
      <c r="B1852" s="42">
        <v>43084</v>
      </c>
      <c r="D1852">
        <v>14112.3</v>
      </c>
      <c r="K1852" s="42"/>
      <c r="L1852" s="14"/>
    </row>
    <row r="1853" spans="2:12" x14ac:dyDescent="0.25">
      <c r="B1853" s="42">
        <v>43083</v>
      </c>
      <c r="D1853">
        <v>14001.49</v>
      </c>
      <c r="K1853" s="42"/>
      <c r="L1853" s="14"/>
    </row>
    <row r="1854" spans="2:12" x14ac:dyDescent="0.25">
      <c r="B1854" s="42">
        <v>43082</v>
      </c>
      <c r="D1854">
        <v>13920.69</v>
      </c>
      <c r="K1854" s="42"/>
      <c r="L1854" s="14"/>
    </row>
    <row r="1855" spans="2:12" x14ac:dyDescent="0.25">
      <c r="B1855" s="42">
        <v>43081</v>
      </c>
      <c r="D1855">
        <v>13985.11</v>
      </c>
      <c r="K1855" s="42"/>
      <c r="L1855" s="14"/>
    </row>
    <row r="1856" spans="2:12" x14ac:dyDescent="0.25">
      <c r="B1856" s="42">
        <v>43080</v>
      </c>
      <c r="D1856">
        <v>14097.29</v>
      </c>
      <c r="K1856" s="42"/>
      <c r="L1856" s="14"/>
    </row>
    <row r="1857" spans="2:12" x14ac:dyDescent="0.25">
      <c r="B1857" s="42">
        <v>43077</v>
      </c>
      <c r="D1857">
        <v>14019.95</v>
      </c>
      <c r="K1857" s="42"/>
      <c r="L1857" s="14"/>
    </row>
    <row r="1858" spans="2:12" x14ac:dyDescent="0.25">
      <c r="B1858" s="42">
        <v>43076</v>
      </c>
      <c r="D1858">
        <v>13884.82</v>
      </c>
      <c r="K1858" s="42"/>
      <c r="L1858" s="14"/>
    </row>
    <row r="1859" spans="2:12" x14ac:dyDescent="0.25">
      <c r="B1859" s="42">
        <v>43075</v>
      </c>
      <c r="D1859">
        <v>13717.36</v>
      </c>
      <c r="K1859" s="42"/>
      <c r="L1859" s="14"/>
    </row>
    <row r="1860" spans="2:12" x14ac:dyDescent="0.25">
      <c r="B1860" s="42">
        <v>43074</v>
      </c>
      <c r="D1860">
        <v>13818.67</v>
      </c>
      <c r="K1860" s="42"/>
      <c r="L1860" s="14"/>
    </row>
    <row r="1861" spans="2:12" x14ac:dyDescent="0.25">
      <c r="B1861" s="42">
        <v>43073</v>
      </c>
      <c r="D1861">
        <v>13831.66</v>
      </c>
      <c r="K1861" s="42"/>
      <c r="L1861" s="14"/>
    </row>
    <row r="1862" spans="2:12" x14ac:dyDescent="0.25">
      <c r="B1862" s="42">
        <v>43070</v>
      </c>
      <c r="D1862">
        <v>13823.52</v>
      </c>
      <c r="K1862" s="42"/>
      <c r="L1862" s="14"/>
    </row>
    <row r="1863" spans="2:12" x14ac:dyDescent="0.25">
      <c r="B1863" s="42">
        <v>43069</v>
      </c>
      <c r="D1863">
        <v>13966.58</v>
      </c>
      <c r="K1863" s="42"/>
      <c r="L1863" s="14"/>
    </row>
    <row r="1864" spans="2:12" x14ac:dyDescent="0.25">
      <c r="B1864" s="42">
        <v>43068</v>
      </c>
      <c r="D1864">
        <v>14150.6</v>
      </c>
      <c r="K1864" s="42"/>
      <c r="L1864" s="14"/>
    </row>
    <row r="1865" spans="2:12" x14ac:dyDescent="0.25">
      <c r="B1865" s="42">
        <v>43067</v>
      </c>
      <c r="D1865">
        <v>14162.79</v>
      </c>
      <c r="K1865" s="42"/>
      <c r="L1865" s="14"/>
    </row>
    <row r="1866" spans="2:12" x14ac:dyDescent="0.25">
      <c r="B1866" s="42">
        <v>43066</v>
      </c>
      <c r="D1866">
        <v>14202.82</v>
      </c>
      <c r="K1866" s="42"/>
      <c r="L1866" s="14"/>
    </row>
    <row r="1867" spans="2:12" x14ac:dyDescent="0.25">
      <c r="B1867" s="42">
        <v>43063</v>
      </c>
      <c r="D1867">
        <v>14189.41</v>
      </c>
      <c r="K1867" s="42"/>
      <c r="L1867" s="14"/>
    </row>
    <row r="1868" spans="2:12" x14ac:dyDescent="0.25">
      <c r="B1868" s="42">
        <v>43062</v>
      </c>
      <c r="D1868">
        <v>14133.47</v>
      </c>
      <c r="K1868" s="42"/>
      <c r="L1868" s="14"/>
    </row>
    <row r="1869" spans="2:12" x14ac:dyDescent="0.25">
      <c r="B1869" s="42">
        <v>43061</v>
      </c>
      <c r="D1869">
        <v>14124.68</v>
      </c>
      <c r="K1869" s="42"/>
      <c r="L1869" s="14"/>
    </row>
    <row r="1870" spans="2:12" x14ac:dyDescent="0.25">
      <c r="B1870" s="42">
        <v>43060</v>
      </c>
      <c r="D1870">
        <v>14103.64</v>
      </c>
      <c r="K1870" s="42"/>
      <c r="L1870" s="14"/>
    </row>
    <row r="1871" spans="2:12" x14ac:dyDescent="0.25">
      <c r="B1871" s="42">
        <v>43059</v>
      </c>
      <c r="D1871">
        <v>14065.05</v>
      </c>
      <c r="K1871" s="42"/>
      <c r="L1871" s="14"/>
    </row>
    <row r="1872" spans="2:12" x14ac:dyDescent="0.25">
      <c r="B1872" s="42">
        <v>43056</v>
      </c>
      <c r="D1872">
        <v>14044.32</v>
      </c>
      <c r="K1872" s="42"/>
      <c r="L1872" s="14"/>
    </row>
    <row r="1873" spans="2:12" x14ac:dyDescent="0.25">
      <c r="B1873" s="42">
        <v>43055</v>
      </c>
      <c r="D1873">
        <v>13950.33</v>
      </c>
      <c r="K1873" s="42"/>
      <c r="L1873" s="14"/>
    </row>
    <row r="1874" spans="2:12" x14ac:dyDescent="0.25">
      <c r="B1874" s="42">
        <v>43054</v>
      </c>
      <c r="D1874">
        <v>13818.25</v>
      </c>
      <c r="K1874" s="42"/>
      <c r="L1874" s="14"/>
    </row>
    <row r="1875" spans="2:12" x14ac:dyDescent="0.25">
      <c r="B1875" s="42">
        <v>43053</v>
      </c>
      <c r="D1875">
        <v>13911.87</v>
      </c>
      <c r="K1875" s="42"/>
      <c r="L1875" s="14"/>
    </row>
    <row r="1876" spans="2:12" x14ac:dyDescent="0.25">
      <c r="B1876" s="42">
        <v>43052</v>
      </c>
      <c r="D1876">
        <v>13964.26</v>
      </c>
      <c r="K1876" s="42"/>
      <c r="L1876" s="14"/>
    </row>
    <row r="1877" spans="2:12" x14ac:dyDescent="0.25">
      <c r="B1877" s="42">
        <v>43049</v>
      </c>
      <c r="D1877">
        <v>14096.45</v>
      </c>
      <c r="K1877" s="42"/>
      <c r="L1877" s="14"/>
    </row>
    <row r="1878" spans="2:12" x14ac:dyDescent="0.25">
      <c r="B1878" s="42">
        <v>43048</v>
      </c>
      <c r="D1878">
        <v>14078.98</v>
      </c>
      <c r="K1878" s="42"/>
      <c r="L1878" s="14"/>
    </row>
    <row r="1879" spans="2:12" x14ac:dyDescent="0.25">
      <c r="B1879" s="42">
        <v>43047</v>
      </c>
      <c r="D1879">
        <v>14071.02</v>
      </c>
      <c r="K1879" s="42"/>
      <c r="L1879" s="14"/>
    </row>
    <row r="1880" spans="2:12" x14ac:dyDescent="0.25">
      <c r="B1880" s="42">
        <v>43046</v>
      </c>
      <c r="D1880">
        <v>14135.23</v>
      </c>
      <c r="K1880" s="42"/>
      <c r="L1880" s="14"/>
    </row>
    <row r="1881" spans="2:12" x14ac:dyDescent="0.25">
      <c r="B1881" s="42">
        <v>43045</v>
      </c>
      <c r="D1881">
        <v>14274.03</v>
      </c>
      <c r="K1881" s="42"/>
      <c r="L1881" s="14"/>
    </row>
    <row r="1882" spans="2:12" x14ac:dyDescent="0.25">
      <c r="B1882" s="42">
        <v>43042</v>
      </c>
      <c r="D1882">
        <v>14274.97</v>
      </c>
      <c r="K1882" s="42"/>
      <c r="L1882" s="14"/>
    </row>
    <row r="1883" spans="2:12" x14ac:dyDescent="0.25">
      <c r="B1883" s="42">
        <v>43041</v>
      </c>
      <c r="D1883">
        <v>14232.79</v>
      </c>
      <c r="K1883" s="42"/>
      <c r="L1883" s="14"/>
    </row>
    <row r="1884" spans="2:12" x14ac:dyDescent="0.25">
      <c r="B1884" s="42">
        <v>43040</v>
      </c>
      <c r="D1884">
        <v>14255.58</v>
      </c>
      <c r="K1884" s="42"/>
      <c r="L1884" s="14"/>
    </row>
    <row r="1885" spans="2:12" x14ac:dyDescent="0.25">
      <c r="B1885" s="42">
        <v>43039</v>
      </c>
      <c r="D1885">
        <v>14108.55</v>
      </c>
      <c r="K1885" s="42"/>
      <c r="L1885" s="14"/>
    </row>
    <row r="1886" spans="2:12" x14ac:dyDescent="0.25">
      <c r="B1886" s="42">
        <v>43038</v>
      </c>
      <c r="D1886">
        <v>14137.62</v>
      </c>
      <c r="K1886" s="42"/>
      <c r="L1886" s="14"/>
    </row>
    <row r="1887" spans="2:12" x14ac:dyDescent="0.25">
      <c r="B1887" s="42">
        <v>43035</v>
      </c>
      <c r="D1887">
        <v>14082.21</v>
      </c>
      <c r="K1887" s="42"/>
      <c r="L1887" s="14"/>
    </row>
    <row r="1888" spans="2:12" x14ac:dyDescent="0.25">
      <c r="B1888" s="42">
        <v>43034</v>
      </c>
      <c r="D1888">
        <v>14110.5</v>
      </c>
      <c r="K1888" s="42"/>
      <c r="L1888" s="14"/>
    </row>
    <row r="1889" spans="2:12" x14ac:dyDescent="0.25">
      <c r="B1889" s="42">
        <v>43033</v>
      </c>
      <c r="D1889">
        <v>14044.44</v>
      </c>
      <c r="K1889" s="42"/>
      <c r="L1889" s="14"/>
    </row>
    <row r="1890" spans="2:12" x14ac:dyDescent="0.25">
      <c r="B1890" s="42">
        <v>43032</v>
      </c>
      <c r="D1890">
        <v>13923.61</v>
      </c>
      <c r="K1890" s="42"/>
      <c r="L1890" s="14"/>
    </row>
    <row r="1891" spans="2:12" x14ac:dyDescent="0.25">
      <c r="B1891" s="42">
        <v>43031</v>
      </c>
      <c r="D1891">
        <v>13892.48</v>
      </c>
      <c r="K1891" s="42"/>
      <c r="L1891" s="14"/>
    </row>
    <row r="1892" spans="2:12" x14ac:dyDescent="0.25">
      <c r="B1892" s="42">
        <v>43027</v>
      </c>
      <c r="D1892">
        <v>13840.24</v>
      </c>
      <c r="K1892" s="42"/>
      <c r="L1892" s="14"/>
    </row>
    <row r="1893" spans="2:12" x14ac:dyDescent="0.25">
      <c r="B1893" s="42">
        <v>43026</v>
      </c>
      <c r="D1893">
        <v>13927.92</v>
      </c>
      <c r="K1893" s="42"/>
      <c r="L1893" s="14"/>
    </row>
    <row r="1894" spans="2:12" x14ac:dyDescent="0.25">
      <c r="B1894" s="42">
        <v>43025</v>
      </c>
      <c r="D1894">
        <v>13960.09</v>
      </c>
      <c r="K1894" s="42"/>
      <c r="L1894" s="14"/>
    </row>
    <row r="1895" spans="2:12" x14ac:dyDescent="0.25">
      <c r="B1895" s="42">
        <v>43024</v>
      </c>
      <c r="D1895">
        <v>13955.22</v>
      </c>
      <c r="K1895" s="42"/>
      <c r="L1895" s="14"/>
    </row>
    <row r="1896" spans="2:12" x14ac:dyDescent="0.25">
      <c r="B1896" s="42">
        <v>43021</v>
      </c>
      <c r="D1896">
        <v>13868.7</v>
      </c>
      <c r="K1896" s="42"/>
      <c r="L1896" s="14"/>
    </row>
    <row r="1897" spans="2:12" x14ac:dyDescent="0.25">
      <c r="B1897" s="42">
        <v>43020</v>
      </c>
      <c r="D1897">
        <v>13771.84</v>
      </c>
      <c r="K1897" s="42"/>
      <c r="L1897" s="14"/>
    </row>
    <row r="1898" spans="2:12" x14ac:dyDescent="0.25">
      <c r="B1898" s="42">
        <v>43019</v>
      </c>
      <c r="D1898">
        <v>13619.62</v>
      </c>
      <c r="K1898" s="42"/>
      <c r="L1898" s="14"/>
    </row>
    <row r="1899" spans="2:12" x14ac:dyDescent="0.25">
      <c r="B1899" s="42">
        <v>43018</v>
      </c>
      <c r="D1899">
        <v>13663.44</v>
      </c>
      <c r="K1899" s="42"/>
      <c r="L1899" s="14"/>
    </row>
    <row r="1900" spans="2:12" x14ac:dyDescent="0.25">
      <c r="B1900" s="42">
        <v>43017</v>
      </c>
      <c r="D1900">
        <v>13625</v>
      </c>
      <c r="K1900" s="42"/>
      <c r="L1900" s="14"/>
    </row>
    <row r="1901" spans="2:12" x14ac:dyDescent="0.25">
      <c r="B1901" s="42">
        <v>43014</v>
      </c>
      <c r="D1901">
        <v>13612.63</v>
      </c>
      <c r="K1901" s="42"/>
      <c r="L1901" s="14"/>
    </row>
    <row r="1902" spans="2:12" x14ac:dyDescent="0.25">
      <c r="B1902" s="42">
        <v>43013</v>
      </c>
      <c r="D1902">
        <v>13488.48</v>
      </c>
      <c r="K1902" s="42"/>
      <c r="L1902" s="14"/>
    </row>
    <row r="1903" spans="2:12" x14ac:dyDescent="0.25">
      <c r="B1903" s="42">
        <v>43012</v>
      </c>
      <c r="D1903">
        <v>13524.27</v>
      </c>
      <c r="K1903" s="42"/>
      <c r="L1903" s="14"/>
    </row>
    <row r="1904" spans="2:12" x14ac:dyDescent="0.25">
      <c r="B1904" s="42">
        <v>43011</v>
      </c>
      <c r="D1904">
        <v>13448.66</v>
      </c>
      <c r="K1904" s="42"/>
      <c r="L1904" s="14"/>
    </row>
    <row r="1905" spans="2:12" x14ac:dyDescent="0.25">
      <c r="B1905" s="42">
        <v>43007</v>
      </c>
      <c r="D1905">
        <v>13351.99</v>
      </c>
      <c r="K1905" s="42"/>
      <c r="L1905" s="14"/>
    </row>
    <row r="1906" spans="2:12" x14ac:dyDescent="0.25">
      <c r="B1906" s="42">
        <v>43006</v>
      </c>
      <c r="D1906">
        <v>13325.16</v>
      </c>
      <c r="K1906" s="42"/>
      <c r="L1906" s="14"/>
    </row>
    <row r="1907" spans="2:12" x14ac:dyDescent="0.25">
      <c r="B1907" s="42">
        <v>43005</v>
      </c>
      <c r="D1907">
        <v>13279.85</v>
      </c>
      <c r="K1907" s="42"/>
      <c r="L1907" s="14"/>
    </row>
    <row r="1908" spans="2:12" x14ac:dyDescent="0.25">
      <c r="B1908" s="42">
        <v>43004</v>
      </c>
      <c r="D1908">
        <v>13465.07</v>
      </c>
      <c r="K1908" s="42"/>
      <c r="L1908" s="14"/>
    </row>
    <row r="1909" spans="2:12" x14ac:dyDescent="0.25">
      <c r="B1909" s="42">
        <v>43003</v>
      </c>
      <c r="D1909">
        <v>13466.53</v>
      </c>
      <c r="K1909" s="42"/>
      <c r="L1909" s="14"/>
    </row>
    <row r="1910" spans="2:12" x14ac:dyDescent="0.25">
      <c r="B1910" s="42">
        <v>43000</v>
      </c>
      <c r="D1910">
        <v>13591.79</v>
      </c>
      <c r="K1910" s="42"/>
      <c r="L1910" s="14"/>
    </row>
    <row r="1911" spans="2:12" x14ac:dyDescent="0.25">
      <c r="B1911" s="42">
        <v>42999</v>
      </c>
      <c r="D1911">
        <v>13806.6</v>
      </c>
      <c r="K1911" s="42"/>
      <c r="L1911" s="14"/>
    </row>
    <row r="1912" spans="2:12" x14ac:dyDescent="0.25">
      <c r="B1912" s="42">
        <v>42998</v>
      </c>
      <c r="D1912">
        <v>13832.04</v>
      </c>
      <c r="K1912" s="42"/>
      <c r="L1912" s="14"/>
    </row>
    <row r="1913" spans="2:12" x14ac:dyDescent="0.25">
      <c r="B1913" s="42">
        <v>42997</v>
      </c>
      <c r="D1913">
        <v>13840.78</v>
      </c>
      <c r="K1913" s="42"/>
      <c r="L1913" s="14"/>
    </row>
    <row r="1914" spans="2:12" x14ac:dyDescent="0.25">
      <c r="B1914" s="42">
        <v>42996</v>
      </c>
      <c r="D1914">
        <v>13848.34</v>
      </c>
      <c r="K1914" s="42"/>
      <c r="L1914" s="14"/>
    </row>
    <row r="1915" spans="2:12" x14ac:dyDescent="0.25">
      <c r="B1915" s="42">
        <v>42993</v>
      </c>
      <c r="D1915">
        <v>13754.62</v>
      </c>
      <c r="K1915" s="42"/>
      <c r="L1915" s="14"/>
    </row>
    <row r="1916" spans="2:12" x14ac:dyDescent="0.25">
      <c r="B1916" s="42">
        <v>42992</v>
      </c>
      <c r="D1916">
        <v>13756.28</v>
      </c>
      <c r="K1916" s="42"/>
      <c r="L1916" s="14"/>
    </row>
    <row r="1917" spans="2:12" x14ac:dyDescent="0.25">
      <c r="B1917" s="42">
        <v>42991</v>
      </c>
      <c r="D1917">
        <v>13746.3</v>
      </c>
      <c r="K1917" s="42"/>
      <c r="L1917" s="14"/>
    </row>
    <row r="1918" spans="2:12" x14ac:dyDescent="0.25">
      <c r="B1918" s="42">
        <v>42990</v>
      </c>
      <c r="D1918">
        <v>13765.03</v>
      </c>
      <c r="K1918" s="42"/>
      <c r="L1918" s="14"/>
    </row>
    <row r="1919" spans="2:12" x14ac:dyDescent="0.25">
      <c r="B1919" s="42">
        <v>42989</v>
      </c>
      <c r="D1919">
        <v>13646.37</v>
      </c>
      <c r="K1919" s="42"/>
      <c r="L1919" s="14"/>
    </row>
    <row r="1920" spans="2:12" x14ac:dyDescent="0.25">
      <c r="B1920" s="42">
        <v>42986</v>
      </c>
      <c r="D1920">
        <v>13546.57</v>
      </c>
      <c r="K1920" s="42"/>
      <c r="L1920" s="14"/>
    </row>
    <row r="1921" spans="2:12" x14ac:dyDescent="0.25">
      <c r="B1921" s="42">
        <v>42985</v>
      </c>
      <c r="D1921">
        <v>13539.91</v>
      </c>
      <c r="K1921" s="42"/>
      <c r="L1921" s="14"/>
    </row>
    <row r="1922" spans="2:12" x14ac:dyDescent="0.25">
      <c r="B1922" s="42">
        <v>42984</v>
      </c>
      <c r="D1922">
        <v>13519.3</v>
      </c>
      <c r="K1922" s="42"/>
      <c r="L1922" s="14"/>
    </row>
    <row r="1923" spans="2:12" x14ac:dyDescent="0.25">
      <c r="B1923" s="42">
        <v>42983</v>
      </c>
      <c r="D1923">
        <v>13568.38</v>
      </c>
      <c r="K1923" s="42"/>
      <c r="L1923" s="14"/>
    </row>
    <row r="1924" spans="2:12" x14ac:dyDescent="0.25">
      <c r="B1924" s="42">
        <v>42982</v>
      </c>
      <c r="D1924">
        <v>13514.16</v>
      </c>
      <c r="K1924" s="42"/>
      <c r="L1924" s="14"/>
    </row>
    <row r="1925" spans="2:12" x14ac:dyDescent="0.25">
      <c r="B1925" s="42">
        <v>42979</v>
      </c>
      <c r="D1925">
        <v>13598.09</v>
      </c>
      <c r="K1925" s="42"/>
      <c r="L1925" s="14"/>
    </row>
    <row r="1926" spans="2:12" x14ac:dyDescent="0.25">
      <c r="B1926" s="42">
        <v>42978</v>
      </c>
      <c r="D1926">
        <v>13521.03</v>
      </c>
      <c r="K1926" s="42"/>
      <c r="L1926" s="14"/>
    </row>
    <row r="1927" spans="2:12" x14ac:dyDescent="0.25">
      <c r="B1927" s="42">
        <v>42977</v>
      </c>
      <c r="D1927">
        <v>13474.73</v>
      </c>
      <c r="K1927" s="42"/>
      <c r="L1927" s="14"/>
    </row>
    <row r="1928" spans="2:12" x14ac:dyDescent="0.25">
      <c r="B1928" s="42">
        <v>42976</v>
      </c>
      <c r="D1928">
        <v>13354.29</v>
      </c>
      <c r="K1928" s="42"/>
      <c r="L1928" s="14"/>
    </row>
    <row r="1929" spans="2:12" x14ac:dyDescent="0.25">
      <c r="B1929" s="42">
        <v>42975</v>
      </c>
      <c r="D1929">
        <v>13513.48</v>
      </c>
      <c r="K1929" s="42"/>
      <c r="L1929" s="14"/>
    </row>
    <row r="1930" spans="2:12" x14ac:dyDescent="0.25">
      <c r="B1930" s="42">
        <v>42971</v>
      </c>
      <c r="D1930">
        <v>13437.45</v>
      </c>
      <c r="K1930" s="42"/>
      <c r="L1930" s="14"/>
    </row>
    <row r="1931" spans="2:12" x14ac:dyDescent="0.25">
      <c r="B1931" s="42">
        <v>42970</v>
      </c>
      <c r="D1931">
        <v>13427.67</v>
      </c>
      <c r="K1931" s="42"/>
      <c r="L1931" s="14"/>
    </row>
    <row r="1932" spans="2:12" x14ac:dyDescent="0.25">
      <c r="B1932" s="42">
        <v>42969</v>
      </c>
      <c r="D1932">
        <v>13309.14</v>
      </c>
      <c r="K1932" s="42"/>
      <c r="L1932" s="14"/>
    </row>
    <row r="1933" spans="2:12" x14ac:dyDescent="0.25">
      <c r="B1933" s="42">
        <v>42968</v>
      </c>
      <c r="D1933">
        <v>13293.88</v>
      </c>
      <c r="K1933" s="42"/>
      <c r="L1933" s="14"/>
    </row>
    <row r="1934" spans="2:12" x14ac:dyDescent="0.25">
      <c r="B1934" s="42">
        <v>42965</v>
      </c>
      <c r="D1934">
        <v>13407.07</v>
      </c>
      <c r="K1934" s="42"/>
      <c r="L1934" s="14"/>
    </row>
    <row r="1935" spans="2:12" x14ac:dyDescent="0.25">
      <c r="B1935" s="42">
        <v>42964</v>
      </c>
      <c r="D1935">
        <v>13497.69</v>
      </c>
      <c r="K1935" s="42"/>
      <c r="L1935" s="14"/>
    </row>
    <row r="1936" spans="2:12" x14ac:dyDescent="0.25">
      <c r="B1936" s="42">
        <v>42963</v>
      </c>
      <c r="D1936">
        <v>13488.33</v>
      </c>
      <c r="K1936" s="42"/>
      <c r="L1936" s="14"/>
    </row>
    <row r="1937" spans="2:12" x14ac:dyDescent="0.25">
      <c r="B1937" s="42">
        <v>42961</v>
      </c>
      <c r="D1937">
        <v>13347.75</v>
      </c>
      <c r="K1937" s="42"/>
      <c r="L1937" s="14"/>
    </row>
    <row r="1938" spans="2:12" x14ac:dyDescent="0.25">
      <c r="B1938" s="42">
        <v>42958</v>
      </c>
      <c r="D1938">
        <v>13234.2</v>
      </c>
      <c r="K1938" s="42"/>
      <c r="L1938" s="14"/>
    </row>
    <row r="1939" spans="2:12" x14ac:dyDescent="0.25">
      <c r="B1939" s="42">
        <v>42957</v>
      </c>
      <c r="D1939">
        <v>13377.05</v>
      </c>
      <c r="K1939" s="42"/>
      <c r="L1939" s="14"/>
    </row>
    <row r="1940" spans="2:12" x14ac:dyDescent="0.25">
      <c r="B1940" s="42">
        <v>42956</v>
      </c>
      <c r="D1940">
        <v>13495.81</v>
      </c>
      <c r="K1940" s="42"/>
      <c r="L1940" s="14"/>
    </row>
    <row r="1941" spans="2:12" x14ac:dyDescent="0.25">
      <c r="B1941" s="42">
        <v>42955</v>
      </c>
      <c r="D1941">
        <v>13591.81</v>
      </c>
      <c r="K1941" s="42"/>
      <c r="L1941" s="14"/>
    </row>
    <row r="1942" spans="2:12" x14ac:dyDescent="0.25">
      <c r="B1942" s="42">
        <v>42954</v>
      </c>
      <c r="D1942">
        <v>13699.21</v>
      </c>
      <c r="K1942" s="42"/>
      <c r="L1942" s="14"/>
    </row>
    <row r="1943" spans="2:12" x14ac:dyDescent="0.25">
      <c r="B1943" s="42">
        <v>42951</v>
      </c>
      <c r="D1943">
        <v>13711.47</v>
      </c>
      <c r="K1943" s="42"/>
      <c r="L1943" s="14"/>
    </row>
    <row r="1944" spans="2:12" x14ac:dyDescent="0.25">
      <c r="B1944" s="42">
        <v>42950</v>
      </c>
      <c r="D1944">
        <v>13639.66</v>
      </c>
      <c r="K1944" s="42"/>
      <c r="L1944" s="14"/>
    </row>
    <row r="1945" spans="2:12" x14ac:dyDescent="0.25">
      <c r="B1945" s="42">
        <v>42949</v>
      </c>
      <c r="D1945">
        <v>13731.63</v>
      </c>
      <c r="K1945" s="42"/>
      <c r="L1945" s="14"/>
    </row>
    <row r="1946" spans="2:12" x14ac:dyDescent="0.25">
      <c r="B1946" s="42">
        <v>42948</v>
      </c>
      <c r="D1946">
        <v>13775.33</v>
      </c>
      <c r="K1946" s="42"/>
      <c r="L1946" s="14"/>
    </row>
    <row r="1947" spans="2:12" x14ac:dyDescent="0.25">
      <c r="B1947" s="42">
        <v>42947</v>
      </c>
      <c r="D1947">
        <v>13724.19</v>
      </c>
      <c r="K1947" s="42"/>
      <c r="L1947" s="14"/>
    </row>
    <row r="1948" spans="2:12" x14ac:dyDescent="0.25">
      <c r="B1948" s="42">
        <v>42944</v>
      </c>
      <c r="D1948">
        <v>13638.1</v>
      </c>
      <c r="K1948" s="42"/>
      <c r="L1948" s="14"/>
    </row>
    <row r="1949" spans="2:12" x14ac:dyDescent="0.25">
      <c r="B1949" s="42">
        <v>42943</v>
      </c>
      <c r="D1949">
        <v>13646.34</v>
      </c>
      <c r="K1949" s="42"/>
      <c r="L1949" s="14"/>
    </row>
    <row r="1950" spans="2:12" x14ac:dyDescent="0.25">
      <c r="B1950" s="42">
        <v>42942</v>
      </c>
      <c r="D1950">
        <v>13644.46</v>
      </c>
      <c r="K1950" s="42"/>
      <c r="L1950" s="14"/>
    </row>
    <row r="1951" spans="2:12" x14ac:dyDescent="0.25">
      <c r="B1951" s="42">
        <v>42941</v>
      </c>
      <c r="D1951">
        <v>13567.66</v>
      </c>
      <c r="K1951" s="42"/>
      <c r="L1951" s="14"/>
    </row>
    <row r="1952" spans="2:12" x14ac:dyDescent="0.25">
      <c r="B1952" s="42">
        <v>42940</v>
      </c>
      <c r="D1952">
        <v>13569.88</v>
      </c>
      <c r="K1952" s="42"/>
      <c r="L1952" s="14"/>
    </row>
    <row r="1953" spans="2:12" x14ac:dyDescent="0.25">
      <c r="B1953" s="42">
        <v>42937</v>
      </c>
      <c r="D1953">
        <v>13498.25</v>
      </c>
      <c r="K1953" s="42"/>
      <c r="L1953" s="14"/>
    </row>
    <row r="1954" spans="2:12" x14ac:dyDescent="0.25">
      <c r="B1954" s="42">
        <v>42936</v>
      </c>
      <c r="D1954">
        <v>13441.11</v>
      </c>
      <c r="K1954" s="42"/>
      <c r="L1954" s="14"/>
    </row>
    <row r="1955" spans="2:12" x14ac:dyDescent="0.25">
      <c r="B1955" s="42">
        <v>42935</v>
      </c>
      <c r="D1955">
        <v>13473.52</v>
      </c>
      <c r="K1955" s="42"/>
      <c r="L1955" s="14"/>
    </row>
    <row r="1956" spans="2:12" x14ac:dyDescent="0.25">
      <c r="B1956" s="42">
        <v>42934</v>
      </c>
      <c r="D1956">
        <v>13374.92</v>
      </c>
      <c r="K1956" s="42"/>
      <c r="L1956" s="14"/>
    </row>
    <row r="1957" spans="2:12" x14ac:dyDescent="0.25">
      <c r="B1957" s="42">
        <v>42933</v>
      </c>
      <c r="D1957">
        <v>13494.64</v>
      </c>
      <c r="K1957" s="42"/>
      <c r="L1957" s="14"/>
    </row>
    <row r="1958" spans="2:12" x14ac:dyDescent="0.25">
      <c r="B1958" s="42">
        <v>42930</v>
      </c>
      <c r="D1958">
        <v>13453.49</v>
      </c>
      <c r="K1958" s="42"/>
      <c r="L1958" s="14"/>
    </row>
    <row r="1959" spans="2:12" x14ac:dyDescent="0.25">
      <c r="B1959" s="42">
        <v>42929</v>
      </c>
      <c r="D1959">
        <v>13452.22</v>
      </c>
      <c r="K1959" s="42"/>
      <c r="L1959" s="14"/>
    </row>
    <row r="1960" spans="2:12" x14ac:dyDescent="0.25">
      <c r="B1960" s="42">
        <v>42928</v>
      </c>
      <c r="D1960">
        <v>13340.24</v>
      </c>
      <c r="K1960" s="42"/>
      <c r="L1960" s="14"/>
    </row>
    <row r="1961" spans="2:12" x14ac:dyDescent="0.25">
      <c r="B1961" s="42">
        <v>42927</v>
      </c>
      <c r="D1961">
        <v>13299.17</v>
      </c>
      <c r="K1961" s="42"/>
      <c r="L1961" s="14"/>
    </row>
    <row r="1962" spans="2:12" x14ac:dyDescent="0.25">
      <c r="B1962" s="42">
        <v>42926</v>
      </c>
      <c r="D1962">
        <v>13278.81</v>
      </c>
      <c r="K1962" s="42"/>
      <c r="L1962" s="14"/>
    </row>
    <row r="1963" spans="2:12" x14ac:dyDescent="0.25">
      <c r="B1963" s="42">
        <v>42923</v>
      </c>
      <c r="D1963">
        <v>13135.35</v>
      </c>
      <c r="K1963" s="42"/>
      <c r="L1963" s="14"/>
    </row>
    <row r="1964" spans="2:12" x14ac:dyDescent="0.25">
      <c r="B1964" s="42">
        <v>42922</v>
      </c>
      <c r="D1964">
        <v>13147.27</v>
      </c>
      <c r="K1964" s="42"/>
      <c r="L1964" s="14"/>
    </row>
    <row r="1965" spans="2:12" x14ac:dyDescent="0.25">
      <c r="B1965" s="42">
        <v>42921</v>
      </c>
      <c r="D1965">
        <v>13091.36</v>
      </c>
      <c r="K1965" s="42"/>
      <c r="L1965" s="14"/>
    </row>
    <row r="1966" spans="2:12" x14ac:dyDescent="0.25">
      <c r="B1966" s="42">
        <v>42920</v>
      </c>
      <c r="D1966">
        <v>13057.86</v>
      </c>
      <c r="K1966" s="42"/>
      <c r="L1966" s="14"/>
    </row>
    <row r="1967" spans="2:12" x14ac:dyDescent="0.25">
      <c r="B1967" s="42">
        <v>42919</v>
      </c>
      <c r="D1967">
        <v>13060.15</v>
      </c>
      <c r="K1967" s="42"/>
      <c r="L1967" s="14"/>
    </row>
    <row r="1968" spans="2:12" x14ac:dyDescent="0.25">
      <c r="B1968" s="42">
        <v>42916</v>
      </c>
      <c r="D1968">
        <v>12932.33</v>
      </c>
      <c r="K1968" s="42"/>
      <c r="L1968" s="14"/>
    </row>
    <row r="1969" spans="2:12" x14ac:dyDescent="0.25">
      <c r="B1969" s="42">
        <v>42915</v>
      </c>
      <c r="D1969">
        <v>12908.13</v>
      </c>
      <c r="K1969" s="42"/>
      <c r="L1969" s="14"/>
    </row>
    <row r="1970" spans="2:12" x14ac:dyDescent="0.25">
      <c r="B1970" s="42">
        <v>42914</v>
      </c>
      <c r="D1970">
        <v>12882.7</v>
      </c>
      <c r="K1970" s="42"/>
      <c r="L1970" s="14"/>
    </row>
    <row r="1971" spans="2:12" x14ac:dyDescent="0.25">
      <c r="B1971" s="42">
        <v>42913</v>
      </c>
      <c r="D1971">
        <v>12910.01</v>
      </c>
      <c r="K1971" s="42"/>
      <c r="L1971" s="14"/>
    </row>
    <row r="1972" spans="2:12" x14ac:dyDescent="0.25">
      <c r="B1972" s="42">
        <v>42909</v>
      </c>
      <c r="D1972">
        <v>12996.3</v>
      </c>
      <c r="K1972" s="42"/>
      <c r="L1972" s="14"/>
    </row>
    <row r="1973" spans="2:12" x14ac:dyDescent="0.25">
      <c r="B1973" s="42">
        <v>42908</v>
      </c>
      <c r="D1973">
        <v>13070.98</v>
      </c>
      <c r="K1973" s="42"/>
      <c r="L1973" s="14"/>
    </row>
    <row r="1974" spans="2:12" x14ac:dyDescent="0.25">
      <c r="B1974" s="42">
        <v>42907</v>
      </c>
      <c r="D1974">
        <v>13072.91</v>
      </c>
      <c r="K1974" s="42"/>
      <c r="L1974" s="14"/>
    </row>
    <row r="1975" spans="2:12" x14ac:dyDescent="0.25">
      <c r="B1975" s="42">
        <v>42906</v>
      </c>
      <c r="D1975">
        <v>13099.92</v>
      </c>
      <c r="K1975" s="42"/>
      <c r="L1975" s="14"/>
    </row>
    <row r="1976" spans="2:12" x14ac:dyDescent="0.25">
      <c r="B1976" s="42">
        <v>42905</v>
      </c>
      <c r="D1976">
        <v>13100.15</v>
      </c>
      <c r="K1976" s="42"/>
      <c r="L1976" s="14"/>
    </row>
    <row r="1977" spans="2:12" x14ac:dyDescent="0.25">
      <c r="B1977" s="42">
        <v>42902</v>
      </c>
      <c r="D1977">
        <v>13005.86</v>
      </c>
      <c r="K1977" s="42"/>
      <c r="L1977" s="14"/>
    </row>
    <row r="1978" spans="2:12" x14ac:dyDescent="0.25">
      <c r="B1978" s="42">
        <v>42901</v>
      </c>
      <c r="D1978">
        <v>12992.34</v>
      </c>
      <c r="K1978" s="42"/>
      <c r="L1978" s="14"/>
    </row>
    <row r="1979" spans="2:12" x14ac:dyDescent="0.25">
      <c r="B1979" s="42">
        <v>42900</v>
      </c>
      <c r="D1979">
        <v>13045.44</v>
      </c>
      <c r="K1979" s="42"/>
      <c r="L1979" s="14"/>
    </row>
    <row r="1980" spans="2:12" x14ac:dyDescent="0.25">
      <c r="B1980" s="42">
        <v>42899</v>
      </c>
      <c r="D1980">
        <v>13030.22</v>
      </c>
      <c r="K1980" s="42"/>
      <c r="L1980" s="14"/>
    </row>
    <row r="1981" spans="2:12" x14ac:dyDescent="0.25">
      <c r="B1981" s="42">
        <v>42898</v>
      </c>
      <c r="D1981">
        <v>13037.83</v>
      </c>
      <c r="K1981" s="42"/>
      <c r="L1981" s="14"/>
    </row>
    <row r="1982" spans="2:12" x14ac:dyDescent="0.25">
      <c r="B1982" s="42">
        <v>42895</v>
      </c>
      <c r="D1982">
        <v>13108.12</v>
      </c>
      <c r="K1982" s="42"/>
      <c r="L1982" s="14"/>
    </row>
    <row r="1983" spans="2:12" x14ac:dyDescent="0.25">
      <c r="B1983" s="42">
        <v>42894</v>
      </c>
      <c r="D1983">
        <v>13079.63</v>
      </c>
      <c r="K1983" s="42"/>
      <c r="L1983" s="14"/>
    </row>
    <row r="1984" spans="2:12" x14ac:dyDescent="0.25">
      <c r="B1984" s="42">
        <v>42893</v>
      </c>
      <c r="D1984">
        <v>13101.62</v>
      </c>
      <c r="K1984" s="42"/>
      <c r="L1984" s="14"/>
    </row>
    <row r="1985" spans="2:12" x14ac:dyDescent="0.25">
      <c r="B1985" s="42">
        <v>42892</v>
      </c>
      <c r="D1985">
        <v>13065.33</v>
      </c>
      <c r="K1985" s="42"/>
      <c r="L1985" s="14"/>
    </row>
    <row r="1986" spans="2:12" x14ac:dyDescent="0.25">
      <c r="B1986" s="42">
        <v>42891</v>
      </c>
      <c r="D1986">
        <v>13116.78</v>
      </c>
      <c r="K1986" s="42"/>
      <c r="L1986" s="14"/>
    </row>
    <row r="1987" spans="2:12" x14ac:dyDescent="0.25">
      <c r="B1987" s="42">
        <v>42888</v>
      </c>
      <c r="D1987">
        <v>13072.98</v>
      </c>
      <c r="K1987" s="42"/>
      <c r="L1987" s="14"/>
    </row>
    <row r="1988" spans="2:12" x14ac:dyDescent="0.25">
      <c r="B1988" s="42">
        <v>42887</v>
      </c>
      <c r="D1988">
        <v>13022.35</v>
      </c>
      <c r="K1988" s="42"/>
      <c r="L1988" s="14"/>
    </row>
    <row r="1989" spans="2:12" x14ac:dyDescent="0.25">
      <c r="B1989" s="42">
        <v>42886</v>
      </c>
      <c r="D1989">
        <v>13018.69</v>
      </c>
      <c r="K1989" s="42"/>
      <c r="L1989" s="14"/>
    </row>
    <row r="1990" spans="2:12" x14ac:dyDescent="0.25">
      <c r="B1990" s="42">
        <v>42885</v>
      </c>
      <c r="D1990">
        <v>13023.19</v>
      </c>
      <c r="K1990" s="42"/>
      <c r="L1990" s="14"/>
    </row>
    <row r="1991" spans="2:12" x14ac:dyDescent="0.25">
      <c r="B1991" s="42">
        <v>42884</v>
      </c>
      <c r="D1991">
        <v>12996.61</v>
      </c>
      <c r="K1991" s="42"/>
      <c r="L1991" s="14"/>
    </row>
    <row r="1992" spans="2:12" x14ac:dyDescent="0.25">
      <c r="B1992" s="42">
        <v>42881</v>
      </c>
      <c r="D1992">
        <v>12981.79</v>
      </c>
      <c r="K1992" s="42"/>
      <c r="L1992" s="14"/>
    </row>
    <row r="1993" spans="2:12" x14ac:dyDescent="0.25">
      <c r="B1993" s="42">
        <v>42880</v>
      </c>
      <c r="D1993">
        <v>12863.38</v>
      </c>
      <c r="K1993" s="42"/>
      <c r="L1993" s="14"/>
    </row>
    <row r="1994" spans="2:12" x14ac:dyDescent="0.25">
      <c r="B1994" s="42">
        <v>42879</v>
      </c>
      <c r="D1994">
        <v>12661.62</v>
      </c>
      <c r="K1994" s="42"/>
      <c r="L1994" s="14"/>
    </row>
    <row r="1995" spans="2:12" x14ac:dyDescent="0.25">
      <c r="B1995" s="42">
        <v>42878</v>
      </c>
      <c r="D1995">
        <v>12695.02</v>
      </c>
      <c r="K1995" s="42"/>
      <c r="L1995" s="14"/>
    </row>
    <row r="1996" spans="2:12" x14ac:dyDescent="0.25">
      <c r="B1996" s="42">
        <v>42877</v>
      </c>
      <c r="D1996">
        <v>12765.48</v>
      </c>
      <c r="K1996" s="42"/>
      <c r="L1996" s="14"/>
    </row>
    <row r="1997" spans="2:12" x14ac:dyDescent="0.25">
      <c r="B1997" s="42">
        <v>42874</v>
      </c>
      <c r="D1997">
        <v>12751.43</v>
      </c>
      <c r="K1997" s="42"/>
      <c r="L1997" s="14"/>
    </row>
    <row r="1998" spans="2:12" x14ac:dyDescent="0.25">
      <c r="B1998" s="42">
        <v>42873</v>
      </c>
      <c r="D1998">
        <v>12753.55</v>
      </c>
      <c r="K1998" s="42"/>
      <c r="L1998" s="14"/>
    </row>
    <row r="1999" spans="2:12" x14ac:dyDescent="0.25">
      <c r="B1999" s="42">
        <v>42872</v>
      </c>
      <c r="D1999">
        <v>12883.83</v>
      </c>
      <c r="K1999" s="42"/>
      <c r="L1999" s="14"/>
    </row>
    <row r="2000" spans="2:12" x14ac:dyDescent="0.25">
      <c r="B2000" s="42">
        <v>42871</v>
      </c>
      <c r="D2000">
        <v>12865.56</v>
      </c>
      <c r="K2000" s="42"/>
      <c r="L2000" s="14"/>
    </row>
    <row r="2001" spans="2:12" x14ac:dyDescent="0.25">
      <c r="B2001" s="42">
        <v>42870</v>
      </c>
      <c r="D2001">
        <v>12775.11</v>
      </c>
      <c r="K2001" s="42"/>
      <c r="L2001" s="14"/>
    </row>
    <row r="2002" spans="2:12" x14ac:dyDescent="0.25">
      <c r="B2002" s="42">
        <v>42867</v>
      </c>
      <c r="D2002">
        <v>12714.97</v>
      </c>
      <c r="K2002" s="42"/>
      <c r="L2002" s="14"/>
    </row>
    <row r="2003" spans="2:12" x14ac:dyDescent="0.25">
      <c r="B2003" s="42">
        <v>42866</v>
      </c>
      <c r="D2003">
        <v>12743.99</v>
      </c>
      <c r="K2003" s="42"/>
      <c r="L2003" s="14"/>
    </row>
    <row r="2004" spans="2:12" x14ac:dyDescent="0.25">
      <c r="B2004" s="42">
        <v>42865</v>
      </c>
      <c r="D2004">
        <v>12723.6</v>
      </c>
      <c r="K2004" s="42"/>
      <c r="L2004" s="14"/>
    </row>
    <row r="2005" spans="2:12" x14ac:dyDescent="0.25">
      <c r="B2005" s="42">
        <v>42864</v>
      </c>
      <c r="D2005">
        <v>12601.23</v>
      </c>
      <c r="K2005" s="42"/>
      <c r="L2005" s="14"/>
    </row>
    <row r="2006" spans="2:12" x14ac:dyDescent="0.25">
      <c r="B2006" s="42">
        <v>42863</v>
      </c>
      <c r="D2006">
        <v>12597.5</v>
      </c>
      <c r="K2006" s="42"/>
      <c r="L2006" s="14"/>
    </row>
    <row r="2007" spans="2:12" x14ac:dyDescent="0.25">
      <c r="B2007" s="42">
        <v>42860</v>
      </c>
      <c r="D2007">
        <v>12558.6</v>
      </c>
      <c r="K2007" s="42"/>
      <c r="L2007" s="14"/>
    </row>
    <row r="2008" spans="2:12" x14ac:dyDescent="0.25">
      <c r="B2008" s="42">
        <v>42859</v>
      </c>
      <c r="D2008">
        <v>12659.51</v>
      </c>
      <c r="K2008" s="42"/>
      <c r="L2008" s="14"/>
    </row>
    <row r="2009" spans="2:12" x14ac:dyDescent="0.25">
      <c r="B2009" s="42">
        <v>42858</v>
      </c>
      <c r="D2009">
        <v>12593.58</v>
      </c>
      <c r="K2009" s="42"/>
      <c r="L2009" s="14"/>
    </row>
    <row r="2010" spans="2:12" x14ac:dyDescent="0.25">
      <c r="B2010" s="42">
        <v>42857</v>
      </c>
      <c r="D2010">
        <v>12596.08</v>
      </c>
      <c r="K2010" s="42"/>
      <c r="L2010" s="14"/>
    </row>
    <row r="2011" spans="2:12" x14ac:dyDescent="0.25">
      <c r="B2011" s="42">
        <v>42853</v>
      </c>
      <c r="D2011">
        <v>12582.88</v>
      </c>
      <c r="K2011" s="42"/>
      <c r="L2011" s="14"/>
    </row>
    <row r="2012" spans="2:12" x14ac:dyDescent="0.25">
      <c r="B2012" s="42">
        <v>42852</v>
      </c>
      <c r="D2012">
        <v>12634.41</v>
      </c>
      <c r="K2012" s="42"/>
      <c r="L2012" s="14"/>
    </row>
    <row r="2013" spans="2:12" x14ac:dyDescent="0.25">
      <c r="B2013" s="42">
        <v>42851</v>
      </c>
      <c r="D2013">
        <v>12647.53</v>
      </c>
      <c r="K2013" s="42"/>
      <c r="L2013" s="14"/>
    </row>
    <row r="2014" spans="2:12" x14ac:dyDescent="0.25">
      <c r="B2014" s="42">
        <v>42850</v>
      </c>
      <c r="D2014">
        <v>12586.34</v>
      </c>
      <c r="K2014" s="42"/>
      <c r="L2014" s="14"/>
    </row>
    <row r="2015" spans="2:12" x14ac:dyDescent="0.25">
      <c r="B2015" s="42">
        <v>42849</v>
      </c>
      <c r="D2015">
        <v>12466.46</v>
      </c>
      <c r="K2015" s="42"/>
      <c r="L2015" s="14"/>
    </row>
    <row r="2016" spans="2:12" x14ac:dyDescent="0.25">
      <c r="B2016" s="42">
        <v>42846</v>
      </c>
      <c r="D2016">
        <v>12333.17</v>
      </c>
      <c r="K2016" s="42"/>
      <c r="L2016" s="14"/>
    </row>
    <row r="2017" spans="2:12" x14ac:dyDescent="0.25">
      <c r="B2017" s="42">
        <v>42845</v>
      </c>
      <c r="D2017">
        <v>12356.2</v>
      </c>
      <c r="K2017" s="42"/>
      <c r="L2017" s="14"/>
    </row>
    <row r="2018" spans="2:12" x14ac:dyDescent="0.25">
      <c r="B2018" s="42">
        <v>42844</v>
      </c>
      <c r="D2018">
        <v>12311.67</v>
      </c>
      <c r="K2018" s="42"/>
      <c r="L2018" s="14"/>
    </row>
    <row r="2019" spans="2:12" x14ac:dyDescent="0.25">
      <c r="B2019" s="42">
        <v>42843</v>
      </c>
      <c r="D2019">
        <v>12313.9</v>
      </c>
      <c r="K2019" s="42"/>
      <c r="L2019" s="14"/>
    </row>
    <row r="2020" spans="2:12" x14ac:dyDescent="0.25">
      <c r="B2020" s="42">
        <v>42842</v>
      </c>
      <c r="D2020">
        <v>12360.11</v>
      </c>
      <c r="K2020" s="42"/>
      <c r="L2020" s="14"/>
    </row>
    <row r="2021" spans="2:12" x14ac:dyDescent="0.25">
      <c r="B2021" s="42">
        <v>42838</v>
      </c>
      <c r="D2021">
        <v>12375.68</v>
      </c>
      <c r="K2021" s="42"/>
      <c r="L2021" s="14"/>
    </row>
    <row r="2022" spans="2:12" x14ac:dyDescent="0.25">
      <c r="B2022" s="42">
        <v>42837</v>
      </c>
      <c r="D2022">
        <v>12446.84</v>
      </c>
      <c r="K2022" s="42"/>
      <c r="L2022" s="14"/>
    </row>
    <row r="2023" spans="2:12" x14ac:dyDescent="0.25">
      <c r="B2023" s="42">
        <v>42836</v>
      </c>
      <c r="D2023">
        <v>12492.24</v>
      </c>
      <c r="K2023" s="42"/>
      <c r="L2023" s="14"/>
    </row>
    <row r="2024" spans="2:12" x14ac:dyDescent="0.25">
      <c r="B2024" s="42">
        <v>42835</v>
      </c>
      <c r="D2024">
        <v>12417.07</v>
      </c>
      <c r="K2024" s="42"/>
      <c r="L2024" s="14"/>
    </row>
    <row r="2025" spans="2:12" x14ac:dyDescent="0.25">
      <c r="B2025" s="42">
        <v>42832</v>
      </c>
      <c r="D2025">
        <v>12439.9</v>
      </c>
      <c r="K2025" s="42"/>
      <c r="L2025" s="14"/>
    </row>
    <row r="2026" spans="2:12" x14ac:dyDescent="0.25">
      <c r="B2026" s="42">
        <v>42831</v>
      </c>
      <c r="D2026">
        <v>12525.97</v>
      </c>
      <c r="K2026" s="42"/>
      <c r="L2026" s="14"/>
    </row>
    <row r="2027" spans="2:12" x14ac:dyDescent="0.25">
      <c r="B2027" s="42">
        <v>42830</v>
      </c>
      <c r="D2027">
        <v>12530.31</v>
      </c>
      <c r="K2027" s="42"/>
      <c r="L2027" s="14"/>
    </row>
    <row r="2028" spans="2:12" x14ac:dyDescent="0.25">
      <c r="B2028" s="42">
        <v>42828</v>
      </c>
      <c r="D2028">
        <v>12493.39</v>
      </c>
      <c r="K2028" s="42"/>
      <c r="L2028" s="14"/>
    </row>
    <row r="2029" spans="2:12" x14ac:dyDescent="0.25">
      <c r="B2029" s="42">
        <v>42825</v>
      </c>
      <c r="D2029">
        <v>12406.69</v>
      </c>
      <c r="K2029" s="42"/>
      <c r="L2029" s="14"/>
    </row>
    <row r="2030" spans="2:12" x14ac:dyDescent="0.25">
      <c r="B2030" s="42">
        <v>42824</v>
      </c>
      <c r="D2030">
        <v>12404.41</v>
      </c>
      <c r="K2030" s="42"/>
      <c r="L2030" s="14"/>
    </row>
    <row r="2031" spans="2:12" x14ac:dyDescent="0.25">
      <c r="B2031" s="42">
        <v>42823</v>
      </c>
      <c r="D2031">
        <v>12363.95</v>
      </c>
      <c r="K2031" s="42"/>
      <c r="L2031" s="14"/>
    </row>
    <row r="2032" spans="2:12" x14ac:dyDescent="0.25">
      <c r="B2032" s="42">
        <v>42822</v>
      </c>
      <c r="D2032">
        <v>12305.77</v>
      </c>
      <c r="K2032" s="42"/>
      <c r="L2032" s="14"/>
    </row>
    <row r="2033" spans="2:12" x14ac:dyDescent="0.25">
      <c r="B2033" s="42">
        <v>42821</v>
      </c>
      <c r="D2033">
        <v>12230.63</v>
      </c>
      <c r="K2033" s="42"/>
      <c r="L2033" s="14"/>
    </row>
    <row r="2034" spans="2:12" x14ac:dyDescent="0.25">
      <c r="B2034" s="42">
        <v>42818</v>
      </c>
      <c r="D2034">
        <v>12314.98</v>
      </c>
      <c r="K2034" s="42"/>
      <c r="L2034" s="14"/>
    </row>
    <row r="2035" spans="2:12" x14ac:dyDescent="0.25">
      <c r="B2035" s="42">
        <v>42817</v>
      </c>
      <c r="D2035">
        <v>12283.35</v>
      </c>
      <c r="K2035" s="42"/>
      <c r="L2035" s="14"/>
    </row>
    <row r="2036" spans="2:12" x14ac:dyDescent="0.25">
      <c r="B2036" s="42">
        <v>42816</v>
      </c>
      <c r="D2036">
        <v>12207.85</v>
      </c>
      <c r="K2036" s="42"/>
      <c r="L2036" s="14"/>
    </row>
    <row r="2037" spans="2:12" x14ac:dyDescent="0.25">
      <c r="B2037" s="42">
        <v>42815</v>
      </c>
      <c r="D2037">
        <v>12330.92</v>
      </c>
      <c r="K2037" s="42"/>
      <c r="L2037" s="14"/>
    </row>
    <row r="2038" spans="2:12" x14ac:dyDescent="0.25">
      <c r="B2038" s="42">
        <v>42814</v>
      </c>
      <c r="D2038">
        <v>12338.14</v>
      </c>
      <c r="K2038" s="42"/>
      <c r="L2038" s="14"/>
    </row>
    <row r="2039" spans="2:12" x14ac:dyDescent="0.25">
      <c r="B2039" s="42">
        <v>42811</v>
      </c>
      <c r="D2039">
        <v>12383.04</v>
      </c>
      <c r="K2039" s="42"/>
      <c r="L2039" s="14"/>
    </row>
    <row r="2040" spans="2:12" x14ac:dyDescent="0.25">
      <c r="B2040" s="42">
        <v>42810</v>
      </c>
      <c r="D2040">
        <v>12374.48</v>
      </c>
      <c r="K2040" s="42"/>
      <c r="L2040" s="14"/>
    </row>
    <row r="2041" spans="2:12" x14ac:dyDescent="0.25">
      <c r="B2041" s="42">
        <v>42809</v>
      </c>
      <c r="D2041">
        <v>12278.23</v>
      </c>
      <c r="K2041" s="42"/>
      <c r="L2041" s="14"/>
    </row>
    <row r="2042" spans="2:12" x14ac:dyDescent="0.25">
      <c r="B2042" s="42">
        <v>42808</v>
      </c>
      <c r="D2042">
        <v>12281.22</v>
      </c>
      <c r="K2042" s="42"/>
      <c r="L2042" s="14"/>
    </row>
    <row r="2043" spans="2:12" x14ac:dyDescent="0.25">
      <c r="B2043" s="42">
        <v>42804</v>
      </c>
      <c r="D2043">
        <v>12066.4</v>
      </c>
      <c r="K2043" s="42"/>
      <c r="L2043" s="14"/>
    </row>
    <row r="2044" spans="2:12" x14ac:dyDescent="0.25">
      <c r="B2044" s="42">
        <v>42803</v>
      </c>
      <c r="D2044">
        <v>12056.17</v>
      </c>
      <c r="K2044" s="42"/>
      <c r="L2044" s="14"/>
    </row>
    <row r="2045" spans="2:12" x14ac:dyDescent="0.25">
      <c r="B2045" s="42">
        <v>42802</v>
      </c>
      <c r="D2045">
        <v>12050.77</v>
      </c>
      <c r="K2045" s="42"/>
      <c r="L2045" s="14"/>
    </row>
    <row r="2046" spans="2:12" x14ac:dyDescent="0.25">
      <c r="B2046" s="42">
        <v>42801</v>
      </c>
      <c r="D2046">
        <v>12081.34</v>
      </c>
      <c r="K2046" s="42"/>
      <c r="L2046" s="14"/>
    </row>
    <row r="2047" spans="2:12" x14ac:dyDescent="0.25">
      <c r="B2047" s="42">
        <v>42800</v>
      </c>
      <c r="D2047">
        <v>12103.68</v>
      </c>
      <c r="K2047" s="42"/>
      <c r="L2047" s="14"/>
    </row>
    <row r="2048" spans="2:12" x14ac:dyDescent="0.25">
      <c r="B2048" s="42">
        <v>42797</v>
      </c>
      <c r="D2048">
        <v>12014.7</v>
      </c>
      <c r="K2048" s="42"/>
      <c r="L2048" s="14"/>
    </row>
    <row r="2049" spans="2:12" x14ac:dyDescent="0.25">
      <c r="B2049" s="42">
        <v>42796</v>
      </c>
      <c r="D2049">
        <v>12017.63</v>
      </c>
      <c r="K2049" s="42"/>
      <c r="L2049" s="14"/>
    </row>
    <row r="2050" spans="2:12" x14ac:dyDescent="0.25">
      <c r="B2050" s="42">
        <v>42795</v>
      </c>
      <c r="D2050">
        <v>12079.8</v>
      </c>
      <c r="K2050" s="42"/>
      <c r="L2050" s="14"/>
    </row>
    <row r="2051" spans="2:12" x14ac:dyDescent="0.25">
      <c r="B2051" s="42">
        <v>42794</v>
      </c>
      <c r="D2051">
        <v>11990.44</v>
      </c>
      <c r="K2051" s="42"/>
      <c r="L2051" s="14"/>
    </row>
    <row r="2052" spans="2:12" x14ac:dyDescent="0.25">
      <c r="B2052" s="42">
        <v>42793</v>
      </c>
      <c r="D2052">
        <v>12009.8</v>
      </c>
      <c r="K2052" s="42"/>
      <c r="L2052" s="14"/>
    </row>
    <row r="2053" spans="2:12" x14ac:dyDescent="0.25">
      <c r="B2053" s="42">
        <v>42789</v>
      </c>
      <c r="D2053">
        <v>12067.61</v>
      </c>
      <c r="K2053" s="42"/>
      <c r="L2053" s="14"/>
    </row>
    <row r="2054" spans="2:12" x14ac:dyDescent="0.25">
      <c r="B2054" s="42">
        <v>42788</v>
      </c>
      <c r="D2054">
        <v>12050.54</v>
      </c>
      <c r="K2054" s="42"/>
      <c r="L2054" s="14"/>
    </row>
    <row r="2055" spans="2:12" x14ac:dyDescent="0.25">
      <c r="B2055" s="42">
        <v>42787</v>
      </c>
      <c r="D2055">
        <v>12024.88</v>
      </c>
      <c r="K2055" s="42"/>
      <c r="L2055" s="14"/>
    </row>
    <row r="2056" spans="2:12" x14ac:dyDescent="0.25">
      <c r="B2056" s="42">
        <v>42786</v>
      </c>
      <c r="D2056">
        <v>11986.21</v>
      </c>
      <c r="K2056" s="42"/>
      <c r="L2056" s="14"/>
    </row>
    <row r="2057" spans="2:12" x14ac:dyDescent="0.25">
      <c r="B2057" s="42">
        <v>42783</v>
      </c>
      <c r="D2057">
        <v>11908.56</v>
      </c>
      <c r="K2057" s="42"/>
      <c r="L2057" s="14"/>
    </row>
    <row r="2058" spans="2:12" x14ac:dyDescent="0.25">
      <c r="B2058" s="42">
        <v>42782</v>
      </c>
      <c r="D2058">
        <v>11849.55</v>
      </c>
      <c r="K2058" s="42"/>
      <c r="L2058" s="14"/>
    </row>
    <row r="2059" spans="2:12" x14ac:dyDescent="0.25">
      <c r="B2059" s="42">
        <v>42781</v>
      </c>
      <c r="D2059">
        <v>11776.57</v>
      </c>
      <c r="K2059" s="42"/>
      <c r="L2059" s="14"/>
    </row>
    <row r="2060" spans="2:12" x14ac:dyDescent="0.25">
      <c r="B2060" s="42">
        <v>42780</v>
      </c>
      <c r="D2060">
        <v>11865.43</v>
      </c>
      <c r="K2060" s="42"/>
      <c r="L2060" s="14"/>
    </row>
    <row r="2061" spans="2:12" x14ac:dyDescent="0.25">
      <c r="B2061" s="42">
        <v>42779</v>
      </c>
      <c r="D2061">
        <v>11882.38</v>
      </c>
      <c r="K2061" s="42"/>
      <c r="L2061" s="14"/>
    </row>
    <row r="2062" spans="2:12" x14ac:dyDescent="0.25">
      <c r="B2062" s="42">
        <v>42776</v>
      </c>
      <c r="D2062">
        <v>11866.82</v>
      </c>
      <c r="K2062" s="42"/>
      <c r="L2062" s="14"/>
    </row>
    <row r="2063" spans="2:12" x14ac:dyDescent="0.25">
      <c r="B2063" s="42">
        <v>42775</v>
      </c>
      <c r="D2063">
        <v>11846.42</v>
      </c>
      <c r="K2063" s="42"/>
      <c r="L2063" s="14"/>
    </row>
    <row r="2064" spans="2:12" x14ac:dyDescent="0.25">
      <c r="B2064" s="42">
        <v>42774</v>
      </c>
      <c r="D2064">
        <v>11833.8</v>
      </c>
      <c r="K2064" s="42"/>
      <c r="L2064" s="14"/>
    </row>
    <row r="2065" spans="2:12" x14ac:dyDescent="0.25">
      <c r="B2065" s="42">
        <v>42773</v>
      </c>
      <c r="D2065">
        <v>11832.78</v>
      </c>
      <c r="K2065" s="42"/>
      <c r="L2065" s="14"/>
    </row>
    <row r="2066" spans="2:12" x14ac:dyDescent="0.25">
      <c r="B2066" s="42">
        <v>42772</v>
      </c>
      <c r="D2066">
        <v>11874.73</v>
      </c>
      <c r="K2066" s="42"/>
      <c r="L2066" s="14"/>
    </row>
    <row r="2067" spans="2:12" x14ac:dyDescent="0.25">
      <c r="B2067" s="42">
        <v>42769</v>
      </c>
      <c r="D2067">
        <v>11793.62</v>
      </c>
      <c r="K2067" s="42"/>
      <c r="L2067" s="14"/>
    </row>
    <row r="2068" spans="2:12" x14ac:dyDescent="0.25">
      <c r="B2068" s="42">
        <v>42768</v>
      </c>
      <c r="D2068">
        <v>11784.61</v>
      </c>
      <c r="K2068" s="42"/>
      <c r="L2068" s="14"/>
    </row>
    <row r="2069" spans="2:12" x14ac:dyDescent="0.25">
      <c r="B2069" s="42">
        <v>42767</v>
      </c>
      <c r="D2069">
        <v>11758.63</v>
      </c>
      <c r="K2069" s="42"/>
      <c r="L2069" s="14"/>
    </row>
    <row r="2070" spans="2:12" x14ac:dyDescent="0.25">
      <c r="B2070" s="42">
        <v>42766</v>
      </c>
      <c r="D2070">
        <v>11548.15</v>
      </c>
      <c r="K2070" s="42"/>
      <c r="L2070" s="14"/>
    </row>
    <row r="2071" spans="2:12" x14ac:dyDescent="0.25">
      <c r="B2071" s="42">
        <v>42765</v>
      </c>
      <c r="D2071">
        <v>11644.53</v>
      </c>
      <c r="K2071" s="42"/>
      <c r="L2071" s="14"/>
    </row>
    <row r="2072" spans="2:12" x14ac:dyDescent="0.25">
      <c r="B2072" s="42">
        <v>42762</v>
      </c>
      <c r="D2072">
        <v>11656</v>
      </c>
      <c r="K2072" s="42"/>
      <c r="L2072" s="14"/>
    </row>
    <row r="2073" spans="2:12" x14ac:dyDescent="0.25">
      <c r="B2073" s="42">
        <v>42760</v>
      </c>
      <c r="D2073">
        <v>11604.09</v>
      </c>
      <c r="K2073" s="42"/>
      <c r="L2073" s="14"/>
    </row>
    <row r="2074" spans="2:12" x14ac:dyDescent="0.25">
      <c r="B2074" s="42">
        <v>42759</v>
      </c>
      <c r="D2074">
        <v>11432.83</v>
      </c>
      <c r="K2074" s="42"/>
      <c r="L2074" s="14"/>
    </row>
    <row r="2075" spans="2:12" x14ac:dyDescent="0.25">
      <c r="B2075" s="42">
        <v>42758</v>
      </c>
      <c r="D2075">
        <v>11319.09</v>
      </c>
      <c r="K2075" s="42"/>
      <c r="L2075" s="14"/>
    </row>
    <row r="2076" spans="2:12" x14ac:dyDescent="0.25">
      <c r="B2076" s="42">
        <v>42755</v>
      </c>
      <c r="D2076">
        <v>11260.99</v>
      </c>
      <c r="K2076" s="42"/>
      <c r="L2076" s="14"/>
    </row>
    <row r="2077" spans="2:12" x14ac:dyDescent="0.25">
      <c r="B2077" s="42">
        <v>42754</v>
      </c>
      <c r="D2077">
        <v>11376.62</v>
      </c>
      <c r="K2077" s="42"/>
      <c r="L2077" s="14"/>
    </row>
    <row r="2078" spans="2:12" x14ac:dyDescent="0.25">
      <c r="B2078" s="42">
        <v>42753</v>
      </c>
      <c r="D2078">
        <v>11352.22</v>
      </c>
      <c r="K2078" s="42"/>
      <c r="L2078" s="14"/>
    </row>
    <row r="2079" spans="2:12" x14ac:dyDescent="0.25">
      <c r="B2079" s="42">
        <v>42752</v>
      </c>
      <c r="D2079">
        <v>11326.62</v>
      </c>
      <c r="K2079" s="42"/>
      <c r="L2079" s="14"/>
    </row>
    <row r="2080" spans="2:12" x14ac:dyDescent="0.25">
      <c r="B2080" s="42">
        <v>42751</v>
      </c>
      <c r="D2080">
        <v>11346.57</v>
      </c>
      <c r="K2080" s="42"/>
      <c r="L2080" s="14"/>
    </row>
    <row r="2081" spans="2:12" x14ac:dyDescent="0.25">
      <c r="B2081" s="42">
        <v>42748</v>
      </c>
      <c r="D2081">
        <v>11329.78</v>
      </c>
      <c r="K2081" s="42"/>
      <c r="L2081" s="14"/>
    </row>
    <row r="2082" spans="2:12" x14ac:dyDescent="0.25">
      <c r="B2082" s="42">
        <v>42747</v>
      </c>
      <c r="D2082">
        <v>11339.04</v>
      </c>
      <c r="K2082" s="42"/>
      <c r="L2082" s="14"/>
    </row>
    <row r="2083" spans="2:12" x14ac:dyDescent="0.25">
      <c r="B2083" s="42">
        <v>42746</v>
      </c>
      <c r="D2083">
        <v>11303.19</v>
      </c>
      <c r="K2083" s="42"/>
      <c r="L2083" s="14"/>
    </row>
    <row r="2084" spans="2:12" x14ac:dyDescent="0.25">
      <c r="B2084" s="42">
        <v>42745</v>
      </c>
      <c r="D2084">
        <v>11179.04</v>
      </c>
      <c r="K2084" s="42"/>
      <c r="L2084" s="14"/>
    </row>
    <row r="2085" spans="2:12" x14ac:dyDescent="0.25">
      <c r="B2085" s="42">
        <v>42744</v>
      </c>
      <c r="D2085">
        <v>11108.2</v>
      </c>
      <c r="K2085" s="42"/>
      <c r="L2085" s="14"/>
    </row>
    <row r="2086" spans="2:12" x14ac:dyDescent="0.25">
      <c r="B2086" s="42">
        <v>42741</v>
      </c>
      <c r="D2086">
        <v>11118.62</v>
      </c>
      <c r="K2086" s="42"/>
      <c r="L2086" s="14"/>
    </row>
    <row r="2087" spans="2:12" x14ac:dyDescent="0.25">
      <c r="B2087" s="42">
        <v>42740</v>
      </c>
      <c r="D2087">
        <v>11159.12</v>
      </c>
      <c r="K2087" s="42"/>
      <c r="L2087" s="14"/>
    </row>
    <row r="2088" spans="2:12" x14ac:dyDescent="0.25">
      <c r="B2088" s="42">
        <v>42739</v>
      </c>
      <c r="D2088">
        <v>11046.76</v>
      </c>
      <c r="K2088" s="42"/>
      <c r="L2088" s="14"/>
    </row>
    <row r="2089" spans="2:12" x14ac:dyDescent="0.25">
      <c r="B2089" s="42">
        <v>42738</v>
      </c>
      <c r="D2089">
        <v>11049.08</v>
      </c>
      <c r="K2089" s="42"/>
      <c r="L2089" s="14"/>
    </row>
    <row r="2090" spans="2:12" x14ac:dyDescent="0.25">
      <c r="B2090" s="42">
        <v>42737</v>
      </c>
      <c r="D2090">
        <v>11031.91</v>
      </c>
      <c r="K2090" s="42"/>
      <c r="L2090" s="14"/>
    </row>
    <row r="2091" spans="2:12" x14ac:dyDescent="0.25">
      <c r="B2091" s="42">
        <v>42734</v>
      </c>
      <c r="D2091">
        <v>11040.41</v>
      </c>
      <c r="K2091" s="42"/>
      <c r="L2091" s="14"/>
    </row>
    <row r="2092" spans="2:12" x14ac:dyDescent="0.25">
      <c r="B2092" s="42">
        <v>42733</v>
      </c>
      <c r="D2092">
        <v>10929.53</v>
      </c>
      <c r="K2092" s="42"/>
      <c r="L2092" s="14"/>
    </row>
    <row r="2093" spans="2:12" x14ac:dyDescent="0.25">
      <c r="B2093" s="42">
        <v>42732</v>
      </c>
      <c r="D2093">
        <v>10836.85</v>
      </c>
      <c r="K2093" s="42"/>
      <c r="L2093" s="14"/>
    </row>
    <row r="2094" spans="2:12" x14ac:dyDescent="0.25">
      <c r="B2094" s="42">
        <v>42731</v>
      </c>
      <c r="D2094">
        <v>10834.12</v>
      </c>
      <c r="K2094" s="42"/>
      <c r="L2094" s="14"/>
    </row>
    <row r="2095" spans="2:12" x14ac:dyDescent="0.25">
      <c r="B2095" s="42">
        <v>42730</v>
      </c>
      <c r="D2095">
        <v>10666.06</v>
      </c>
      <c r="K2095" s="42"/>
      <c r="L2095" s="14"/>
    </row>
    <row r="2096" spans="2:12" x14ac:dyDescent="0.25">
      <c r="B2096" s="42">
        <v>42727</v>
      </c>
      <c r="D2096">
        <v>10770.6</v>
      </c>
      <c r="K2096" s="42"/>
      <c r="L2096" s="14"/>
    </row>
    <row r="2097" spans="2:12" x14ac:dyDescent="0.25">
      <c r="B2097" s="42">
        <v>42726</v>
      </c>
      <c r="D2097">
        <v>10761.65</v>
      </c>
      <c r="K2097" s="42"/>
      <c r="L2097" s="14"/>
    </row>
    <row r="2098" spans="2:12" x14ac:dyDescent="0.25">
      <c r="B2098" s="42">
        <v>42725</v>
      </c>
      <c r="D2098">
        <v>10872.49</v>
      </c>
      <c r="K2098" s="42"/>
      <c r="L2098" s="14"/>
    </row>
    <row r="2099" spans="2:12" x14ac:dyDescent="0.25">
      <c r="B2099" s="42">
        <v>42724</v>
      </c>
      <c r="D2099">
        <v>10900.96</v>
      </c>
      <c r="K2099" s="42"/>
      <c r="L2099" s="14"/>
    </row>
    <row r="2100" spans="2:12" x14ac:dyDescent="0.25">
      <c r="B2100" s="42">
        <v>42723</v>
      </c>
      <c r="D2100">
        <v>10930.55</v>
      </c>
      <c r="K2100" s="42"/>
      <c r="L2100" s="14"/>
    </row>
    <row r="2101" spans="2:12" x14ac:dyDescent="0.25">
      <c r="B2101" s="42">
        <v>42720</v>
      </c>
      <c r="D2101">
        <v>10977.91</v>
      </c>
      <c r="K2101" s="42"/>
      <c r="L2101" s="14"/>
    </row>
    <row r="2102" spans="2:12" x14ac:dyDescent="0.25">
      <c r="B2102" s="42">
        <v>42719</v>
      </c>
      <c r="D2102">
        <v>10997.01</v>
      </c>
      <c r="K2102" s="42"/>
      <c r="L2102" s="14"/>
    </row>
    <row r="2103" spans="2:12" x14ac:dyDescent="0.25">
      <c r="B2103" s="42">
        <v>42718</v>
      </c>
      <c r="D2103">
        <v>11035.88</v>
      </c>
      <c r="K2103" s="42"/>
      <c r="L2103" s="14"/>
    </row>
    <row r="2104" spans="2:12" x14ac:dyDescent="0.25">
      <c r="B2104" s="42">
        <v>42717</v>
      </c>
      <c r="D2104">
        <v>11088.99</v>
      </c>
      <c r="K2104" s="42"/>
      <c r="L2104" s="14"/>
    </row>
    <row r="2105" spans="2:12" x14ac:dyDescent="0.25">
      <c r="B2105" s="42">
        <v>42716</v>
      </c>
      <c r="D2105">
        <v>11020.15</v>
      </c>
      <c r="K2105" s="42"/>
      <c r="L2105" s="14"/>
    </row>
    <row r="2106" spans="2:12" x14ac:dyDescent="0.25">
      <c r="B2106" s="42">
        <v>42713</v>
      </c>
      <c r="D2106">
        <v>11142.82</v>
      </c>
      <c r="K2106" s="42"/>
      <c r="L2106" s="14"/>
    </row>
    <row r="2107" spans="2:12" x14ac:dyDescent="0.25">
      <c r="B2107" s="42">
        <v>42712</v>
      </c>
      <c r="D2107">
        <v>11122.75</v>
      </c>
      <c r="K2107" s="42"/>
      <c r="L2107" s="14"/>
    </row>
    <row r="2108" spans="2:12" x14ac:dyDescent="0.25">
      <c r="B2108" s="42">
        <v>42711</v>
      </c>
      <c r="D2108">
        <v>10927.43</v>
      </c>
      <c r="K2108" s="42"/>
      <c r="L2108" s="14"/>
    </row>
    <row r="2109" spans="2:12" x14ac:dyDescent="0.25">
      <c r="B2109" s="42">
        <v>42710</v>
      </c>
      <c r="D2109">
        <v>10982.89</v>
      </c>
      <c r="K2109" s="42"/>
      <c r="L2109" s="14"/>
    </row>
    <row r="2110" spans="2:12" x14ac:dyDescent="0.25">
      <c r="B2110" s="42">
        <v>42709</v>
      </c>
      <c r="D2110">
        <v>10963.49</v>
      </c>
      <c r="K2110" s="42"/>
      <c r="L2110" s="14"/>
    </row>
    <row r="2111" spans="2:12" x14ac:dyDescent="0.25">
      <c r="B2111" s="42">
        <v>42706</v>
      </c>
      <c r="D2111">
        <v>10906.86</v>
      </c>
      <c r="K2111" s="42"/>
      <c r="L2111" s="14"/>
    </row>
    <row r="2112" spans="2:12" x14ac:dyDescent="0.25">
      <c r="B2112" s="42">
        <v>42705</v>
      </c>
      <c r="D2112">
        <v>11050</v>
      </c>
      <c r="K2112" s="42"/>
      <c r="L2112" s="14"/>
    </row>
    <row r="2113" spans="2:12" x14ac:dyDescent="0.25">
      <c r="B2113" s="42">
        <v>42704</v>
      </c>
      <c r="D2113">
        <v>11092.59</v>
      </c>
      <c r="K2113" s="42"/>
      <c r="L2113" s="14"/>
    </row>
    <row r="2114" spans="2:12" x14ac:dyDescent="0.25">
      <c r="B2114" s="42">
        <v>42703</v>
      </c>
      <c r="D2114">
        <v>10981.54</v>
      </c>
      <c r="K2114" s="42"/>
      <c r="L2114" s="14"/>
    </row>
    <row r="2115" spans="2:12" x14ac:dyDescent="0.25">
      <c r="B2115" s="42">
        <v>42702</v>
      </c>
      <c r="D2115">
        <v>10960.97</v>
      </c>
      <c r="K2115" s="42"/>
      <c r="L2115" s="14"/>
    </row>
    <row r="2116" spans="2:12" x14ac:dyDescent="0.25">
      <c r="B2116" s="42">
        <v>42699</v>
      </c>
      <c r="D2116">
        <v>10943.99</v>
      </c>
      <c r="K2116" s="42"/>
      <c r="L2116" s="14"/>
    </row>
    <row r="2117" spans="2:12" x14ac:dyDescent="0.25">
      <c r="B2117" s="42">
        <v>42698</v>
      </c>
      <c r="D2117">
        <v>10743.28</v>
      </c>
      <c r="K2117" s="42"/>
      <c r="L2117" s="14"/>
    </row>
    <row r="2118" spans="2:12" x14ac:dyDescent="0.25">
      <c r="B2118" s="42">
        <v>42697</v>
      </c>
      <c r="D2118">
        <v>10834.59</v>
      </c>
      <c r="K2118" s="42"/>
      <c r="L2118" s="14"/>
    </row>
    <row r="2119" spans="2:12" x14ac:dyDescent="0.25">
      <c r="B2119" s="42">
        <v>42696</v>
      </c>
      <c r="D2119">
        <v>10792.82</v>
      </c>
      <c r="K2119" s="42"/>
      <c r="L2119" s="14"/>
    </row>
    <row r="2120" spans="2:12" x14ac:dyDescent="0.25">
      <c r="B2120" s="42">
        <v>42695</v>
      </c>
      <c r="D2120">
        <v>10694.09</v>
      </c>
      <c r="K2120" s="42"/>
      <c r="L2120" s="14"/>
    </row>
    <row r="2121" spans="2:12" x14ac:dyDescent="0.25">
      <c r="B2121" s="42">
        <v>42692</v>
      </c>
      <c r="D2121">
        <v>10889.64</v>
      </c>
      <c r="K2121" s="42"/>
      <c r="L2121" s="14"/>
    </row>
    <row r="2122" spans="2:12" x14ac:dyDescent="0.25">
      <c r="B2122" s="42">
        <v>42691</v>
      </c>
      <c r="D2122">
        <v>10897.55</v>
      </c>
      <c r="K2122" s="42"/>
      <c r="L2122" s="14"/>
    </row>
    <row r="2123" spans="2:12" x14ac:dyDescent="0.25">
      <c r="B2123" s="42">
        <v>42690</v>
      </c>
      <c r="D2123">
        <v>10940.23</v>
      </c>
      <c r="K2123" s="42"/>
      <c r="L2123" s="14"/>
    </row>
    <row r="2124" spans="2:12" x14ac:dyDescent="0.25">
      <c r="B2124" s="42">
        <v>42689</v>
      </c>
      <c r="D2124">
        <v>10935.99</v>
      </c>
      <c r="K2124" s="42"/>
      <c r="L2124" s="14"/>
    </row>
    <row r="2125" spans="2:12" x14ac:dyDescent="0.25">
      <c r="B2125" s="42">
        <v>42685</v>
      </c>
      <c r="D2125">
        <v>11189.3</v>
      </c>
      <c r="K2125" s="42"/>
      <c r="L2125" s="14"/>
    </row>
    <row r="2126" spans="2:12" x14ac:dyDescent="0.25">
      <c r="B2126" s="42">
        <v>42684</v>
      </c>
      <c r="D2126">
        <v>11498.79</v>
      </c>
      <c r="K2126" s="42"/>
      <c r="L2126" s="14"/>
    </row>
    <row r="2127" spans="2:12" x14ac:dyDescent="0.25">
      <c r="B2127" s="42">
        <v>42683</v>
      </c>
      <c r="D2127">
        <v>11372.35</v>
      </c>
      <c r="K2127" s="42"/>
      <c r="L2127" s="14"/>
    </row>
    <row r="2128" spans="2:12" x14ac:dyDescent="0.25">
      <c r="B2128" s="42">
        <v>42682</v>
      </c>
      <c r="D2128">
        <v>11522.76</v>
      </c>
      <c r="K2128" s="42"/>
      <c r="L2128" s="14"/>
    </row>
    <row r="2129" spans="2:12" x14ac:dyDescent="0.25">
      <c r="B2129" s="42">
        <v>42681</v>
      </c>
      <c r="D2129">
        <v>11460.08</v>
      </c>
      <c r="K2129" s="42"/>
      <c r="L2129" s="14"/>
    </row>
    <row r="2130" spans="2:12" x14ac:dyDescent="0.25">
      <c r="B2130" s="42">
        <v>42678</v>
      </c>
      <c r="D2130">
        <v>11374.71</v>
      </c>
      <c r="K2130" s="42"/>
      <c r="L2130" s="14"/>
    </row>
    <row r="2131" spans="2:12" x14ac:dyDescent="0.25">
      <c r="B2131" s="42">
        <v>42677</v>
      </c>
      <c r="D2131">
        <v>11443.72</v>
      </c>
      <c r="K2131" s="42"/>
      <c r="L2131" s="14"/>
    </row>
    <row r="2132" spans="2:12" x14ac:dyDescent="0.25">
      <c r="B2132" s="42">
        <v>42676</v>
      </c>
      <c r="D2132">
        <v>11479.94</v>
      </c>
      <c r="K2132" s="42"/>
      <c r="L2132" s="14"/>
    </row>
    <row r="2133" spans="2:12" x14ac:dyDescent="0.25">
      <c r="B2133" s="42">
        <v>42675</v>
      </c>
      <c r="D2133">
        <v>11631.33</v>
      </c>
      <c r="K2133" s="42"/>
      <c r="L2133" s="14"/>
    </row>
    <row r="2134" spans="2:12" x14ac:dyDescent="0.25">
      <c r="B2134" s="42">
        <v>42673</v>
      </c>
      <c r="D2134">
        <v>11628.32</v>
      </c>
      <c r="K2134" s="42"/>
      <c r="L2134" s="14"/>
    </row>
    <row r="2135" spans="2:12" x14ac:dyDescent="0.25">
      <c r="B2135" s="42">
        <v>42671</v>
      </c>
      <c r="D2135">
        <v>11644.89</v>
      </c>
      <c r="K2135" s="42"/>
      <c r="L2135" s="14"/>
    </row>
    <row r="2136" spans="2:12" x14ac:dyDescent="0.25">
      <c r="B2136" s="42">
        <v>42670</v>
      </c>
      <c r="D2136">
        <v>11614.18</v>
      </c>
      <c r="K2136" s="42"/>
      <c r="L2136" s="14"/>
    </row>
    <row r="2137" spans="2:12" x14ac:dyDescent="0.25">
      <c r="B2137" s="42">
        <v>42669</v>
      </c>
      <c r="D2137">
        <v>11612.99</v>
      </c>
      <c r="K2137" s="42"/>
      <c r="L2137" s="14"/>
    </row>
    <row r="2138" spans="2:12" x14ac:dyDescent="0.25">
      <c r="B2138" s="42">
        <v>42668</v>
      </c>
      <c r="D2138">
        <v>11715.45</v>
      </c>
      <c r="K2138" s="42"/>
      <c r="L2138" s="14"/>
    </row>
    <row r="2139" spans="2:12" x14ac:dyDescent="0.25">
      <c r="B2139" s="42">
        <v>42667</v>
      </c>
      <c r="D2139">
        <v>11739.24</v>
      </c>
      <c r="K2139" s="42"/>
      <c r="L2139" s="14"/>
    </row>
    <row r="2140" spans="2:12" x14ac:dyDescent="0.25">
      <c r="B2140" s="42">
        <v>42664</v>
      </c>
      <c r="D2140">
        <v>11716.57</v>
      </c>
      <c r="K2140" s="42"/>
      <c r="L2140" s="14"/>
    </row>
    <row r="2141" spans="2:12" x14ac:dyDescent="0.25">
      <c r="B2141" s="42">
        <v>42663</v>
      </c>
      <c r="D2141">
        <v>11717.04</v>
      </c>
      <c r="K2141" s="42"/>
      <c r="L2141" s="14"/>
    </row>
    <row r="2142" spans="2:12" x14ac:dyDescent="0.25">
      <c r="B2142" s="42">
        <v>42662</v>
      </c>
      <c r="D2142">
        <v>11662.81</v>
      </c>
      <c r="K2142" s="42"/>
      <c r="L2142" s="14"/>
    </row>
    <row r="2143" spans="2:12" x14ac:dyDescent="0.25">
      <c r="B2143" s="42">
        <v>42661</v>
      </c>
      <c r="D2143">
        <v>11688.13</v>
      </c>
      <c r="K2143" s="42"/>
      <c r="L2143" s="14"/>
    </row>
    <row r="2144" spans="2:12" x14ac:dyDescent="0.25">
      <c r="B2144" s="42">
        <v>42660</v>
      </c>
      <c r="D2144">
        <v>11475.97</v>
      </c>
      <c r="K2144" s="42"/>
      <c r="L2144" s="14"/>
    </row>
    <row r="2145" spans="2:12" x14ac:dyDescent="0.25">
      <c r="B2145" s="42">
        <v>42657</v>
      </c>
      <c r="D2145">
        <v>11560.81</v>
      </c>
      <c r="K2145" s="42"/>
      <c r="L2145" s="14"/>
    </row>
    <row r="2146" spans="2:12" x14ac:dyDescent="0.25">
      <c r="B2146" s="42">
        <v>42656</v>
      </c>
      <c r="D2146">
        <v>11547.3</v>
      </c>
      <c r="K2146" s="42"/>
      <c r="L2146" s="14"/>
    </row>
    <row r="2147" spans="2:12" x14ac:dyDescent="0.25">
      <c r="B2147" s="42">
        <v>42653</v>
      </c>
      <c r="D2147">
        <v>11729.75</v>
      </c>
      <c r="K2147" s="42"/>
      <c r="L2147" s="14"/>
    </row>
    <row r="2148" spans="2:12" x14ac:dyDescent="0.25">
      <c r="B2148" s="42">
        <v>42650</v>
      </c>
      <c r="D2148">
        <v>11714.65</v>
      </c>
      <c r="K2148" s="42"/>
      <c r="L2148" s="14"/>
    </row>
    <row r="2149" spans="2:12" x14ac:dyDescent="0.25">
      <c r="B2149" s="42">
        <v>42649</v>
      </c>
      <c r="D2149">
        <v>11730.75</v>
      </c>
      <c r="K2149" s="42"/>
      <c r="L2149" s="14"/>
    </row>
    <row r="2150" spans="2:12" x14ac:dyDescent="0.25">
      <c r="B2150" s="42">
        <v>42648</v>
      </c>
      <c r="D2150">
        <v>11777.1</v>
      </c>
      <c r="K2150" s="42"/>
      <c r="L2150" s="14"/>
    </row>
    <row r="2151" spans="2:12" x14ac:dyDescent="0.25">
      <c r="B2151" s="42">
        <v>42647</v>
      </c>
      <c r="D2151">
        <v>11811.04</v>
      </c>
      <c r="K2151" s="42"/>
      <c r="L2151" s="14"/>
    </row>
    <row r="2152" spans="2:12" x14ac:dyDescent="0.25">
      <c r="B2152" s="42">
        <v>42646</v>
      </c>
      <c r="D2152">
        <v>11769.16</v>
      </c>
      <c r="K2152" s="42"/>
      <c r="L2152" s="14"/>
    </row>
    <row r="2153" spans="2:12" x14ac:dyDescent="0.25">
      <c r="B2153" s="42">
        <v>42643</v>
      </c>
      <c r="D2153">
        <v>11598.22</v>
      </c>
      <c r="K2153" s="42"/>
      <c r="L2153" s="14"/>
    </row>
    <row r="2154" spans="2:12" x14ac:dyDescent="0.25">
      <c r="B2154" s="42">
        <v>42642</v>
      </c>
      <c r="D2154">
        <v>11571.4</v>
      </c>
      <c r="K2154" s="42"/>
      <c r="L2154" s="14"/>
    </row>
    <row r="2155" spans="2:12" x14ac:dyDescent="0.25">
      <c r="B2155" s="42">
        <v>42641</v>
      </c>
      <c r="D2155">
        <v>11778.71</v>
      </c>
      <c r="K2155" s="42"/>
      <c r="L2155" s="14"/>
    </row>
    <row r="2156" spans="2:12" x14ac:dyDescent="0.25">
      <c r="B2156" s="42">
        <v>42640</v>
      </c>
      <c r="D2156">
        <v>11726.49</v>
      </c>
      <c r="K2156" s="42"/>
      <c r="L2156" s="14"/>
    </row>
    <row r="2157" spans="2:12" x14ac:dyDescent="0.25">
      <c r="B2157" s="42">
        <v>42639</v>
      </c>
      <c r="D2157">
        <v>11748.91</v>
      </c>
      <c r="K2157" s="42"/>
      <c r="L2157" s="14"/>
    </row>
    <row r="2158" spans="2:12" x14ac:dyDescent="0.25">
      <c r="B2158" s="42">
        <v>42636</v>
      </c>
      <c r="D2158">
        <v>11895.07</v>
      </c>
      <c r="K2158" s="42"/>
      <c r="L2158" s="14"/>
    </row>
    <row r="2159" spans="2:12" x14ac:dyDescent="0.25">
      <c r="B2159" s="42">
        <v>42635</v>
      </c>
      <c r="D2159">
        <v>11943.44</v>
      </c>
      <c r="K2159" s="42"/>
      <c r="L2159" s="14"/>
    </row>
    <row r="2160" spans="2:12" x14ac:dyDescent="0.25">
      <c r="B2160" s="42">
        <v>42634</v>
      </c>
      <c r="D2160">
        <v>11821.52</v>
      </c>
      <c r="K2160" s="42"/>
      <c r="L2160" s="14"/>
    </row>
    <row r="2161" spans="2:12" x14ac:dyDescent="0.25">
      <c r="B2161" s="42">
        <v>42633</v>
      </c>
      <c r="D2161">
        <v>11819.83</v>
      </c>
      <c r="K2161" s="42"/>
      <c r="L2161" s="14"/>
    </row>
    <row r="2162" spans="2:12" x14ac:dyDescent="0.25">
      <c r="B2162" s="42">
        <v>42632</v>
      </c>
      <c r="D2162">
        <v>11863.61</v>
      </c>
      <c r="K2162" s="42"/>
      <c r="L2162" s="14"/>
    </row>
    <row r="2163" spans="2:12" x14ac:dyDescent="0.25">
      <c r="B2163" s="42">
        <v>42629</v>
      </c>
      <c r="D2163">
        <v>11825.12</v>
      </c>
      <c r="K2163" s="42"/>
      <c r="L2163" s="14"/>
    </row>
    <row r="2164" spans="2:12" x14ac:dyDescent="0.25">
      <c r="B2164" s="42">
        <v>42628</v>
      </c>
      <c r="D2164">
        <v>11774.9</v>
      </c>
      <c r="K2164" s="42"/>
      <c r="L2164" s="14"/>
    </row>
    <row r="2165" spans="2:12" x14ac:dyDescent="0.25">
      <c r="B2165" s="42">
        <v>42627</v>
      </c>
      <c r="D2165">
        <v>11751.93</v>
      </c>
      <c r="K2165" s="42"/>
      <c r="L2165" s="14"/>
    </row>
    <row r="2166" spans="2:12" x14ac:dyDescent="0.25">
      <c r="B2166" s="42">
        <v>42625</v>
      </c>
      <c r="D2166">
        <v>11737</v>
      </c>
      <c r="K2166" s="42"/>
      <c r="L2166" s="14"/>
    </row>
    <row r="2167" spans="2:12" x14ac:dyDescent="0.25">
      <c r="B2167" s="42">
        <v>42622</v>
      </c>
      <c r="D2167">
        <v>11940.12</v>
      </c>
      <c r="K2167" s="42"/>
      <c r="L2167" s="14"/>
    </row>
    <row r="2168" spans="2:12" x14ac:dyDescent="0.25">
      <c r="B2168" s="42">
        <v>42621</v>
      </c>
      <c r="D2168">
        <v>12055.6</v>
      </c>
      <c r="K2168" s="42"/>
      <c r="L2168" s="14"/>
    </row>
    <row r="2169" spans="2:12" x14ac:dyDescent="0.25">
      <c r="B2169" s="42">
        <v>42620</v>
      </c>
      <c r="D2169">
        <v>12005.43</v>
      </c>
      <c r="K2169" s="42"/>
      <c r="L2169" s="14"/>
    </row>
    <row r="2170" spans="2:12" x14ac:dyDescent="0.25">
      <c r="B2170" s="42">
        <v>42619</v>
      </c>
      <c r="D2170">
        <v>12037.72</v>
      </c>
      <c r="K2170" s="42"/>
      <c r="L2170" s="14"/>
    </row>
    <row r="2171" spans="2:12" x14ac:dyDescent="0.25">
      <c r="B2171" s="42">
        <v>42615</v>
      </c>
      <c r="D2171">
        <v>11857.76</v>
      </c>
      <c r="K2171" s="42"/>
      <c r="L2171" s="14"/>
    </row>
    <row r="2172" spans="2:12" x14ac:dyDescent="0.25">
      <c r="B2172" s="42">
        <v>42614</v>
      </c>
      <c r="D2172">
        <v>11810.69</v>
      </c>
      <c r="K2172" s="42"/>
      <c r="L2172" s="14"/>
    </row>
    <row r="2173" spans="2:12" x14ac:dyDescent="0.25">
      <c r="B2173" s="42">
        <v>42613</v>
      </c>
      <c r="D2173">
        <v>11826.19</v>
      </c>
      <c r="K2173" s="42"/>
      <c r="L2173" s="14"/>
    </row>
    <row r="2174" spans="2:12" x14ac:dyDescent="0.25">
      <c r="B2174" s="42">
        <v>42612</v>
      </c>
      <c r="D2174">
        <v>11766.04</v>
      </c>
      <c r="K2174" s="42"/>
      <c r="L2174" s="14"/>
    </row>
    <row r="2175" spans="2:12" x14ac:dyDescent="0.25">
      <c r="B2175" s="42">
        <v>42611</v>
      </c>
      <c r="D2175">
        <v>11581.83</v>
      </c>
      <c r="K2175" s="42"/>
      <c r="L2175" s="14"/>
    </row>
    <row r="2176" spans="2:12" x14ac:dyDescent="0.25">
      <c r="B2176" s="42">
        <v>42608</v>
      </c>
      <c r="D2176">
        <v>11534.92</v>
      </c>
      <c r="K2176" s="42"/>
      <c r="L2176" s="14"/>
    </row>
    <row r="2177" spans="2:12" x14ac:dyDescent="0.25">
      <c r="B2177" s="42">
        <v>42607</v>
      </c>
      <c r="D2177">
        <v>11561.34</v>
      </c>
      <c r="K2177" s="42"/>
      <c r="L2177" s="14"/>
    </row>
    <row r="2178" spans="2:12" x14ac:dyDescent="0.25">
      <c r="B2178" s="42">
        <v>42606</v>
      </c>
      <c r="D2178">
        <v>11639.48</v>
      </c>
      <c r="K2178" s="42"/>
      <c r="L2178" s="14"/>
    </row>
    <row r="2179" spans="2:12" x14ac:dyDescent="0.25">
      <c r="B2179" s="42">
        <v>42605</v>
      </c>
      <c r="D2179">
        <v>11615.7</v>
      </c>
      <c r="K2179" s="42"/>
      <c r="L2179" s="14"/>
    </row>
    <row r="2180" spans="2:12" x14ac:dyDescent="0.25">
      <c r="B2180" s="42">
        <v>42604</v>
      </c>
      <c r="D2180">
        <v>11611.02</v>
      </c>
      <c r="K2180" s="42"/>
      <c r="L2180" s="14"/>
    </row>
    <row r="2181" spans="2:12" x14ac:dyDescent="0.25">
      <c r="B2181" s="42">
        <v>42601</v>
      </c>
      <c r="D2181">
        <v>11661.82</v>
      </c>
      <c r="K2181" s="42"/>
      <c r="L2181" s="14"/>
    </row>
    <row r="2182" spans="2:12" x14ac:dyDescent="0.25">
      <c r="B2182" s="42">
        <v>42600</v>
      </c>
      <c r="D2182">
        <v>11670.37</v>
      </c>
      <c r="K2182" s="42"/>
      <c r="L2182" s="14"/>
    </row>
    <row r="2183" spans="2:12" x14ac:dyDescent="0.25">
      <c r="B2183" s="42">
        <v>42599</v>
      </c>
      <c r="D2183">
        <v>11598.72</v>
      </c>
      <c r="K2183" s="42"/>
      <c r="L2183" s="14"/>
    </row>
    <row r="2184" spans="2:12" x14ac:dyDescent="0.25">
      <c r="B2184" s="42">
        <v>42598</v>
      </c>
      <c r="D2184">
        <v>11623.61</v>
      </c>
      <c r="K2184" s="42"/>
      <c r="L2184" s="14"/>
    </row>
    <row r="2185" spans="2:12" x14ac:dyDescent="0.25">
      <c r="B2185" s="42">
        <v>42594</v>
      </c>
      <c r="D2185">
        <v>11663.43</v>
      </c>
      <c r="K2185" s="42"/>
      <c r="L2185" s="14"/>
    </row>
    <row r="2186" spans="2:12" x14ac:dyDescent="0.25">
      <c r="B2186" s="42">
        <v>42593</v>
      </c>
      <c r="D2186">
        <v>11555.84</v>
      </c>
      <c r="K2186" s="42"/>
      <c r="L2186" s="14"/>
    </row>
    <row r="2187" spans="2:12" x14ac:dyDescent="0.25">
      <c r="B2187" s="42">
        <v>42592</v>
      </c>
      <c r="D2187">
        <v>11532.49</v>
      </c>
      <c r="K2187" s="42"/>
      <c r="L2187" s="14"/>
    </row>
    <row r="2188" spans="2:12" x14ac:dyDescent="0.25">
      <c r="B2188" s="42">
        <v>42591</v>
      </c>
      <c r="D2188">
        <v>11669.7</v>
      </c>
      <c r="K2188" s="42"/>
      <c r="L2188" s="14"/>
    </row>
    <row r="2189" spans="2:12" x14ac:dyDescent="0.25">
      <c r="B2189" s="42">
        <v>42590</v>
      </c>
      <c r="D2189">
        <v>11713.58</v>
      </c>
      <c r="K2189" s="42"/>
      <c r="L2189" s="14"/>
    </row>
    <row r="2190" spans="2:12" x14ac:dyDescent="0.25">
      <c r="B2190" s="42">
        <v>42587</v>
      </c>
      <c r="D2190">
        <v>11675.68</v>
      </c>
      <c r="K2190" s="42"/>
      <c r="L2190" s="14"/>
    </row>
    <row r="2191" spans="2:12" x14ac:dyDescent="0.25">
      <c r="B2191" s="42">
        <v>42586</v>
      </c>
      <c r="D2191">
        <v>11498.13</v>
      </c>
      <c r="K2191" s="42"/>
      <c r="L2191" s="14"/>
    </row>
    <row r="2192" spans="2:12" x14ac:dyDescent="0.25">
      <c r="B2192" s="42">
        <v>42585</v>
      </c>
      <c r="D2192">
        <v>11489.74</v>
      </c>
      <c r="K2192" s="42"/>
      <c r="L2192" s="14"/>
    </row>
    <row r="2193" spans="2:12" x14ac:dyDescent="0.25">
      <c r="B2193" s="42">
        <v>42584</v>
      </c>
      <c r="D2193">
        <v>11594.65</v>
      </c>
      <c r="K2193" s="42"/>
      <c r="L2193" s="14"/>
    </row>
    <row r="2194" spans="2:12" x14ac:dyDescent="0.25">
      <c r="B2194" s="42">
        <v>42583</v>
      </c>
      <c r="D2194">
        <v>11612.19</v>
      </c>
      <c r="K2194" s="42"/>
      <c r="L2194" s="14"/>
    </row>
    <row r="2195" spans="2:12" x14ac:dyDescent="0.25">
      <c r="B2195" s="42">
        <v>42580</v>
      </c>
      <c r="D2195">
        <v>11614.8</v>
      </c>
      <c r="K2195" s="42"/>
      <c r="L2195" s="14"/>
    </row>
    <row r="2196" spans="2:12" x14ac:dyDescent="0.25">
      <c r="B2196" s="42">
        <v>42579</v>
      </c>
      <c r="D2196">
        <v>11652.18</v>
      </c>
      <c r="K2196" s="42"/>
      <c r="L2196" s="14"/>
    </row>
    <row r="2197" spans="2:12" x14ac:dyDescent="0.25">
      <c r="B2197" s="42">
        <v>42578</v>
      </c>
      <c r="D2197">
        <v>11579.64</v>
      </c>
      <c r="K2197" s="42"/>
      <c r="L2197" s="14"/>
    </row>
    <row r="2198" spans="2:12" x14ac:dyDescent="0.25">
      <c r="B2198" s="42">
        <v>42577</v>
      </c>
      <c r="D2198">
        <v>11545.78</v>
      </c>
      <c r="K2198" s="42"/>
      <c r="L2198" s="14"/>
    </row>
    <row r="2199" spans="2:12" x14ac:dyDescent="0.25">
      <c r="B2199" s="42">
        <v>42576</v>
      </c>
      <c r="D2199">
        <v>11606.29</v>
      </c>
      <c r="K2199" s="42"/>
      <c r="L2199" s="14"/>
    </row>
    <row r="2200" spans="2:12" x14ac:dyDescent="0.25">
      <c r="B2200" s="42">
        <v>42573</v>
      </c>
      <c r="D2200">
        <v>11477.47</v>
      </c>
      <c r="K2200" s="42"/>
      <c r="L2200" s="14"/>
    </row>
    <row r="2201" spans="2:12" x14ac:dyDescent="0.25">
      <c r="B2201" s="42">
        <v>42572</v>
      </c>
      <c r="D2201">
        <v>11435.64</v>
      </c>
      <c r="K2201" s="42"/>
      <c r="L2201" s="14"/>
    </row>
    <row r="2202" spans="2:12" x14ac:dyDescent="0.25">
      <c r="B2202" s="42">
        <v>42571</v>
      </c>
      <c r="D2202">
        <v>11508.07</v>
      </c>
      <c r="K2202" s="42"/>
      <c r="L2202" s="14"/>
    </row>
    <row r="2203" spans="2:12" x14ac:dyDescent="0.25">
      <c r="B2203" s="42">
        <v>42570</v>
      </c>
      <c r="D2203">
        <v>11457.95</v>
      </c>
      <c r="K2203" s="42"/>
      <c r="L2203" s="14"/>
    </row>
    <row r="2204" spans="2:12" x14ac:dyDescent="0.25">
      <c r="B2204" s="42">
        <v>42569</v>
      </c>
      <c r="D2204">
        <v>11431.25</v>
      </c>
      <c r="K2204" s="42"/>
      <c r="L2204" s="14"/>
    </row>
    <row r="2205" spans="2:12" x14ac:dyDescent="0.25">
      <c r="B2205" s="42">
        <v>42566</v>
      </c>
      <c r="D2205">
        <v>11474.04</v>
      </c>
      <c r="K2205" s="42"/>
      <c r="L2205" s="14"/>
    </row>
    <row r="2206" spans="2:12" x14ac:dyDescent="0.25">
      <c r="B2206" s="42">
        <v>42565</v>
      </c>
      <c r="D2206">
        <v>11497.65</v>
      </c>
      <c r="K2206" s="42"/>
      <c r="L2206" s="14"/>
    </row>
    <row r="2207" spans="2:12" x14ac:dyDescent="0.25">
      <c r="B2207" s="42">
        <v>42564</v>
      </c>
      <c r="D2207">
        <v>11436.09</v>
      </c>
      <c r="K2207" s="42"/>
      <c r="L2207" s="14"/>
    </row>
    <row r="2208" spans="2:12" x14ac:dyDescent="0.25">
      <c r="B2208" s="42">
        <v>42563</v>
      </c>
      <c r="D2208">
        <v>11438.19</v>
      </c>
      <c r="K2208" s="42"/>
      <c r="L2208" s="14"/>
    </row>
    <row r="2209" spans="2:12" x14ac:dyDescent="0.25">
      <c r="B2209" s="42">
        <v>42562</v>
      </c>
      <c r="D2209">
        <v>11366.82</v>
      </c>
      <c r="K2209" s="42"/>
      <c r="L2209" s="14"/>
    </row>
    <row r="2210" spans="2:12" x14ac:dyDescent="0.25">
      <c r="B2210" s="42">
        <v>42559</v>
      </c>
      <c r="D2210">
        <v>11172.39</v>
      </c>
      <c r="K2210" s="42"/>
      <c r="L2210" s="14"/>
    </row>
    <row r="2211" spans="2:12" x14ac:dyDescent="0.25">
      <c r="B2211" s="42">
        <v>42558</v>
      </c>
      <c r="D2211">
        <v>11192.11</v>
      </c>
      <c r="K2211" s="42"/>
      <c r="L2211" s="14"/>
    </row>
    <row r="2212" spans="2:12" x14ac:dyDescent="0.25">
      <c r="B2212" s="42">
        <v>42556</v>
      </c>
      <c r="D2212">
        <v>11186.41</v>
      </c>
      <c r="K2212" s="42"/>
      <c r="L2212" s="14"/>
    </row>
    <row r="2213" spans="2:12" x14ac:dyDescent="0.25">
      <c r="B2213" s="42">
        <v>42555</v>
      </c>
      <c r="D2213">
        <v>11233.09</v>
      </c>
      <c r="K2213" s="42"/>
      <c r="L2213" s="14"/>
    </row>
    <row r="2214" spans="2:12" x14ac:dyDescent="0.25">
      <c r="B2214" s="42">
        <v>42552</v>
      </c>
      <c r="D2214">
        <v>11175.85</v>
      </c>
      <c r="K2214" s="42"/>
      <c r="L2214" s="14"/>
    </row>
    <row r="2215" spans="2:12" x14ac:dyDescent="0.25">
      <c r="B2215" s="42">
        <v>42551</v>
      </c>
      <c r="D2215">
        <v>11121.39</v>
      </c>
      <c r="K2215" s="42"/>
      <c r="L2215" s="14"/>
    </row>
    <row r="2216" spans="2:12" x14ac:dyDescent="0.25">
      <c r="B2216" s="42">
        <v>42550</v>
      </c>
      <c r="D2216">
        <v>11009.02</v>
      </c>
      <c r="K2216" s="42"/>
      <c r="L2216" s="14"/>
    </row>
    <row r="2217" spans="2:12" x14ac:dyDescent="0.25">
      <c r="B2217" s="42">
        <v>42549</v>
      </c>
      <c r="D2217">
        <v>10899.91</v>
      </c>
      <c r="K2217" s="42"/>
      <c r="L2217" s="14"/>
    </row>
    <row r="2218" spans="2:12" x14ac:dyDescent="0.25">
      <c r="B2218" s="42">
        <v>42548</v>
      </c>
      <c r="D2218">
        <v>10855.5</v>
      </c>
      <c r="K2218" s="42"/>
      <c r="L2218" s="14"/>
    </row>
    <row r="2219" spans="2:12" x14ac:dyDescent="0.25">
      <c r="B2219" s="42">
        <v>42545</v>
      </c>
      <c r="D2219">
        <v>10847.29</v>
      </c>
      <c r="K2219" s="42"/>
      <c r="L2219" s="14"/>
    </row>
    <row r="2220" spans="2:12" x14ac:dyDescent="0.25">
      <c r="B2220" s="42">
        <v>42544</v>
      </c>
      <c r="D2220">
        <v>11091.16</v>
      </c>
      <c r="K2220" s="42"/>
      <c r="L2220" s="14"/>
    </row>
    <row r="2221" spans="2:12" x14ac:dyDescent="0.25">
      <c r="B2221" s="42">
        <v>42543</v>
      </c>
      <c r="D2221">
        <v>11000.82</v>
      </c>
      <c r="K2221" s="42"/>
      <c r="L2221" s="14"/>
    </row>
    <row r="2222" spans="2:12" x14ac:dyDescent="0.25">
      <c r="B2222" s="42">
        <v>42542</v>
      </c>
      <c r="D2222">
        <v>11020.11</v>
      </c>
      <c r="K2222" s="42"/>
      <c r="L2222" s="14"/>
    </row>
    <row r="2223" spans="2:12" x14ac:dyDescent="0.25">
      <c r="B2223" s="42">
        <v>42541</v>
      </c>
      <c r="D2223">
        <v>11045.03</v>
      </c>
      <c r="K2223" s="42"/>
      <c r="L2223" s="14"/>
    </row>
    <row r="2224" spans="2:12" x14ac:dyDescent="0.25">
      <c r="B2224" s="42">
        <v>42538</v>
      </c>
      <c r="D2224">
        <v>10953.44</v>
      </c>
      <c r="K2224" s="42"/>
      <c r="L2224" s="14"/>
    </row>
    <row r="2225" spans="2:12" x14ac:dyDescent="0.25">
      <c r="B2225" s="42">
        <v>42537</v>
      </c>
      <c r="D2225">
        <v>10913.97</v>
      </c>
      <c r="K2225" s="42"/>
      <c r="L2225" s="14"/>
    </row>
    <row r="2226" spans="2:12" x14ac:dyDescent="0.25">
      <c r="B2226" s="42">
        <v>42536</v>
      </c>
      <c r="D2226">
        <v>10990.64</v>
      </c>
      <c r="K2226" s="42"/>
      <c r="L2226" s="14"/>
    </row>
    <row r="2227" spans="2:12" x14ac:dyDescent="0.25">
      <c r="B2227" s="42">
        <v>42535</v>
      </c>
      <c r="D2227">
        <v>10859.76</v>
      </c>
      <c r="K2227" s="42"/>
      <c r="L2227" s="14"/>
    </row>
    <row r="2228" spans="2:12" x14ac:dyDescent="0.25">
      <c r="B2228" s="42">
        <v>42534</v>
      </c>
      <c r="D2228">
        <v>10862.06</v>
      </c>
      <c r="K2228" s="42"/>
      <c r="L2228" s="14"/>
    </row>
    <row r="2229" spans="2:12" x14ac:dyDescent="0.25">
      <c r="B2229" s="42">
        <v>42531</v>
      </c>
      <c r="D2229">
        <v>10941.7</v>
      </c>
      <c r="K2229" s="42"/>
      <c r="L2229" s="14"/>
    </row>
    <row r="2230" spans="2:12" x14ac:dyDescent="0.25">
      <c r="B2230" s="42">
        <v>42530</v>
      </c>
      <c r="D2230">
        <v>10986.64</v>
      </c>
      <c r="K2230" s="42"/>
      <c r="L2230" s="14"/>
    </row>
    <row r="2231" spans="2:12" x14ac:dyDescent="0.25">
      <c r="B2231" s="42">
        <v>42529</v>
      </c>
      <c r="D2231">
        <v>11068.75</v>
      </c>
      <c r="K2231" s="42"/>
      <c r="L2231" s="14"/>
    </row>
    <row r="2232" spans="2:12" x14ac:dyDescent="0.25">
      <c r="B2232" s="42">
        <v>42528</v>
      </c>
      <c r="D2232">
        <v>11059.93</v>
      </c>
      <c r="K2232" s="42"/>
      <c r="L2232" s="14"/>
    </row>
    <row r="2233" spans="2:12" x14ac:dyDescent="0.25">
      <c r="B2233" s="42">
        <v>42527</v>
      </c>
      <c r="D2233">
        <v>10972.45</v>
      </c>
      <c r="K2233" s="42"/>
      <c r="L2233" s="14"/>
    </row>
    <row r="2234" spans="2:12" x14ac:dyDescent="0.25">
      <c r="B2234" s="42">
        <v>42524</v>
      </c>
      <c r="D2234">
        <v>10992.21</v>
      </c>
      <c r="K2234" s="42"/>
      <c r="L2234" s="14"/>
    </row>
    <row r="2235" spans="2:12" x14ac:dyDescent="0.25">
      <c r="B2235" s="42">
        <v>42523</v>
      </c>
      <c r="D2235">
        <v>10986.77</v>
      </c>
      <c r="K2235" s="42"/>
      <c r="L2235" s="14"/>
    </row>
    <row r="2236" spans="2:12" x14ac:dyDescent="0.25">
      <c r="B2236" s="42">
        <v>42522</v>
      </c>
      <c r="D2236">
        <v>10934.62</v>
      </c>
      <c r="K2236" s="42"/>
      <c r="L2236" s="14"/>
    </row>
    <row r="2237" spans="2:12" x14ac:dyDescent="0.25">
      <c r="B2237" s="42">
        <v>42521</v>
      </c>
      <c r="D2237">
        <v>10908.07</v>
      </c>
      <c r="K2237" s="42"/>
      <c r="L2237" s="14"/>
    </row>
    <row r="2238" spans="2:12" x14ac:dyDescent="0.25">
      <c r="B2238" s="42">
        <v>42520</v>
      </c>
      <c r="D2238">
        <v>10932.7</v>
      </c>
      <c r="K2238" s="42"/>
      <c r="L2238" s="14"/>
    </row>
    <row r="2239" spans="2:12" x14ac:dyDescent="0.25">
      <c r="B2239" s="42">
        <v>42517</v>
      </c>
      <c r="D2239">
        <v>10884.88</v>
      </c>
      <c r="K2239" s="42"/>
      <c r="L2239" s="14"/>
    </row>
    <row r="2240" spans="2:12" x14ac:dyDescent="0.25">
      <c r="B2240" s="42">
        <v>42516</v>
      </c>
      <c r="D2240">
        <v>10768.78</v>
      </c>
    </row>
    <row r="2241" spans="2:4" x14ac:dyDescent="0.25">
      <c r="B2241" s="42">
        <v>42515</v>
      </c>
      <c r="D2241">
        <v>10588.92</v>
      </c>
    </row>
    <row r="2242" spans="2:4" x14ac:dyDescent="0.25">
      <c r="B2242" s="42">
        <v>42514</v>
      </c>
      <c r="D2242">
        <v>10340.65</v>
      </c>
    </row>
    <row r="2243" spans="2:4" x14ac:dyDescent="0.25">
      <c r="B2243" s="42">
        <v>42513</v>
      </c>
      <c r="D2243">
        <v>10316.91</v>
      </c>
    </row>
    <row r="2244" spans="2:4" x14ac:dyDescent="0.25">
      <c r="B2244" s="42">
        <v>42510</v>
      </c>
      <c r="D2244">
        <v>10341.790000000001</v>
      </c>
    </row>
    <row r="2245" spans="2:4" x14ac:dyDescent="0.25">
      <c r="B2245" s="42">
        <v>42509</v>
      </c>
      <c r="D2245">
        <v>10386.75</v>
      </c>
    </row>
    <row r="2246" spans="2:4" x14ac:dyDescent="0.25">
      <c r="B2246" s="42">
        <v>42508</v>
      </c>
      <c r="D2246">
        <v>10502.51</v>
      </c>
    </row>
    <row r="2247" spans="2:4" x14ac:dyDescent="0.25">
      <c r="B2247" s="42">
        <v>42507</v>
      </c>
      <c r="D2247">
        <v>10530.03</v>
      </c>
    </row>
    <row r="2248" spans="2:4" x14ac:dyDescent="0.25">
      <c r="B2248" s="42">
        <v>42506</v>
      </c>
      <c r="D2248">
        <v>10489.97</v>
      </c>
    </row>
    <row r="2249" spans="2:4" x14ac:dyDescent="0.25">
      <c r="B2249" s="42">
        <v>42503</v>
      </c>
      <c r="D2249">
        <v>10428.780000000001</v>
      </c>
    </row>
    <row r="2250" spans="2:4" x14ac:dyDescent="0.25">
      <c r="B2250" s="42">
        <v>42502</v>
      </c>
      <c r="D2250">
        <v>10542.93</v>
      </c>
    </row>
    <row r="2251" spans="2:4" x14ac:dyDescent="0.25">
      <c r="B2251" s="42">
        <v>42501</v>
      </c>
      <c r="D2251">
        <v>10474.1</v>
      </c>
    </row>
    <row r="2252" spans="2:4" x14ac:dyDescent="0.25">
      <c r="B2252" s="42">
        <v>42500</v>
      </c>
      <c r="D2252">
        <v>10526.11</v>
      </c>
    </row>
    <row r="2253" spans="2:4" x14ac:dyDescent="0.25">
      <c r="B2253" s="42">
        <v>42499</v>
      </c>
      <c r="D2253">
        <v>10497.09</v>
      </c>
    </row>
    <row r="2254" spans="2:4" x14ac:dyDescent="0.25">
      <c r="B2254" s="42">
        <v>42496</v>
      </c>
      <c r="D2254">
        <v>10320.120000000001</v>
      </c>
    </row>
    <row r="2255" spans="2:4" x14ac:dyDescent="0.25">
      <c r="B2255" s="42">
        <v>42495</v>
      </c>
      <c r="D2255">
        <v>10322.82</v>
      </c>
    </row>
    <row r="2256" spans="2:4" x14ac:dyDescent="0.25">
      <c r="B2256" s="42">
        <v>42494</v>
      </c>
      <c r="D2256">
        <v>10283.01</v>
      </c>
    </row>
    <row r="2257" spans="2:4" x14ac:dyDescent="0.25">
      <c r="B2257" s="42">
        <v>42493</v>
      </c>
      <c r="D2257">
        <v>10336.969999999999</v>
      </c>
    </row>
    <row r="2258" spans="2:4" x14ac:dyDescent="0.25">
      <c r="B2258" s="42">
        <v>42492</v>
      </c>
      <c r="D2258">
        <v>10415.52</v>
      </c>
    </row>
    <row r="2259" spans="2:4" x14ac:dyDescent="0.25">
      <c r="B2259" s="42">
        <v>42489</v>
      </c>
      <c r="D2259">
        <v>10474.15</v>
      </c>
    </row>
    <row r="2260" spans="2:4" x14ac:dyDescent="0.25">
      <c r="B2260" s="42">
        <v>42488</v>
      </c>
      <c r="D2260">
        <v>10470.709999999999</v>
      </c>
    </row>
    <row r="2261" spans="2:4" x14ac:dyDescent="0.25">
      <c r="B2261" s="42">
        <v>42487</v>
      </c>
      <c r="D2261">
        <v>10647.74</v>
      </c>
    </row>
    <row r="2262" spans="2:4" x14ac:dyDescent="0.25">
      <c r="B2262" s="42">
        <v>42486</v>
      </c>
      <c r="D2262">
        <v>10624.72</v>
      </c>
    </row>
    <row r="2263" spans="2:4" x14ac:dyDescent="0.25">
      <c r="B2263" s="42">
        <v>42485</v>
      </c>
      <c r="D2263">
        <v>10481.120000000001</v>
      </c>
    </row>
    <row r="2264" spans="2:4" x14ac:dyDescent="0.25">
      <c r="B2264" s="42">
        <v>42482</v>
      </c>
      <c r="D2264">
        <v>10540.19</v>
      </c>
    </row>
    <row r="2265" spans="2:4" x14ac:dyDescent="0.25">
      <c r="B2265" s="42">
        <v>42481</v>
      </c>
      <c r="D2265">
        <v>10557.22</v>
      </c>
    </row>
    <row r="2266" spans="2:4" x14ac:dyDescent="0.25">
      <c r="B2266" s="42">
        <v>42480</v>
      </c>
      <c r="D2266">
        <v>10560.79</v>
      </c>
    </row>
    <row r="2267" spans="2:4" x14ac:dyDescent="0.25">
      <c r="B2267" s="42">
        <v>42478</v>
      </c>
      <c r="D2267">
        <v>10560.74</v>
      </c>
    </row>
    <row r="2268" spans="2:4" x14ac:dyDescent="0.25">
      <c r="B2268" s="42">
        <v>42473</v>
      </c>
      <c r="D2268">
        <v>10475.02</v>
      </c>
    </row>
    <row r="2269" spans="2:4" x14ac:dyDescent="0.25">
      <c r="B2269" s="42">
        <v>42472</v>
      </c>
      <c r="D2269">
        <v>10286.18</v>
      </c>
    </row>
    <row r="2270" spans="2:4" x14ac:dyDescent="0.25">
      <c r="B2270" s="42">
        <v>42471</v>
      </c>
      <c r="D2270">
        <v>10236.11</v>
      </c>
    </row>
    <row r="2271" spans="2:4" x14ac:dyDescent="0.25">
      <c r="B2271" s="42">
        <v>42468</v>
      </c>
      <c r="D2271">
        <v>10081.01</v>
      </c>
    </row>
    <row r="2272" spans="2:4" x14ac:dyDescent="0.25">
      <c r="B2272" s="42">
        <v>42467</v>
      </c>
      <c r="D2272">
        <v>10069.36</v>
      </c>
    </row>
    <row r="2273" spans="2:4" x14ac:dyDescent="0.25">
      <c r="B2273" s="42">
        <v>42466</v>
      </c>
      <c r="D2273">
        <v>10159.98</v>
      </c>
    </row>
    <row r="2274" spans="2:4" x14ac:dyDescent="0.25">
      <c r="B2274" s="42">
        <v>42465</v>
      </c>
      <c r="D2274">
        <v>10145.1</v>
      </c>
    </row>
    <row r="2275" spans="2:4" x14ac:dyDescent="0.25">
      <c r="B2275" s="42">
        <v>42464</v>
      </c>
      <c r="D2275">
        <v>10352.69</v>
      </c>
    </row>
    <row r="2276" spans="2:4" x14ac:dyDescent="0.25">
      <c r="B2276" s="42">
        <v>42461</v>
      </c>
      <c r="D2276">
        <v>10291.69</v>
      </c>
    </row>
    <row r="2277" spans="2:4" x14ac:dyDescent="0.25">
      <c r="B2277" s="42">
        <v>42460</v>
      </c>
      <c r="D2277">
        <v>10325.5</v>
      </c>
    </row>
    <row r="2278" spans="2:4" x14ac:dyDescent="0.25">
      <c r="B2278" s="42">
        <v>42459</v>
      </c>
      <c r="D2278">
        <v>10321.200000000001</v>
      </c>
    </row>
    <row r="2279" spans="2:4" x14ac:dyDescent="0.25">
      <c r="B2279" s="42">
        <v>42458</v>
      </c>
      <c r="D2279">
        <v>10135.49</v>
      </c>
    </row>
    <row r="2280" spans="2:4" x14ac:dyDescent="0.25">
      <c r="B2280" s="42">
        <v>42457</v>
      </c>
      <c r="D2280">
        <v>10159.66</v>
      </c>
    </row>
    <row r="2281" spans="2:4" x14ac:dyDescent="0.25">
      <c r="B2281" s="42">
        <v>42452</v>
      </c>
      <c r="D2281">
        <v>10294.93</v>
      </c>
    </row>
    <row r="2282" spans="2:4" x14ac:dyDescent="0.25">
      <c r="B2282" s="42">
        <v>42451</v>
      </c>
      <c r="D2282">
        <v>10292.77</v>
      </c>
    </row>
    <row r="2283" spans="2:4" x14ac:dyDescent="0.25">
      <c r="B2283" s="42">
        <v>42450</v>
      </c>
      <c r="D2283">
        <v>10278.299999999999</v>
      </c>
    </row>
    <row r="2284" spans="2:4" x14ac:dyDescent="0.25">
      <c r="B2284" s="42">
        <v>42447</v>
      </c>
      <c r="D2284">
        <v>10143.6</v>
      </c>
    </row>
    <row r="2285" spans="2:4" x14ac:dyDescent="0.25">
      <c r="B2285" s="42">
        <v>42446</v>
      </c>
      <c r="D2285">
        <v>10021.129999999999</v>
      </c>
    </row>
    <row r="2286" spans="2:4" x14ac:dyDescent="0.25">
      <c r="B2286" s="42">
        <v>42445</v>
      </c>
      <c r="D2286">
        <v>9997.9</v>
      </c>
    </row>
    <row r="2287" spans="2:4" x14ac:dyDescent="0.25">
      <c r="B2287" s="42">
        <v>42444</v>
      </c>
      <c r="D2287">
        <v>9944.76</v>
      </c>
    </row>
    <row r="2288" spans="2:4" x14ac:dyDescent="0.25">
      <c r="B2288" s="42">
        <v>42443</v>
      </c>
      <c r="D2288">
        <v>10048.89</v>
      </c>
    </row>
    <row r="2289" spans="2:4" x14ac:dyDescent="0.25">
      <c r="B2289" s="42">
        <v>42440</v>
      </c>
      <c r="D2289">
        <v>10001.18</v>
      </c>
    </row>
    <row r="2290" spans="2:4" x14ac:dyDescent="0.25">
      <c r="B2290" s="42">
        <v>42439</v>
      </c>
      <c r="D2290">
        <v>9969.15</v>
      </c>
    </row>
    <row r="2291" spans="2:4" x14ac:dyDescent="0.25">
      <c r="B2291" s="42">
        <v>42438</v>
      </c>
      <c r="D2291">
        <v>10029.959999999999</v>
      </c>
    </row>
    <row r="2292" spans="2:4" x14ac:dyDescent="0.25">
      <c r="B2292" s="42">
        <v>42437</v>
      </c>
      <c r="D2292">
        <v>9967.99</v>
      </c>
    </row>
    <row r="2293" spans="2:4" x14ac:dyDescent="0.25">
      <c r="B2293" s="42">
        <v>42433</v>
      </c>
      <c r="D2293">
        <v>9968.09</v>
      </c>
    </row>
    <row r="2294" spans="2:4" x14ac:dyDescent="0.25">
      <c r="B2294" s="42">
        <v>42432</v>
      </c>
      <c r="D2294">
        <v>9955.1</v>
      </c>
    </row>
    <row r="2295" spans="2:4" x14ac:dyDescent="0.25">
      <c r="B2295" s="42">
        <v>42431</v>
      </c>
      <c r="D2295">
        <v>9812.68</v>
      </c>
    </row>
    <row r="2296" spans="2:4" x14ac:dyDescent="0.25">
      <c r="B2296" s="42">
        <v>42430</v>
      </c>
      <c r="D2296">
        <v>9617.51</v>
      </c>
    </row>
    <row r="2297" spans="2:4" x14ac:dyDescent="0.25">
      <c r="B2297" s="42">
        <v>42429</v>
      </c>
      <c r="D2297">
        <v>9304.26</v>
      </c>
    </row>
    <row r="2298" spans="2:4" x14ac:dyDescent="0.25">
      <c r="B2298" s="42">
        <v>42426</v>
      </c>
      <c r="D2298">
        <v>9361.1</v>
      </c>
    </row>
    <row r="2299" spans="2:4" x14ac:dyDescent="0.25">
      <c r="B2299" s="42">
        <v>42425</v>
      </c>
      <c r="D2299">
        <v>9282.3799999999992</v>
      </c>
    </row>
    <row r="2300" spans="2:4" x14ac:dyDescent="0.25">
      <c r="B2300" s="42">
        <v>42424</v>
      </c>
      <c r="D2300">
        <v>9346.39</v>
      </c>
    </row>
    <row r="2301" spans="2:4" x14ac:dyDescent="0.25">
      <c r="B2301" s="42">
        <v>42423</v>
      </c>
      <c r="D2301">
        <v>9467.41</v>
      </c>
    </row>
    <row r="2302" spans="2:4" x14ac:dyDescent="0.25">
      <c r="B2302" s="42">
        <v>42422</v>
      </c>
      <c r="D2302">
        <v>9633.83</v>
      </c>
    </row>
    <row r="2303" spans="2:4" x14ac:dyDescent="0.25">
      <c r="B2303" s="42">
        <v>42419</v>
      </c>
      <c r="D2303">
        <v>9601.77</v>
      </c>
    </row>
    <row r="2304" spans="2:4" x14ac:dyDescent="0.25">
      <c r="B2304" s="42">
        <v>42418</v>
      </c>
      <c r="D2304">
        <v>9576.4599999999991</v>
      </c>
    </row>
    <row r="2305" spans="2:4" x14ac:dyDescent="0.25">
      <c r="B2305" s="42">
        <v>42417</v>
      </c>
      <c r="D2305">
        <v>9465.52</v>
      </c>
    </row>
    <row r="2306" spans="2:4" x14ac:dyDescent="0.25">
      <c r="B2306" s="42">
        <v>42416</v>
      </c>
      <c r="D2306">
        <v>9385.36</v>
      </c>
    </row>
    <row r="2307" spans="2:4" x14ac:dyDescent="0.25">
      <c r="B2307" s="42">
        <v>42415</v>
      </c>
      <c r="D2307">
        <v>9537.74</v>
      </c>
    </row>
    <row r="2308" spans="2:4" x14ac:dyDescent="0.25">
      <c r="B2308" s="42">
        <v>42412</v>
      </c>
      <c r="D2308">
        <v>9295.41</v>
      </c>
    </row>
    <row r="2309" spans="2:4" x14ac:dyDescent="0.25">
      <c r="B2309" s="42">
        <v>42411</v>
      </c>
      <c r="D2309">
        <v>9289.2900000000009</v>
      </c>
    </row>
    <row r="2310" spans="2:4" x14ac:dyDescent="0.25">
      <c r="B2310" s="42">
        <v>42410</v>
      </c>
      <c r="D2310">
        <v>9607.98</v>
      </c>
    </row>
    <row r="2311" spans="2:4" x14ac:dyDescent="0.25">
      <c r="B2311" s="42">
        <v>42409</v>
      </c>
      <c r="D2311">
        <v>9717.8700000000008</v>
      </c>
    </row>
    <row r="2312" spans="2:4" x14ac:dyDescent="0.25">
      <c r="B2312" s="42">
        <v>42408</v>
      </c>
      <c r="D2312">
        <v>9836.41</v>
      </c>
    </row>
    <row r="2313" spans="2:4" x14ac:dyDescent="0.25">
      <c r="B2313" s="42">
        <v>42405</v>
      </c>
      <c r="D2313">
        <v>9972.0499999999993</v>
      </c>
    </row>
    <row r="2314" spans="2:4" x14ac:dyDescent="0.25">
      <c r="B2314" s="42">
        <v>42404</v>
      </c>
      <c r="D2314">
        <v>9857.82</v>
      </c>
    </row>
    <row r="2315" spans="2:4" x14ac:dyDescent="0.25">
      <c r="B2315" s="42">
        <v>42403</v>
      </c>
      <c r="D2315">
        <v>9801.6200000000008</v>
      </c>
    </row>
    <row r="2316" spans="2:4" x14ac:dyDescent="0.25">
      <c r="B2316" s="42">
        <v>42402</v>
      </c>
      <c r="D2316">
        <v>9925.98</v>
      </c>
    </row>
    <row r="2317" spans="2:4" x14ac:dyDescent="0.25">
      <c r="B2317" s="42">
        <v>42401</v>
      </c>
      <c r="D2317">
        <v>10058.69</v>
      </c>
    </row>
    <row r="2318" spans="2:4" x14ac:dyDescent="0.25">
      <c r="B2318" s="42">
        <v>42398</v>
      </c>
      <c r="D2318">
        <v>10068.86</v>
      </c>
    </row>
    <row r="2319" spans="2:4" x14ac:dyDescent="0.25">
      <c r="B2319" s="42">
        <v>42397</v>
      </c>
      <c r="D2319">
        <v>9883.94</v>
      </c>
    </row>
    <row r="2320" spans="2:4" x14ac:dyDescent="0.25">
      <c r="B2320" s="42">
        <v>42396</v>
      </c>
      <c r="D2320">
        <v>9901.35</v>
      </c>
    </row>
    <row r="2321" spans="2:4" x14ac:dyDescent="0.25">
      <c r="B2321" s="42">
        <v>42394</v>
      </c>
      <c r="D2321">
        <v>9898.2800000000007</v>
      </c>
    </row>
    <row r="2322" spans="2:4" x14ac:dyDescent="0.25">
      <c r="B2322" s="42">
        <v>42391</v>
      </c>
      <c r="D2322">
        <v>9879.1299999999992</v>
      </c>
    </row>
    <row r="2323" spans="2:4" x14ac:dyDescent="0.25">
      <c r="B2323" s="42">
        <v>42390</v>
      </c>
      <c r="D2323">
        <v>9685.2900000000009</v>
      </c>
    </row>
    <row r="2324" spans="2:4" x14ac:dyDescent="0.25">
      <c r="B2324" s="42">
        <v>42389</v>
      </c>
      <c r="D2324">
        <v>9727.77</v>
      </c>
    </row>
    <row r="2325" spans="2:4" x14ac:dyDescent="0.25">
      <c r="B2325" s="42">
        <v>42388</v>
      </c>
      <c r="D2325">
        <v>9895.18</v>
      </c>
    </row>
    <row r="2326" spans="2:4" x14ac:dyDescent="0.25">
      <c r="B2326" s="42">
        <v>42387</v>
      </c>
      <c r="D2326">
        <v>9783.26</v>
      </c>
    </row>
    <row r="2327" spans="2:4" x14ac:dyDescent="0.25">
      <c r="B2327" s="42">
        <v>42384</v>
      </c>
      <c r="D2327">
        <v>9898.7999999999993</v>
      </c>
    </row>
    <row r="2328" spans="2:4" x14ac:dyDescent="0.25">
      <c r="B2328" s="42">
        <v>42383</v>
      </c>
      <c r="D2328">
        <v>10030.530000000001</v>
      </c>
    </row>
    <row r="2329" spans="2:4" x14ac:dyDescent="0.25">
      <c r="B2329" s="42">
        <v>42382</v>
      </c>
      <c r="D2329">
        <v>10064.620000000001</v>
      </c>
    </row>
    <row r="2330" spans="2:4" x14ac:dyDescent="0.25">
      <c r="B2330" s="42">
        <v>42381</v>
      </c>
      <c r="D2330">
        <v>9995.25</v>
      </c>
    </row>
    <row r="2331" spans="2:4" x14ac:dyDescent="0.25">
      <c r="B2331" s="42">
        <v>42380</v>
      </c>
      <c r="D2331">
        <v>10066.57</v>
      </c>
    </row>
    <row r="2332" spans="2:4" x14ac:dyDescent="0.25">
      <c r="B2332" s="42">
        <v>42377</v>
      </c>
      <c r="D2332">
        <v>10116.450000000001</v>
      </c>
    </row>
    <row r="2333" spans="2:4" x14ac:dyDescent="0.25">
      <c r="B2333" s="42">
        <v>42376</v>
      </c>
      <c r="D2333">
        <v>10072.450000000001</v>
      </c>
    </row>
    <row r="2334" spans="2:4" x14ac:dyDescent="0.25">
      <c r="B2334" s="42">
        <v>42375</v>
      </c>
      <c r="D2334">
        <v>10302.32</v>
      </c>
    </row>
    <row r="2335" spans="2:4" x14ac:dyDescent="0.25">
      <c r="B2335" s="42">
        <v>42374</v>
      </c>
      <c r="D2335">
        <v>10360.42</v>
      </c>
    </row>
    <row r="2336" spans="2:4" x14ac:dyDescent="0.25">
      <c r="B2336" s="42">
        <v>42373</v>
      </c>
      <c r="D2336">
        <v>10369.24</v>
      </c>
    </row>
    <row r="2337" spans="2:4" x14ac:dyDescent="0.25">
      <c r="B2337" s="42">
        <v>42370</v>
      </c>
      <c r="D2337">
        <v>10598</v>
      </c>
    </row>
    <row r="2338" spans="2:4" x14ac:dyDescent="0.25">
      <c r="B2338" s="42">
        <v>42369</v>
      </c>
      <c r="D2338">
        <v>10575.63</v>
      </c>
    </row>
    <row r="2339" spans="2:4" x14ac:dyDescent="0.25">
      <c r="B2339" s="42">
        <v>42368</v>
      </c>
      <c r="D2339">
        <v>10508.91</v>
      </c>
    </row>
    <row r="2340" spans="2:4" x14ac:dyDescent="0.25">
      <c r="B2340" s="42">
        <v>42367</v>
      </c>
      <c r="D2340">
        <v>10552.46</v>
      </c>
    </row>
    <row r="2341" spans="2:4" x14ac:dyDescent="0.25">
      <c r="B2341" s="42">
        <v>42366</v>
      </c>
      <c r="D2341">
        <v>10547.37</v>
      </c>
    </row>
    <row r="2342" spans="2:4" x14ac:dyDescent="0.25">
      <c r="B2342" s="42">
        <v>42362</v>
      </c>
      <c r="D2342">
        <v>10462.08</v>
      </c>
    </row>
    <row r="2343" spans="2:4" x14ac:dyDescent="0.25">
      <c r="B2343" s="42">
        <v>42361</v>
      </c>
      <c r="D2343">
        <v>10468.61</v>
      </c>
    </row>
    <row r="2344" spans="2:4" x14ac:dyDescent="0.25">
      <c r="B2344" s="42">
        <v>42360</v>
      </c>
      <c r="D2344">
        <v>10362.35</v>
      </c>
    </row>
    <row r="2345" spans="2:4" x14ac:dyDescent="0.25">
      <c r="B2345" s="42">
        <v>42359</v>
      </c>
      <c r="D2345">
        <v>10426.69</v>
      </c>
    </row>
    <row r="2346" spans="2:4" x14ac:dyDescent="0.25">
      <c r="B2346" s="42">
        <v>42356</v>
      </c>
      <c r="D2346">
        <v>10330.16</v>
      </c>
    </row>
    <row r="2347" spans="2:4" x14ac:dyDescent="0.25">
      <c r="B2347" s="42">
        <v>42355</v>
      </c>
      <c r="D2347">
        <v>10439.83</v>
      </c>
    </row>
    <row r="2348" spans="2:4" x14ac:dyDescent="0.25">
      <c r="B2348" s="42">
        <v>42354</v>
      </c>
      <c r="D2348">
        <v>10315.450000000001</v>
      </c>
    </row>
    <row r="2349" spans="2:4" x14ac:dyDescent="0.25">
      <c r="B2349" s="42">
        <v>42353</v>
      </c>
      <c r="D2349">
        <v>10248.91</v>
      </c>
    </row>
    <row r="2350" spans="2:4" x14ac:dyDescent="0.25">
      <c r="B2350" s="42">
        <v>42352</v>
      </c>
      <c r="D2350">
        <v>10181.25</v>
      </c>
    </row>
    <row r="2351" spans="2:4" x14ac:dyDescent="0.25">
      <c r="B2351" s="42">
        <v>42349</v>
      </c>
      <c r="D2351">
        <v>10128.57</v>
      </c>
    </row>
    <row r="2352" spans="2:4" x14ac:dyDescent="0.25">
      <c r="B2352" s="42">
        <v>42348</v>
      </c>
      <c r="D2352">
        <v>10225.540000000001</v>
      </c>
    </row>
    <row r="2353" spans="2:4" x14ac:dyDescent="0.25">
      <c r="B2353" s="42">
        <v>42347</v>
      </c>
      <c r="D2353">
        <v>10131.26</v>
      </c>
    </row>
    <row r="2354" spans="2:4" x14ac:dyDescent="0.25">
      <c r="B2354" s="42">
        <v>42346</v>
      </c>
      <c r="D2354">
        <v>10250.030000000001</v>
      </c>
    </row>
    <row r="2355" spans="2:4" x14ac:dyDescent="0.25">
      <c r="B2355" s="42">
        <v>42345</v>
      </c>
      <c r="D2355">
        <v>10334.77</v>
      </c>
    </row>
    <row r="2356" spans="2:4" x14ac:dyDescent="0.25">
      <c r="B2356" s="42">
        <v>42342</v>
      </c>
      <c r="D2356">
        <v>10356.709999999999</v>
      </c>
    </row>
    <row r="2357" spans="2:4" x14ac:dyDescent="0.25">
      <c r="B2357" s="42">
        <v>42341</v>
      </c>
      <c r="D2357">
        <v>10466.19</v>
      </c>
    </row>
    <row r="2358" spans="2:4" x14ac:dyDescent="0.25">
      <c r="B2358" s="42">
        <v>42340</v>
      </c>
      <c r="D2358">
        <v>10555.62</v>
      </c>
    </row>
    <row r="2359" spans="2:4" x14ac:dyDescent="0.25">
      <c r="B2359" s="42">
        <v>42339</v>
      </c>
      <c r="D2359">
        <v>10586.99</v>
      </c>
    </row>
    <row r="2360" spans="2:4" x14ac:dyDescent="0.25">
      <c r="B2360" s="42">
        <v>42338</v>
      </c>
      <c r="D2360">
        <v>10560.84</v>
      </c>
    </row>
    <row r="2361" spans="2:4" x14ac:dyDescent="0.25">
      <c r="B2361" s="42">
        <v>42335</v>
      </c>
      <c r="D2361">
        <v>10570.76</v>
      </c>
    </row>
    <row r="2362" spans="2:4" x14ac:dyDescent="0.25">
      <c r="B2362" s="42">
        <v>42334</v>
      </c>
      <c r="D2362">
        <v>10492.35</v>
      </c>
    </row>
    <row r="2363" spans="2:4" x14ac:dyDescent="0.25">
      <c r="B2363" s="42">
        <v>42332</v>
      </c>
      <c r="D2363">
        <v>10422.86</v>
      </c>
    </row>
    <row r="2364" spans="2:4" x14ac:dyDescent="0.25">
      <c r="B2364" s="42">
        <v>42331</v>
      </c>
      <c r="D2364">
        <v>10446.4</v>
      </c>
    </row>
    <row r="2365" spans="2:4" x14ac:dyDescent="0.25">
      <c r="B2365" s="42">
        <v>42328</v>
      </c>
      <c r="D2365">
        <v>10456.11</v>
      </c>
    </row>
    <row r="2366" spans="2:4" x14ac:dyDescent="0.25">
      <c r="B2366" s="42">
        <v>42327</v>
      </c>
      <c r="D2366">
        <v>10437.709999999999</v>
      </c>
    </row>
    <row r="2367" spans="2:4" x14ac:dyDescent="0.25">
      <c r="B2367" s="42">
        <v>42326</v>
      </c>
      <c r="D2367">
        <v>10290.030000000001</v>
      </c>
    </row>
    <row r="2368" spans="2:4" x14ac:dyDescent="0.25">
      <c r="B2368" s="42">
        <v>42325</v>
      </c>
      <c r="D2368">
        <v>10430.780000000001</v>
      </c>
    </row>
    <row r="2369" spans="2:4" x14ac:dyDescent="0.25">
      <c r="B2369" s="42">
        <v>42324</v>
      </c>
      <c r="D2369">
        <v>10389.64</v>
      </c>
    </row>
    <row r="2370" spans="2:4" x14ac:dyDescent="0.25">
      <c r="B2370" s="42">
        <v>42321</v>
      </c>
      <c r="D2370">
        <v>10330.6</v>
      </c>
    </row>
    <row r="2371" spans="2:4" x14ac:dyDescent="0.25">
      <c r="B2371" s="42">
        <v>42319</v>
      </c>
      <c r="D2371">
        <v>10414.07</v>
      </c>
    </row>
    <row r="2372" spans="2:4" x14ac:dyDescent="0.25">
      <c r="B2372" s="42">
        <v>42318</v>
      </c>
      <c r="D2372">
        <v>10358.65</v>
      </c>
    </row>
    <row r="2373" spans="2:4" x14ac:dyDescent="0.25">
      <c r="B2373" s="42">
        <v>42317</v>
      </c>
      <c r="D2373">
        <v>10531.91</v>
      </c>
    </row>
    <row r="2374" spans="2:4" x14ac:dyDescent="0.25">
      <c r="B2374" s="42">
        <v>42314</v>
      </c>
      <c r="D2374">
        <v>10583.88</v>
      </c>
    </row>
    <row r="2375" spans="2:4" x14ac:dyDescent="0.25">
      <c r="B2375" s="42">
        <v>42313</v>
      </c>
      <c r="D2375">
        <v>10585.41</v>
      </c>
    </row>
    <row r="2376" spans="2:4" x14ac:dyDescent="0.25">
      <c r="B2376" s="42">
        <v>42312</v>
      </c>
      <c r="D2376">
        <v>10698.19</v>
      </c>
    </row>
    <row r="2377" spans="2:4" x14ac:dyDescent="0.25">
      <c r="B2377" s="42">
        <v>42311</v>
      </c>
      <c r="D2377">
        <v>10725.48</v>
      </c>
    </row>
    <row r="2378" spans="2:4" x14ac:dyDescent="0.25">
      <c r="B2378" s="42">
        <v>42310</v>
      </c>
      <c r="D2378">
        <v>10712.32</v>
      </c>
    </row>
    <row r="2379" spans="2:4" x14ac:dyDescent="0.25">
      <c r="B2379" s="42">
        <v>42307</v>
      </c>
      <c r="D2379">
        <v>10732.25</v>
      </c>
    </row>
    <row r="2380" spans="2:4" x14ac:dyDescent="0.25">
      <c r="B2380" s="42">
        <v>42306</v>
      </c>
      <c r="D2380">
        <v>10792.35</v>
      </c>
    </row>
    <row r="2381" spans="2:4" x14ac:dyDescent="0.25">
      <c r="B2381" s="42">
        <v>42305</v>
      </c>
      <c r="D2381">
        <v>10871.42</v>
      </c>
    </row>
    <row r="2382" spans="2:4" x14ac:dyDescent="0.25">
      <c r="B2382" s="42">
        <v>42304</v>
      </c>
      <c r="D2382">
        <v>10953.26</v>
      </c>
    </row>
    <row r="2383" spans="2:4" x14ac:dyDescent="0.25">
      <c r="B2383" s="42">
        <v>42303</v>
      </c>
      <c r="D2383">
        <v>10990.02</v>
      </c>
    </row>
    <row r="2384" spans="2:4" x14ac:dyDescent="0.25">
      <c r="B2384" s="42">
        <v>42300</v>
      </c>
      <c r="D2384">
        <v>11036.44</v>
      </c>
    </row>
    <row r="2385" spans="2:4" x14ac:dyDescent="0.25">
      <c r="B2385" s="42">
        <v>42298</v>
      </c>
      <c r="D2385">
        <v>10976.65</v>
      </c>
    </row>
    <row r="2386" spans="2:4" x14ac:dyDescent="0.25">
      <c r="B2386" s="42">
        <v>42297</v>
      </c>
      <c r="D2386">
        <v>10989</v>
      </c>
    </row>
    <row r="2387" spans="2:4" x14ac:dyDescent="0.25">
      <c r="B2387" s="42">
        <v>42296</v>
      </c>
      <c r="D2387">
        <v>11006.79</v>
      </c>
    </row>
    <row r="2388" spans="2:4" x14ac:dyDescent="0.25">
      <c r="B2388" s="42">
        <v>42293</v>
      </c>
      <c r="D2388">
        <v>10956.47</v>
      </c>
    </row>
    <row r="2389" spans="2:4" x14ac:dyDescent="0.25">
      <c r="B2389" s="42">
        <v>42292</v>
      </c>
      <c r="D2389">
        <v>10872.82</v>
      </c>
    </row>
    <row r="2390" spans="2:4" x14ac:dyDescent="0.25">
      <c r="B2390" s="42">
        <v>42291</v>
      </c>
      <c r="D2390">
        <v>10777.67</v>
      </c>
    </row>
    <row r="2391" spans="2:4" x14ac:dyDescent="0.25">
      <c r="B2391" s="42">
        <v>42290</v>
      </c>
      <c r="D2391">
        <v>10809.32</v>
      </c>
    </row>
    <row r="2392" spans="2:4" x14ac:dyDescent="0.25">
      <c r="B2392" s="42">
        <v>42289</v>
      </c>
      <c r="D2392">
        <v>10825.14</v>
      </c>
    </row>
    <row r="2393" spans="2:4" x14ac:dyDescent="0.25">
      <c r="B2393" s="42">
        <v>42286</v>
      </c>
      <c r="D2393">
        <v>10886.38</v>
      </c>
    </row>
    <row r="2394" spans="2:4" x14ac:dyDescent="0.25">
      <c r="B2394" s="42">
        <v>42285</v>
      </c>
      <c r="D2394">
        <v>10806.18</v>
      </c>
    </row>
    <row r="2395" spans="2:4" x14ac:dyDescent="0.25">
      <c r="B2395" s="42">
        <v>42284</v>
      </c>
      <c r="D2395">
        <v>10870.04</v>
      </c>
    </row>
    <row r="2396" spans="2:4" x14ac:dyDescent="0.25">
      <c r="B2396" s="42">
        <v>42283</v>
      </c>
      <c r="D2396">
        <v>10837.5</v>
      </c>
    </row>
    <row r="2397" spans="2:4" x14ac:dyDescent="0.25">
      <c r="B2397" s="42">
        <v>42282</v>
      </c>
      <c r="D2397">
        <v>10792.79</v>
      </c>
    </row>
    <row r="2398" spans="2:4" x14ac:dyDescent="0.25">
      <c r="B2398" s="42">
        <v>42278</v>
      </c>
      <c r="D2398">
        <v>10568.94</v>
      </c>
    </row>
    <row r="2399" spans="2:4" x14ac:dyDescent="0.25">
      <c r="B2399" s="42">
        <v>42277</v>
      </c>
      <c r="D2399">
        <v>10566.29</v>
      </c>
    </row>
    <row r="2400" spans="2:4" x14ac:dyDescent="0.25">
      <c r="B2400" s="42">
        <v>42276</v>
      </c>
      <c r="D2400">
        <v>10425.93</v>
      </c>
    </row>
    <row r="2401" spans="2:4" x14ac:dyDescent="0.25">
      <c r="B2401" s="42">
        <v>42275</v>
      </c>
      <c r="D2401">
        <v>10362.68</v>
      </c>
    </row>
    <row r="2402" spans="2:4" x14ac:dyDescent="0.25">
      <c r="B2402" s="42">
        <v>42271</v>
      </c>
      <c r="D2402">
        <v>10459.44</v>
      </c>
    </row>
    <row r="2403" spans="2:4" x14ac:dyDescent="0.25">
      <c r="B2403" s="42">
        <v>42270</v>
      </c>
      <c r="D2403">
        <v>10429.44</v>
      </c>
    </row>
    <row r="2404" spans="2:4" x14ac:dyDescent="0.25">
      <c r="B2404" s="42">
        <v>42269</v>
      </c>
      <c r="D2404">
        <v>10384.35</v>
      </c>
    </row>
    <row r="2405" spans="2:4" x14ac:dyDescent="0.25">
      <c r="B2405" s="42">
        <v>42268</v>
      </c>
      <c r="D2405">
        <v>10603.8</v>
      </c>
    </row>
    <row r="2406" spans="2:4" x14ac:dyDescent="0.25">
      <c r="B2406" s="42">
        <v>42265</v>
      </c>
      <c r="D2406">
        <v>10609.87</v>
      </c>
    </row>
    <row r="2407" spans="2:4" x14ac:dyDescent="0.25">
      <c r="B2407" s="42">
        <v>42263</v>
      </c>
      <c r="D2407">
        <v>10499.73</v>
      </c>
    </row>
    <row r="2408" spans="2:4" x14ac:dyDescent="0.25">
      <c r="B2408" s="42">
        <v>42262</v>
      </c>
      <c r="D2408">
        <v>10406.56</v>
      </c>
    </row>
    <row r="2409" spans="2:4" x14ac:dyDescent="0.25">
      <c r="B2409" s="42">
        <v>42261</v>
      </c>
      <c r="D2409">
        <v>10463.93</v>
      </c>
    </row>
    <row r="2410" spans="2:4" x14ac:dyDescent="0.25">
      <c r="B2410" s="42">
        <v>42258</v>
      </c>
      <c r="D2410">
        <v>10353.540000000001</v>
      </c>
    </row>
    <row r="2411" spans="2:4" x14ac:dyDescent="0.25">
      <c r="B2411" s="42">
        <v>42257</v>
      </c>
      <c r="D2411">
        <v>10351.93</v>
      </c>
    </row>
    <row r="2412" spans="2:4" x14ac:dyDescent="0.25">
      <c r="B2412" s="42">
        <v>42256</v>
      </c>
      <c r="D2412">
        <v>10392.450000000001</v>
      </c>
    </row>
    <row r="2413" spans="2:4" x14ac:dyDescent="0.25">
      <c r="B2413" s="42">
        <v>42255</v>
      </c>
      <c r="D2413">
        <v>10219.209999999999</v>
      </c>
    </row>
    <row r="2414" spans="2:4" x14ac:dyDescent="0.25">
      <c r="B2414" s="42">
        <v>42254</v>
      </c>
      <c r="D2414">
        <v>10047.15</v>
      </c>
    </row>
    <row r="2415" spans="2:4" x14ac:dyDescent="0.25">
      <c r="B2415" s="42">
        <v>42251</v>
      </c>
      <c r="D2415">
        <v>10173.65</v>
      </c>
    </row>
    <row r="2416" spans="2:4" x14ac:dyDescent="0.25">
      <c r="B2416" s="42">
        <v>42250</v>
      </c>
      <c r="D2416">
        <v>10396.83</v>
      </c>
    </row>
    <row r="2417" spans="2:4" x14ac:dyDescent="0.25">
      <c r="B2417" s="42">
        <v>42249</v>
      </c>
      <c r="D2417">
        <v>10254.61</v>
      </c>
    </row>
    <row r="2418" spans="2:4" x14ac:dyDescent="0.25">
      <c r="B2418" s="42">
        <v>42248</v>
      </c>
      <c r="D2418">
        <v>10346.16</v>
      </c>
    </row>
    <row r="2419" spans="2:4" x14ac:dyDescent="0.25">
      <c r="B2419" s="42">
        <v>42247</v>
      </c>
      <c r="D2419">
        <v>10588.8</v>
      </c>
    </row>
    <row r="2420" spans="2:4" x14ac:dyDescent="0.25">
      <c r="B2420" s="42">
        <v>42244</v>
      </c>
      <c r="D2420">
        <v>10629.49</v>
      </c>
    </row>
    <row r="2421" spans="2:4" x14ac:dyDescent="0.25">
      <c r="B2421" s="42">
        <v>42243</v>
      </c>
      <c r="D2421">
        <v>10557.5</v>
      </c>
    </row>
    <row r="2422" spans="2:4" x14ac:dyDescent="0.25">
      <c r="B2422" s="42">
        <v>42242</v>
      </c>
      <c r="D2422">
        <v>10348.4</v>
      </c>
    </row>
    <row r="2423" spans="2:4" x14ac:dyDescent="0.25">
      <c r="B2423" s="42">
        <v>42241</v>
      </c>
      <c r="D2423">
        <v>10465.459999999999</v>
      </c>
    </row>
    <row r="2424" spans="2:4" x14ac:dyDescent="0.25">
      <c r="B2424" s="42">
        <v>42240</v>
      </c>
      <c r="D2424">
        <v>10370.27</v>
      </c>
    </row>
    <row r="2425" spans="2:4" x14ac:dyDescent="0.25">
      <c r="B2425" s="42">
        <v>42237</v>
      </c>
      <c r="D2425">
        <v>11022.22</v>
      </c>
    </row>
    <row r="2426" spans="2:4" x14ac:dyDescent="0.25">
      <c r="B2426" s="42">
        <v>42236</v>
      </c>
      <c r="D2426">
        <v>11118.95</v>
      </c>
    </row>
    <row r="2427" spans="2:4" x14ac:dyDescent="0.25">
      <c r="B2427" s="42">
        <v>42235</v>
      </c>
      <c r="D2427">
        <v>11281.26</v>
      </c>
    </row>
    <row r="2428" spans="2:4" x14ac:dyDescent="0.25">
      <c r="B2428" s="42">
        <v>42234</v>
      </c>
      <c r="D2428">
        <v>11243.28</v>
      </c>
    </row>
    <row r="2429" spans="2:4" x14ac:dyDescent="0.25">
      <c r="B2429" s="42">
        <v>42233</v>
      </c>
      <c r="D2429">
        <v>11257.56</v>
      </c>
    </row>
    <row r="2430" spans="2:4" x14ac:dyDescent="0.25">
      <c r="B2430" s="42">
        <v>42230</v>
      </c>
      <c r="D2430">
        <v>11312.32</v>
      </c>
    </row>
    <row r="2431" spans="2:4" x14ac:dyDescent="0.25">
      <c r="B2431" s="42">
        <v>42229</v>
      </c>
      <c r="D2431">
        <v>11095.98</v>
      </c>
    </row>
    <row r="2432" spans="2:4" x14ac:dyDescent="0.25">
      <c r="B2432" s="42">
        <v>42228</v>
      </c>
      <c r="D2432">
        <v>11086.67</v>
      </c>
    </row>
    <row r="2433" spans="2:4" x14ac:dyDescent="0.25">
      <c r="B2433" s="42">
        <v>42227</v>
      </c>
      <c r="D2433">
        <v>11236.57</v>
      </c>
    </row>
    <row r="2434" spans="2:4" x14ac:dyDescent="0.25">
      <c r="B2434" s="42">
        <v>42226</v>
      </c>
      <c r="D2434">
        <v>11320.25</v>
      </c>
    </row>
    <row r="2435" spans="2:4" x14ac:dyDescent="0.25">
      <c r="B2435" s="42">
        <v>42223</v>
      </c>
      <c r="D2435">
        <v>11372.02</v>
      </c>
    </row>
    <row r="2436" spans="2:4" x14ac:dyDescent="0.25">
      <c r="B2436" s="42">
        <v>42222</v>
      </c>
      <c r="D2436">
        <v>11402.67</v>
      </c>
    </row>
    <row r="2437" spans="2:4" x14ac:dyDescent="0.25">
      <c r="B2437" s="42">
        <v>42221</v>
      </c>
      <c r="D2437">
        <v>11375.18</v>
      </c>
    </row>
    <row r="2438" spans="2:4" x14ac:dyDescent="0.25">
      <c r="B2438" s="42">
        <v>42220</v>
      </c>
      <c r="D2438">
        <v>11307.41</v>
      </c>
    </row>
    <row r="2439" spans="2:4" x14ac:dyDescent="0.25">
      <c r="B2439" s="42">
        <v>42219</v>
      </c>
      <c r="D2439">
        <v>11342.11</v>
      </c>
    </row>
    <row r="2440" spans="2:4" x14ac:dyDescent="0.25">
      <c r="B2440" s="42">
        <v>42216</v>
      </c>
      <c r="D2440">
        <v>11328.56</v>
      </c>
    </row>
    <row r="2441" spans="2:4" x14ac:dyDescent="0.25">
      <c r="B2441" s="42">
        <v>42215</v>
      </c>
      <c r="D2441">
        <v>11180.79</v>
      </c>
    </row>
    <row r="2442" spans="2:4" x14ac:dyDescent="0.25">
      <c r="B2442" s="42">
        <v>42214</v>
      </c>
      <c r="D2442">
        <v>11118.71</v>
      </c>
    </row>
    <row r="2443" spans="2:4" x14ac:dyDescent="0.25">
      <c r="B2443" s="42">
        <v>42213</v>
      </c>
      <c r="D2443">
        <v>11068.18</v>
      </c>
    </row>
    <row r="2444" spans="2:4" x14ac:dyDescent="0.25">
      <c r="B2444" s="42">
        <v>42212</v>
      </c>
      <c r="D2444">
        <v>11100.03</v>
      </c>
    </row>
    <row r="2445" spans="2:4" x14ac:dyDescent="0.25">
      <c r="B2445" s="42">
        <v>42209</v>
      </c>
      <c r="D2445">
        <v>11313.22</v>
      </c>
    </row>
    <row r="2446" spans="2:4" x14ac:dyDescent="0.25">
      <c r="B2446" s="42">
        <v>42208</v>
      </c>
      <c r="D2446">
        <v>11403.83</v>
      </c>
    </row>
    <row r="2447" spans="2:4" x14ac:dyDescent="0.25">
      <c r="B2447" s="42">
        <v>42207</v>
      </c>
      <c r="D2447">
        <v>11459.27</v>
      </c>
    </row>
    <row r="2448" spans="2:4" x14ac:dyDescent="0.25">
      <c r="B2448" s="42">
        <v>42206</v>
      </c>
      <c r="D2448">
        <v>11320.88</v>
      </c>
    </row>
    <row r="2449" spans="2:4" x14ac:dyDescent="0.25">
      <c r="B2449" s="42">
        <v>42205</v>
      </c>
      <c r="D2449">
        <v>11419.13</v>
      </c>
    </row>
    <row r="2450" spans="2:4" x14ac:dyDescent="0.25">
      <c r="B2450" s="42">
        <v>42202</v>
      </c>
      <c r="D2450">
        <v>11424.87</v>
      </c>
    </row>
    <row r="2451" spans="2:4" x14ac:dyDescent="0.25">
      <c r="B2451" s="42">
        <v>42201</v>
      </c>
      <c r="D2451">
        <v>11422.48</v>
      </c>
    </row>
    <row r="2452" spans="2:4" x14ac:dyDescent="0.25">
      <c r="B2452" s="42">
        <v>42200</v>
      </c>
      <c r="D2452">
        <v>11309.1</v>
      </c>
    </row>
    <row r="2453" spans="2:4" x14ac:dyDescent="0.25">
      <c r="B2453" s="42">
        <v>42199</v>
      </c>
      <c r="D2453">
        <v>11210.85</v>
      </c>
    </row>
    <row r="2454" spans="2:4" x14ac:dyDescent="0.25">
      <c r="B2454" s="42">
        <v>42198</v>
      </c>
      <c r="D2454">
        <v>11217.67</v>
      </c>
    </row>
    <row r="2455" spans="2:4" x14ac:dyDescent="0.25">
      <c r="B2455" s="42">
        <v>42195</v>
      </c>
      <c r="D2455">
        <v>11086.29</v>
      </c>
    </row>
    <row r="2456" spans="2:4" x14ac:dyDescent="0.25">
      <c r="B2456" s="42">
        <v>42194</v>
      </c>
      <c r="D2456">
        <v>11043.14</v>
      </c>
    </row>
    <row r="2457" spans="2:4" x14ac:dyDescent="0.25">
      <c r="B2457" s="42">
        <v>42193</v>
      </c>
      <c r="D2457">
        <v>11084.34</v>
      </c>
    </row>
    <row r="2458" spans="2:4" x14ac:dyDescent="0.25">
      <c r="B2458" s="42">
        <v>42192</v>
      </c>
      <c r="D2458">
        <v>11279.56</v>
      </c>
    </row>
    <row r="2459" spans="2:4" x14ac:dyDescent="0.25">
      <c r="B2459" s="42">
        <v>42191</v>
      </c>
      <c r="D2459">
        <v>11294.6</v>
      </c>
    </row>
    <row r="2460" spans="2:4" x14ac:dyDescent="0.25">
      <c r="B2460" s="42">
        <v>42188</v>
      </c>
      <c r="D2460">
        <v>11244.49</v>
      </c>
    </row>
    <row r="2461" spans="2:4" x14ac:dyDescent="0.25">
      <c r="B2461" s="42">
        <v>42187</v>
      </c>
      <c r="D2461">
        <v>11191.5</v>
      </c>
    </row>
    <row r="2462" spans="2:4" x14ac:dyDescent="0.25">
      <c r="B2462" s="42">
        <v>42186</v>
      </c>
      <c r="D2462">
        <v>11197.83</v>
      </c>
    </row>
    <row r="2463" spans="2:4" x14ac:dyDescent="0.25">
      <c r="B2463" s="42">
        <v>42185</v>
      </c>
      <c r="D2463">
        <v>11085.87</v>
      </c>
    </row>
    <row r="2464" spans="2:4" x14ac:dyDescent="0.25">
      <c r="B2464" s="42">
        <v>42184</v>
      </c>
      <c r="D2464">
        <v>11019.47</v>
      </c>
    </row>
    <row r="2465" spans="2:4" x14ac:dyDescent="0.25">
      <c r="B2465" s="42">
        <v>42181</v>
      </c>
      <c r="D2465">
        <v>11102.52</v>
      </c>
    </row>
    <row r="2466" spans="2:4" x14ac:dyDescent="0.25">
      <c r="B2466" s="42">
        <v>42180</v>
      </c>
      <c r="D2466">
        <v>11124.95</v>
      </c>
    </row>
    <row r="2467" spans="2:4" x14ac:dyDescent="0.25">
      <c r="B2467" s="42">
        <v>42179</v>
      </c>
      <c r="D2467">
        <v>11075.71</v>
      </c>
    </row>
    <row r="2468" spans="2:4" x14ac:dyDescent="0.25">
      <c r="B2468" s="42">
        <v>42178</v>
      </c>
      <c r="D2468">
        <v>11102.6</v>
      </c>
    </row>
    <row r="2469" spans="2:4" x14ac:dyDescent="0.25">
      <c r="B2469" s="42">
        <v>42177</v>
      </c>
      <c r="D2469">
        <v>11064.89</v>
      </c>
    </row>
    <row r="2470" spans="2:4" x14ac:dyDescent="0.25">
      <c r="B2470" s="42">
        <v>42174</v>
      </c>
      <c r="D2470">
        <v>10894.44</v>
      </c>
    </row>
    <row r="2471" spans="2:4" x14ac:dyDescent="0.25">
      <c r="B2471" s="42">
        <v>42173</v>
      </c>
      <c r="D2471">
        <v>10825.96</v>
      </c>
    </row>
    <row r="2472" spans="2:4" x14ac:dyDescent="0.25">
      <c r="B2472" s="42">
        <v>42172</v>
      </c>
      <c r="D2472">
        <v>10715.85</v>
      </c>
    </row>
    <row r="2473" spans="2:4" x14ac:dyDescent="0.25">
      <c r="B2473" s="42">
        <v>42171</v>
      </c>
      <c r="D2473">
        <v>10657.23</v>
      </c>
    </row>
    <row r="2474" spans="2:4" x14ac:dyDescent="0.25">
      <c r="B2474" s="42">
        <v>42170</v>
      </c>
      <c r="D2474">
        <v>10612.12</v>
      </c>
    </row>
    <row r="2475" spans="2:4" x14ac:dyDescent="0.25">
      <c r="B2475" s="42">
        <v>42167</v>
      </c>
      <c r="D2475">
        <v>10562.76</v>
      </c>
    </row>
    <row r="2476" spans="2:4" x14ac:dyDescent="0.25">
      <c r="B2476" s="42">
        <v>42166</v>
      </c>
      <c r="D2476">
        <v>10539.53</v>
      </c>
    </row>
    <row r="2477" spans="2:4" x14ac:dyDescent="0.25">
      <c r="B2477" s="42">
        <v>42165</v>
      </c>
      <c r="D2477">
        <v>10750.07</v>
      </c>
    </row>
    <row r="2478" spans="2:4" x14ac:dyDescent="0.25">
      <c r="B2478" s="42">
        <v>42164</v>
      </c>
      <c r="D2478">
        <v>10615.01</v>
      </c>
    </row>
    <row r="2479" spans="2:4" x14ac:dyDescent="0.25">
      <c r="B2479" s="42">
        <v>42163</v>
      </c>
      <c r="D2479">
        <v>10643.82</v>
      </c>
    </row>
    <row r="2480" spans="2:4" x14ac:dyDescent="0.25">
      <c r="B2480" s="42">
        <v>42160</v>
      </c>
      <c r="D2480">
        <v>10737.17</v>
      </c>
    </row>
    <row r="2481" spans="2:4" x14ac:dyDescent="0.25">
      <c r="B2481" s="42">
        <v>42159</v>
      </c>
      <c r="D2481">
        <v>10754.83</v>
      </c>
    </row>
    <row r="2482" spans="2:4" x14ac:dyDescent="0.25">
      <c r="B2482" s="42">
        <v>42158</v>
      </c>
      <c r="D2482">
        <v>10752.52</v>
      </c>
    </row>
    <row r="2483" spans="2:4" x14ac:dyDescent="0.25">
      <c r="B2483" s="42">
        <v>42157</v>
      </c>
      <c r="D2483">
        <v>10876.52</v>
      </c>
    </row>
    <row r="2484" spans="2:4" x14ac:dyDescent="0.25">
      <c r="B2484" s="42">
        <v>42156</v>
      </c>
      <c r="D2484">
        <v>11136.64</v>
      </c>
    </row>
    <row r="2485" spans="2:4" x14ac:dyDescent="0.25">
      <c r="B2485" s="42">
        <v>42153</v>
      </c>
      <c r="D2485">
        <v>11135.85</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S70"/>
  <sheetViews>
    <sheetView showGridLines="0" workbookViewId="0">
      <pane ySplit="6" topLeftCell="A55" activePane="bottomLeft" state="frozen"/>
      <selection pane="bottomLeft" activeCell="B70" sqref="B58:F70"/>
    </sheetView>
  </sheetViews>
  <sheetFormatPr defaultRowHeight="15" x14ac:dyDescent="0.25"/>
  <cols>
    <col min="1" max="1" width="2.85546875" customWidth="1"/>
    <col min="2" max="2" width="12.42578125" customWidth="1"/>
    <col min="3" max="4" width="11.42578125" customWidth="1"/>
    <col min="5" max="5" width="12.140625" customWidth="1"/>
    <col min="6" max="7" width="11.42578125" customWidth="1"/>
    <col min="8" max="8" width="18.85546875" bestFit="1" customWidth="1"/>
    <col min="9" max="9" width="11.42578125" customWidth="1"/>
    <col min="11" max="12" width="20.42578125" bestFit="1" customWidth="1"/>
    <col min="13" max="13" width="24.28515625" bestFit="1" customWidth="1"/>
  </cols>
  <sheetData>
    <row r="1" spans="1:19" ht="7.5" customHeight="1" x14ac:dyDescent="0.25">
      <c r="A1">
        <v>0</v>
      </c>
      <c r="B1" s="162"/>
      <c r="C1" s="162"/>
      <c r="D1" s="162"/>
      <c r="E1" s="162"/>
      <c r="F1" s="162"/>
      <c r="G1" s="162"/>
      <c r="H1" s="162"/>
      <c r="I1" s="162"/>
      <c r="J1" s="162"/>
      <c r="K1" s="162"/>
      <c r="L1" s="162"/>
      <c r="M1" s="162"/>
    </row>
    <row r="2" spans="1:19" ht="26.25" x14ac:dyDescent="0.25">
      <c r="B2" s="161" t="s">
        <v>378</v>
      </c>
    </row>
    <row r="3" spans="1:19" x14ac:dyDescent="0.25">
      <c r="B3" s="160" t="s">
        <v>382</v>
      </c>
    </row>
    <row r="4" spans="1:19" x14ac:dyDescent="0.25">
      <c r="B4" s="159" t="s">
        <v>380</v>
      </c>
    </row>
    <row r="5" spans="1:19" x14ac:dyDescent="0.25">
      <c r="B5" s="159" t="s">
        <v>381</v>
      </c>
    </row>
    <row r="7" spans="1:19" ht="15.75" thickBot="1" x14ac:dyDescent="0.3">
      <c r="B7" s="214" t="s">
        <v>272</v>
      </c>
      <c r="C7" s="214"/>
      <c r="D7" s="214"/>
      <c r="E7" s="214"/>
      <c r="F7" s="214"/>
    </row>
    <row r="8" spans="1:19" ht="15.75" thickBot="1" x14ac:dyDescent="0.3"/>
    <row r="9" spans="1:19" ht="30.75" thickBot="1" x14ac:dyDescent="0.3">
      <c r="B9" s="58" t="s">
        <v>233</v>
      </c>
      <c r="C9" s="58" t="s">
        <v>239</v>
      </c>
      <c r="D9" s="58" t="s">
        <v>240</v>
      </c>
      <c r="E9" s="58" t="s">
        <v>241</v>
      </c>
      <c r="F9" s="58" t="s">
        <v>240</v>
      </c>
      <c r="G9" s="76"/>
      <c r="H9" s="212" t="s">
        <v>273</v>
      </c>
      <c r="I9" s="213"/>
    </row>
    <row r="10" spans="1:19" x14ac:dyDescent="0.25">
      <c r="B10" s="54">
        <v>43952</v>
      </c>
      <c r="C10" s="55">
        <v>32424.1</v>
      </c>
      <c r="D10" s="56"/>
      <c r="E10" s="48">
        <v>632.29999999999995</v>
      </c>
      <c r="F10" s="56"/>
      <c r="G10" s="31"/>
      <c r="H10" s="62"/>
      <c r="I10" s="63"/>
      <c r="K10" s="59"/>
    </row>
    <row r="11" spans="1:19" ht="15.75" thickBot="1" x14ac:dyDescent="0.3">
      <c r="B11" s="54">
        <v>43983</v>
      </c>
      <c r="C11" s="55">
        <v>34915.800000000003</v>
      </c>
      <c r="D11" s="57">
        <f>C11/C10-1</f>
        <v>7.6847159982852409E-2</v>
      </c>
      <c r="E11" s="48">
        <v>682.7</v>
      </c>
      <c r="F11" s="57">
        <f>E11/E10-1</f>
        <v>7.9708998892930705E-2</v>
      </c>
      <c r="G11" s="75"/>
      <c r="H11" s="77" t="s">
        <v>274</v>
      </c>
      <c r="I11" s="78">
        <f>L14</f>
        <v>1.2320412463809369</v>
      </c>
    </row>
    <row r="12" spans="1:19" ht="15.75" thickBot="1" x14ac:dyDescent="0.3">
      <c r="B12" s="54">
        <v>44013</v>
      </c>
      <c r="C12" s="55">
        <v>37606.89</v>
      </c>
      <c r="D12" s="57">
        <f t="shared" ref="D12:D70" si="0">C12/C11-1</f>
        <v>7.7073703022700224E-2</v>
      </c>
      <c r="E12" s="48">
        <v>707.55</v>
      </c>
      <c r="F12" s="57">
        <f t="shared" ref="F12:F70" si="1">E12/E11-1</f>
        <v>3.6399589863776116E-2</v>
      </c>
      <c r="G12" s="75"/>
      <c r="H12" s="79" t="s">
        <v>275</v>
      </c>
      <c r="I12" s="80">
        <v>0.75</v>
      </c>
      <c r="K12" s="205" t="s">
        <v>266</v>
      </c>
      <c r="L12" s="206">
        <f>SLOPE(F11:F70,D11:D70)</f>
        <v>1.2320412463809376</v>
      </c>
      <c r="M12" s="203" t="s">
        <v>269</v>
      </c>
    </row>
    <row r="13" spans="1:19" ht="15.75" thickBot="1" x14ac:dyDescent="0.3">
      <c r="B13" s="54">
        <v>44044</v>
      </c>
      <c r="C13" s="55">
        <v>38628.29</v>
      </c>
      <c r="D13" s="57">
        <f t="shared" si="0"/>
        <v>2.7159916706752441E-2</v>
      </c>
      <c r="E13" s="48">
        <v>736.1</v>
      </c>
      <c r="F13" s="57">
        <f t="shared" si="1"/>
        <v>4.0350505264645786E-2</v>
      </c>
      <c r="G13" s="75"/>
      <c r="H13" s="77"/>
      <c r="I13" s="81"/>
      <c r="K13" s="207" t="s">
        <v>267</v>
      </c>
      <c r="L13" s="208">
        <f>_xlfn.COVARIANCE.S(F11:F70,D11:D70)/_xlfn.VAR.S(D11:D70)</f>
        <v>1.2320412463809378</v>
      </c>
      <c r="M13" s="204" t="s">
        <v>270</v>
      </c>
    </row>
    <row r="14" spans="1:19" x14ac:dyDescent="0.25">
      <c r="B14" s="54">
        <v>44075</v>
      </c>
      <c r="C14" s="55">
        <v>38067.93</v>
      </c>
      <c r="D14" s="57">
        <f t="shared" si="0"/>
        <v>-1.4506466633651183E-2</v>
      </c>
      <c r="E14" s="48">
        <v>698.8</v>
      </c>
      <c r="F14" s="57">
        <f t="shared" si="1"/>
        <v>-5.0672462980573374E-2</v>
      </c>
      <c r="G14" s="75"/>
      <c r="H14" s="77" t="s">
        <v>276</v>
      </c>
      <c r="I14" s="78">
        <v>1</v>
      </c>
      <c r="K14" s="209" t="s">
        <v>268</v>
      </c>
      <c r="L14" s="210">
        <f>L32</f>
        <v>1.2320412463809369</v>
      </c>
      <c r="M14" s="74" t="s">
        <v>271</v>
      </c>
      <c r="N14" s="60"/>
      <c r="O14" s="60"/>
      <c r="P14" s="60"/>
      <c r="Q14" s="60"/>
      <c r="R14" s="60"/>
      <c r="S14" s="61"/>
    </row>
    <row r="15" spans="1:19" x14ac:dyDescent="0.25">
      <c r="B15" s="54">
        <v>44105</v>
      </c>
      <c r="C15" s="55">
        <v>39614.07</v>
      </c>
      <c r="D15" s="57">
        <f t="shared" si="0"/>
        <v>4.061528956263194E-2</v>
      </c>
      <c r="E15" s="48">
        <v>654.70000000000005</v>
      </c>
      <c r="F15" s="57">
        <f t="shared" si="1"/>
        <v>-6.3108185460789779E-2</v>
      </c>
      <c r="G15" s="75"/>
      <c r="H15" s="79" t="s">
        <v>277</v>
      </c>
      <c r="I15" s="80">
        <v>0.25</v>
      </c>
      <c r="K15" s="62" t="s">
        <v>242</v>
      </c>
      <c r="L15" s="31"/>
      <c r="M15" s="31"/>
      <c r="N15" s="31"/>
      <c r="O15" s="31"/>
      <c r="P15" s="31"/>
      <c r="Q15" s="31"/>
      <c r="R15" s="31"/>
      <c r="S15" s="63"/>
    </row>
    <row r="16" spans="1:19" ht="15.75" thickBot="1" x14ac:dyDescent="0.3">
      <c r="B16" s="54">
        <v>44136</v>
      </c>
      <c r="C16" s="55">
        <v>44149.72</v>
      </c>
      <c r="D16" s="57">
        <f t="shared" si="0"/>
        <v>0.11449593540880798</v>
      </c>
      <c r="E16" s="48">
        <v>873.25</v>
      </c>
      <c r="F16" s="57">
        <f t="shared" si="1"/>
        <v>0.33381701542691289</v>
      </c>
      <c r="G16" s="75"/>
      <c r="H16" s="77"/>
      <c r="I16" s="81"/>
      <c r="K16" s="62"/>
      <c r="L16" s="31"/>
      <c r="M16" s="31"/>
      <c r="N16" s="31"/>
      <c r="O16" s="31"/>
      <c r="P16" s="31"/>
      <c r="Q16" s="31"/>
      <c r="R16" s="31"/>
      <c r="S16" s="63"/>
    </row>
    <row r="17" spans="2:19" ht="15.75" thickBot="1" x14ac:dyDescent="0.3">
      <c r="B17" s="54">
        <v>44166</v>
      </c>
      <c r="C17" s="55">
        <v>47751.33</v>
      </c>
      <c r="D17" s="57">
        <f t="shared" si="0"/>
        <v>8.15771878054945E-2</v>
      </c>
      <c r="E17" s="48">
        <v>915.45</v>
      </c>
      <c r="F17" s="57">
        <f t="shared" si="1"/>
        <v>4.8325221872316027E-2</v>
      </c>
      <c r="G17" s="75"/>
      <c r="H17" s="139" t="s">
        <v>278</v>
      </c>
      <c r="I17" s="140">
        <f>(I11*I12)+(I14*I15)</f>
        <v>1.1740309347857028</v>
      </c>
      <c r="K17" s="64" t="s">
        <v>243</v>
      </c>
      <c r="L17" s="52"/>
      <c r="M17" s="31"/>
      <c r="N17" s="31"/>
      <c r="O17" s="31"/>
      <c r="P17" s="31"/>
      <c r="Q17" s="31"/>
      <c r="R17" s="31"/>
      <c r="S17" s="63"/>
    </row>
    <row r="18" spans="2:19" x14ac:dyDescent="0.25">
      <c r="B18" s="54">
        <v>44197</v>
      </c>
      <c r="C18" s="55">
        <v>46285.77</v>
      </c>
      <c r="D18" s="57">
        <f t="shared" si="0"/>
        <v>-3.0691501158187751E-2</v>
      </c>
      <c r="E18" s="48">
        <v>899.95</v>
      </c>
      <c r="F18" s="57">
        <f t="shared" si="1"/>
        <v>-1.6931563711835684E-2</v>
      </c>
      <c r="G18" s="75"/>
      <c r="H18" s="75"/>
      <c r="I18" s="75"/>
      <c r="K18" s="65" t="s">
        <v>244</v>
      </c>
      <c r="L18" s="49">
        <v>0.32295575680035288</v>
      </c>
      <c r="M18" s="31"/>
      <c r="N18" s="31"/>
      <c r="O18" s="31"/>
      <c r="P18" s="31"/>
      <c r="Q18" s="31"/>
      <c r="R18" s="31"/>
      <c r="S18" s="63"/>
    </row>
    <row r="19" spans="2:19" x14ac:dyDescent="0.25">
      <c r="B19" s="54">
        <v>44228</v>
      </c>
      <c r="C19" s="55">
        <v>49099.99</v>
      </c>
      <c r="D19" s="57">
        <f t="shared" si="0"/>
        <v>6.0800976196355938E-2</v>
      </c>
      <c r="E19" s="48">
        <v>1039.4000000000001</v>
      </c>
      <c r="F19" s="57">
        <f t="shared" si="1"/>
        <v>0.15495305294738593</v>
      </c>
      <c r="G19" s="75"/>
      <c r="H19" s="75"/>
      <c r="I19" s="75"/>
      <c r="K19" s="65" t="s">
        <v>245</v>
      </c>
      <c r="L19" s="49">
        <v>0.10430042085048866</v>
      </c>
      <c r="M19" s="31"/>
      <c r="N19" s="31"/>
      <c r="O19" s="31"/>
      <c r="P19" s="31"/>
      <c r="Q19" s="31"/>
      <c r="R19" s="31"/>
      <c r="S19" s="63"/>
    </row>
    <row r="20" spans="2:19" x14ac:dyDescent="0.25">
      <c r="B20" s="54">
        <v>44256</v>
      </c>
      <c r="C20" s="55">
        <v>49509.15</v>
      </c>
      <c r="D20" s="57">
        <f t="shared" si="0"/>
        <v>8.3331992531974208E-3</v>
      </c>
      <c r="E20" s="48">
        <v>1005.9</v>
      </c>
      <c r="F20" s="57">
        <f t="shared" si="1"/>
        <v>-3.2230132768905295E-2</v>
      </c>
      <c r="G20" s="75"/>
      <c r="H20" s="75"/>
      <c r="I20" s="75"/>
      <c r="K20" s="65" t="s">
        <v>246</v>
      </c>
      <c r="L20" s="49">
        <v>8.8857324658255701E-2</v>
      </c>
      <c r="M20" s="31"/>
      <c r="N20" s="31"/>
      <c r="O20" s="31"/>
      <c r="P20" s="31"/>
      <c r="Q20" s="31"/>
      <c r="R20" s="31"/>
      <c r="S20" s="63"/>
    </row>
    <row r="21" spans="2:19" x14ac:dyDescent="0.25">
      <c r="B21" s="54">
        <v>44287</v>
      </c>
      <c r="C21" s="55">
        <v>48782.36</v>
      </c>
      <c r="D21" s="57">
        <f t="shared" si="0"/>
        <v>-1.4679912703005393E-2</v>
      </c>
      <c r="E21" s="48">
        <v>951.3</v>
      </c>
      <c r="F21" s="57">
        <f t="shared" si="1"/>
        <v>-5.4279749478079342E-2</v>
      </c>
      <c r="G21" s="75"/>
      <c r="H21" s="75"/>
      <c r="I21" s="75"/>
      <c r="K21" s="65" t="s">
        <v>247</v>
      </c>
      <c r="L21" s="49">
        <v>0.14592439204327004</v>
      </c>
      <c r="M21" s="31"/>
      <c r="N21" s="31"/>
      <c r="O21" s="31"/>
      <c r="P21" s="31"/>
      <c r="Q21" s="31"/>
      <c r="R21" s="31"/>
      <c r="S21" s="63"/>
    </row>
    <row r="22" spans="2:19" ht="15.75" thickBot="1" x14ac:dyDescent="0.3">
      <c r="B22" s="54">
        <v>44317</v>
      </c>
      <c r="C22" s="55">
        <v>51937.440000000002</v>
      </c>
      <c r="D22" s="57">
        <f t="shared" si="0"/>
        <v>6.4676657709877183E-2</v>
      </c>
      <c r="E22" s="48">
        <v>1012.75</v>
      </c>
      <c r="F22" s="57">
        <f t="shared" si="1"/>
        <v>6.4595816251445504E-2</v>
      </c>
      <c r="G22" s="75"/>
      <c r="H22" s="75"/>
      <c r="I22" s="75"/>
      <c r="K22" s="66" t="s">
        <v>248</v>
      </c>
      <c r="L22" s="50">
        <v>60</v>
      </c>
      <c r="M22" s="31"/>
      <c r="N22" s="31"/>
      <c r="O22" s="31"/>
      <c r="P22" s="31"/>
      <c r="Q22" s="31"/>
      <c r="R22" s="31"/>
      <c r="S22" s="63"/>
    </row>
    <row r="23" spans="2:19" x14ac:dyDescent="0.25">
      <c r="B23" s="54">
        <v>44348</v>
      </c>
      <c r="C23" s="55">
        <v>52482.71</v>
      </c>
      <c r="D23" s="57">
        <f t="shared" si="0"/>
        <v>1.0498592152404784E-2</v>
      </c>
      <c r="E23" s="48">
        <v>729.2</v>
      </c>
      <c r="F23" s="57">
        <f t="shared" si="1"/>
        <v>-0.27998025178968156</v>
      </c>
      <c r="G23" s="75"/>
      <c r="H23" s="75"/>
      <c r="I23" s="75"/>
      <c r="K23" s="62"/>
      <c r="L23" s="31"/>
      <c r="M23" s="31"/>
      <c r="N23" s="31"/>
      <c r="O23" s="31"/>
      <c r="P23" s="31"/>
      <c r="Q23" s="31"/>
      <c r="R23" s="31"/>
      <c r="S23" s="63"/>
    </row>
    <row r="24" spans="2:19" ht="15.75" thickBot="1" x14ac:dyDescent="0.3">
      <c r="B24" s="54">
        <v>44378</v>
      </c>
      <c r="C24" s="55">
        <v>52586.84</v>
      </c>
      <c r="D24" s="57">
        <f t="shared" si="0"/>
        <v>1.9840819957657185E-3</v>
      </c>
      <c r="E24" s="48">
        <v>761.55</v>
      </c>
      <c r="F24" s="57">
        <f t="shared" si="1"/>
        <v>4.4363686231486454E-2</v>
      </c>
      <c r="G24" s="75"/>
      <c r="H24" s="75"/>
      <c r="I24" s="75"/>
      <c r="K24" s="62" t="s">
        <v>249</v>
      </c>
      <c r="L24" s="31"/>
      <c r="M24" s="31"/>
      <c r="N24" s="31"/>
      <c r="O24" s="31"/>
      <c r="P24" s="31"/>
      <c r="Q24" s="31"/>
      <c r="R24" s="31"/>
      <c r="S24" s="63"/>
    </row>
    <row r="25" spans="2:19" x14ac:dyDescent="0.25">
      <c r="B25" s="54">
        <v>44409</v>
      </c>
      <c r="C25" s="55">
        <v>57552.39</v>
      </c>
      <c r="D25" s="57">
        <f t="shared" si="0"/>
        <v>9.4425715635318763E-2</v>
      </c>
      <c r="E25" s="48">
        <v>843.3</v>
      </c>
      <c r="F25" s="57">
        <f t="shared" si="1"/>
        <v>0.10734685838093361</v>
      </c>
      <c r="G25" s="75"/>
      <c r="H25" s="75"/>
      <c r="I25" s="75"/>
      <c r="K25" s="67"/>
      <c r="L25" s="51" t="s">
        <v>253</v>
      </c>
      <c r="M25" s="51" t="s">
        <v>254</v>
      </c>
      <c r="N25" s="51" t="s">
        <v>255</v>
      </c>
      <c r="O25" s="51" t="s">
        <v>256</v>
      </c>
      <c r="P25" s="51" t="s">
        <v>257</v>
      </c>
      <c r="Q25" s="31"/>
      <c r="R25" s="31"/>
      <c r="S25" s="63"/>
    </row>
    <row r="26" spans="2:19" x14ac:dyDescent="0.25">
      <c r="B26" s="54">
        <v>44440</v>
      </c>
      <c r="C26" s="55">
        <v>59126.36</v>
      </c>
      <c r="D26" s="57">
        <f t="shared" si="0"/>
        <v>2.7348473277999386E-2</v>
      </c>
      <c r="E26" s="48">
        <v>901.25</v>
      </c>
      <c r="F26" s="57">
        <f t="shared" si="1"/>
        <v>6.8718131151428885E-2</v>
      </c>
      <c r="G26" s="75"/>
      <c r="H26" s="75"/>
      <c r="I26" s="75"/>
      <c r="K26" s="65" t="s">
        <v>250</v>
      </c>
      <c r="L26" s="49">
        <v>1</v>
      </c>
      <c r="M26" s="49">
        <v>0.14381608742602148</v>
      </c>
      <c r="N26" s="49">
        <v>0.14381608742602148</v>
      </c>
      <c r="O26" s="49">
        <v>6.7538542499622682</v>
      </c>
      <c r="P26" s="49">
        <v>1.1841936765178708E-2</v>
      </c>
      <c r="Q26" s="31"/>
      <c r="R26" s="31"/>
      <c r="S26" s="63"/>
    </row>
    <row r="27" spans="2:19" x14ac:dyDescent="0.25">
      <c r="B27" s="54">
        <v>44470</v>
      </c>
      <c r="C27" s="55">
        <v>59306.93</v>
      </c>
      <c r="D27" s="57">
        <f t="shared" si="0"/>
        <v>3.0539678072520893E-3</v>
      </c>
      <c r="E27" s="48">
        <v>850.85</v>
      </c>
      <c r="F27" s="57">
        <f t="shared" si="1"/>
        <v>-5.5922330097087358E-2</v>
      </c>
      <c r="G27" s="75"/>
      <c r="H27" s="75"/>
      <c r="I27" s="75"/>
      <c r="K27" s="65" t="s">
        <v>251</v>
      </c>
      <c r="L27" s="49">
        <v>58</v>
      </c>
      <c r="M27" s="49">
        <v>1.2350478352054823</v>
      </c>
      <c r="N27" s="49">
        <v>2.1293928193197972E-2</v>
      </c>
      <c r="O27" s="49"/>
      <c r="P27" s="49"/>
      <c r="Q27" s="31"/>
      <c r="R27" s="31"/>
      <c r="S27" s="63"/>
    </row>
    <row r="28" spans="2:19" ht="15.75" thickBot="1" x14ac:dyDescent="0.3">
      <c r="B28" s="54">
        <v>44501</v>
      </c>
      <c r="C28" s="55">
        <v>57064.87</v>
      </c>
      <c r="D28" s="57">
        <f t="shared" si="0"/>
        <v>-3.7804351026094252E-2</v>
      </c>
      <c r="E28" s="48">
        <v>893.25</v>
      </c>
      <c r="F28" s="57">
        <f t="shared" si="1"/>
        <v>4.9832520420755699E-2</v>
      </c>
      <c r="G28" s="75"/>
      <c r="H28" s="75"/>
      <c r="I28" s="75"/>
      <c r="K28" s="66" t="s">
        <v>211</v>
      </c>
      <c r="L28" s="50">
        <v>59</v>
      </c>
      <c r="M28" s="50">
        <v>1.3788639226315038</v>
      </c>
      <c r="N28" s="50"/>
      <c r="O28" s="50"/>
      <c r="P28" s="50"/>
      <c r="Q28" s="31"/>
      <c r="R28" s="31"/>
      <c r="S28" s="63"/>
    </row>
    <row r="29" spans="2:19" ht="15.75" thickBot="1" x14ac:dyDescent="0.3">
      <c r="B29" s="54">
        <v>44531</v>
      </c>
      <c r="C29" s="55">
        <v>58253.82</v>
      </c>
      <c r="D29" s="57">
        <f t="shared" si="0"/>
        <v>2.0835060169242414E-2</v>
      </c>
      <c r="E29" s="48">
        <v>886.55</v>
      </c>
      <c r="F29" s="57">
        <f t="shared" si="1"/>
        <v>-7.5006996921355151E-3</v>
      </c>
      <c r="G29" s="75"/>
      <c r="H29" s="75"/>
      <c r="I29" s="75"/>
      <c r="K29" s="62"/>
      <c r="L29" s="31"/>
      <c r="M29" s="31"/>
      <c r="N29" s="31"/>
      <c r="O29" s="31"/>
      <c r="P29" s="31"/>
      <c r="Q29" s="31"/>
      <c r="R29" s="31"/>
      <c r="S29" s="63"/>
    </row>
    <row r="30" spans="2:19" x14ac:dyDescent="0.25">
      <c r="B30" s="54">
        <v>44562</v>
      </c>
      <c r="C30" s="55">
        <v>58014.17</v>
      </c>
      <c r="D30" s="57">
        <f t="shared" si="0"/>
        <v>-4.113893303477778E-3</v>
      </c>
      <c r="E30" s="48">
        <v>903.65</v>
      </c>
      <c r="F30" s="57">
        <f t="shared" si="1"/>
        <v>1.9288252213637058E-2</v>
      </c>
      <c r="G30" s="75"/>
      <c r="H30" s="75"/>
      <c r="I30" s="75"/>
      <c r="K30" s="67"/>
      <c r="L30" s="51" t="s">
        <v>258</v>
      </c>
      <c r="M30" s="51" t="s">
        <v>247</v>
      </c>
      <c r="N30" s="51" t="s">
        <v>259</v>
      </c>
      <c r="O30" s="51" t="s">
        <v>260</v>
      </c>
      <c r="P30" s="51" t="s">
        <v>261</v>
      </c>
      <c r="Q30" s="51" t="s">
        <v>262</v>
      </c>
      <c r="R30" s="51" t="s">
        <v>263</v>
      </c>
      <c r="S30" s="68" t="s">
        <v>264</v>
      </c>
    </row>
    <row r="31" spans="2:19" x14ac:dyDescent="0.25">
      <c r="B31" s="54">
        <v>44593</v>
      </c>
      <c r="C31" s="55">
        <v>56247.28</v>
      </c>
      <c r="D31" s="57">
        <f t="shared" si="0"/>
        <v>-3.0456179929834404E-2</v>
      </c>
      <c r="E31" s="48">
        <v>945</v>
      </c>
      <c r="F31" s="57">
        <f t="shared" si="1"/>
        <v>4.5758866817905197E-2</v>
      </c>
      <c r="G31" s="75"/>
      <c r="H31" s="75"/>
      <c r="I31" s="75"/>
      <c r="K31" s="65" t="s">
        <v>252</v>
      </c>
      <c r="L31" s="49">
        <v>-9.5234160362849124E-3</v>
      </c>
      <c r="M31" s="49">
        <v>2.0358440349404813E-2</v>
      </c>
      <c r="N31" s="49">
        <v>-0.46778711300265857</v>
      </c>
      <c r="O31" s="49">
        <v>0.64168983120664891</v>
      </c>
      <c r="P31" s="49">
        <v>-5.0275262033616354E-2</v>
      </c>
      <c r="Q31" s="49">
        <v>3.1228429961046529E-2</v>
      </c>
      <c r="R31" s="49">
        <v>-5.0275262033616354E-2</v>
      </c>
      <c r="S31" s="69">
        <v>3.1228429961046529E-2</v>
      </c>
    </row>
    <row r="32" spans="2:19" ht="15.75" thickBot="1" x14ac:dyDescent="0.3">
      <c r="B32" s="54">
        <v>44621</v>
      </c>
      <c r="C32" s="55">
        <v>58568.51</v>
      </c>
      <c r="D32" s="57">
        <f t="shared" si="0"/>
        <v>4.1268306663006626E-2</v>
      </c>
      <c r="E32" s="48">
        <v>941.05</v>
      </c>
      <c r="F32" s="57">
        <f t="shared" si="1"/>
        <v>-4.1798941798942835E-3</v>
      </c>
      <c r="G32" s="75"/>
      <c r="H32" s="75"/>
      <c r="I32" s="75"/>
      <c r="K32" s="66" t="s">
        <v>265</v>
      </c>
      <c r="L32" s="53">
        <v>1.2320412463809369</v>
      </c>
      <c r="M32" s="50">
        <v>0.47407756700535841</v>
      </c>
      <c r="N32" s="50">
        <v>2.5988178562496955</v>
      </c>
      <c r="O32" s="50">
        <v>1.1841936765178744E-2</v>
      </c>
      <c r="P32" s="50">
        <v>0.28307189166527669</v>
      </c>
      <c r="Q32" s="50">
        <v>2.1810106010965971</v>
      </c>
      <c r="R32" s="50">
        <v>0.28307189166527669</v>
      </c>
      <c r="S32" s="70">
        <v>2.1810106010965971</v>
      </c>
    </row>
    <row r="33" spans="2:19" ht="15.75" thickBot="1" x14ac:dyDescent="0.3">
      <c r="B33" s="54">
        <v>44652</v>
      </c>
      <c r="C33" s="55">
        <v>57060.87</v>
      </c>
      <c r="D33" s="57">
        <f t="shared" si="0"/>
        <v>-2.5741477800954815E-2</v>
      </c>
      <c r="E33" s="48">
        <v>1084.3499999999999</v>
      </c>
      <c r="F33" s="57">
        <f t="shared" si="1"/>
        <v>0.1522767121831996</v>
      </c>
      <c r="G33" s="75"/>
      <c r="H33" s="75"/>
      <c r="I33" s="75"/>
      <c r="K33" s="71"/>
      <c r="L33" s="72"/>
      <c r="M33" s="72"/>
      <c r="N33" s="72"/>
      <c r="O33" s="72"/>
      <c r="P33" s="72"/>
      <c r="Q33" s="72"/>
      <c r="R33" s="72"/>
      <c r="S33" s="73"/>
    </row>
    <row r="34" spans="2:19" x14ac:dyDescent="0.25">
      <c r="B34" s="54">
        <v>44682</v>
      </c>
      <c r="C34" s="55">
        <v>55566.41</v>
      </c>
      <c r="D34" s="57">
        <f t="shared" si="0"/>
        <v>-2.6190627657797672E-2</v>
      </c>
      <c r="E34" s="48">
        <v>1057.8</v>
      </c>
      <c r="F34" s="57">
        <f t="shared" si="1"/>
        <v>-2.4484714344999214E-2</v>
      </c>
      <c r="G34" s="75"/>
      <c r="H34" s="75"/>
      <c r="I34" s="75"/>
    </row>
    <row r="35" spans="2:19" x14ac:dyDescent="0.25">
      <c r="B35" s="54">
        <v>44713</v>
      </c>
      <c r="C35" s="55">
        <v>53018.94</v>
      </c>
      <c r="D35" s="57">
        <f t="shared" si="0"/>
        <v>-4.5845502705681329E-2</v>
      </c>
      <c r="E35" s="48">
        <v>790.6</v>
      </c>
      <c r="F35" s="57">
        <f t="shared" si="1"/>
        <v>-0.2525997352996785</v>
      </c>
      <c r="G35" s="75"/>
      <c r="H35" s="75"/>
      <c r="I35" s="75"/>
    </row>
    <row r="36" spans="2:19" x14ac:dyDescent="0.25">
      <c r="B36" s="54">
        <v>44743</v>
      </c>
      <c r="C36" s="55">
        <v>57570.25</v>
      </c>
      <c r="D36" s="57">
        <f t="shared" si="0"/>
        <v>8.5843096825398479E-2</v>
      </c>
      <c r="E36" s="48">
        <v>883.15</v>
      </c>
      <c r="F36" s="57">
        <f t="shared" si="1"/>
        <v>0.1170629901340754</v>
      </c>
      <c r="G36" s="75"/>
      <c r="H36" s="75"/>
      <c r="I36" s="75"/>
    </row>
    <row r="37" spans="2:19" x14ac:dyDescent="0.25">
      <c r="B37" s="54">
        <v>44774</v>
      </c>
      <c r="C37" s="55">
        <v>59537.07</v>
      </c>
      <c r="D37" s="57">
        <f t="shared" si="0"/>
        <v>3.4163825934401926E-2</v>
      </c>
      <c r="E37" s="48">
        <v>1033.8499999999999</v>
      </c>
      <c r="F37" s="57">
        <f t="shared" si="1"/>
        <v>0.17063918926569666</v>
      </c>
      <c r="G37" s="75"/>
      <c r="H37" s="75"/>
      <c r="I37" s="75"/>
    </row>
    <row r="38" spans="2:19" x14ac:dyDescent="0.25">
      <c r="B38" s="54">
        <v>44805</v>
      </c>
      <c r="C38" s="55">
        <v>57426.92</v>
      </c>
      <c r="D38" s="57">
        <f t="shared" si="0"/>
        <v>-3.5442624233943731E-2</v>
      </c>
      <c r="E38" s="48">
        <v>1044</v>
      </c>
      <c r="F38" s="57">
        <f t="shared" si="1"/>
        <v>9.817671809256856E-3</v>
      </c>
      <c r="G38" s="75"/>
      <c r="H38" s="75"/>
      <c r="I38" s="75"/>
    </row>
    <row r="39" spans="2:19" x14ac:dyDescent="0.25">
      <c r="B39" s="54">
        <v>44835</v>
      </c>
      <c r="C39" s="55">
        <v>60746.59</v>
      </c>
      <c r="D39" s="57">
        <f t="shared" si="0"/>
        <v>5.7806861311733293E-2</v>
      </c>
      <c r="E39" s="48">
        <v>1050.1500000000001</v>
      </c>
      <c r="F39" s="57">
        <f t="shared" si="1"/>
        <v>5.8908045977013046E-3</v>
      </c>
      <c r="G39" s="75"/>
      <c r="H39" s="75"/>
      <c r="I39" s="75"/>
    </row>
    <row r="40" spans="2:19" x14ac:dyDescent="0.25">
      <c r="B40" s="54">
        <v>44866</v>
      </c>
      <c r="C40" s="55">
        <v>63099.65</v>
      </c>
      <c r="D40" s="57">
        <f t="shared" si="0"/>
        <v>3.8735672241026364E-2</v>
      </c>
      <c r="E40" s="48">
        <v>1241.5999999999999</v>
      </c>
      <c r="F40" s="57">
        <f t="shared" si="1"/>
        <v>0.18230728943484253</v>
      </c>
      <c r="G40" s="75"/>
      <c r="H40" s="75"/>
      <c r="I40" s="75"/>
    </row>
    <row r="41" spans="2:19" x14ac:dyDescent="0.25">
      <c r="B41" s="54">
        <v>44896</v>
      </c>
      <c r="C41" s="55">
        <v>60840.74</v>
      </c>
      <c r="D41" s="57">
        <f t="shared" si="0"/>
        <v>-3.5799089218403024E-2</v>
      </c>
      <c r="E41" s="48">
        <v>1322.5</v>
      </c>
      <c r="F41" s="57">
        <f t="shared" si="1"/>
        <v>6.5157860824742286E-2</v>
      </c>
      <c r="G41" s="75"/>
      <c r="H41" s="75"/>
      <c r="I41" s="75"/>
    </row>
    <row r="42" spans="2:19" x14ac:dyDescent="0.25">
      <c r="B42" s="54">
        <v>44927</v>
      </c>
      <c r="C42" s="55">
        <v>59549.9</v>
      </c>
      <c r="D42" s="57">
        <f t="shared" si="0"/>
        <v>-2.1216704464804281E-2</v>
      </c>
      <c r="E42" s="48">
        <v>1147.8499999999999</v>
      </c>
      <c r="F42" s="57">
        <f t="shared" si="1"/>
        <v>-0.13206049149338384</v>
      </c>
      <c r="G42" s="75"/>
      <c r="H42" s="75"/>
      <c r="I42" s="75"/>
    </row>
    <row r="43" spans="2:19" x14ac:dyDescent="0.25">
      <c r="B43" s="54">
        <v>44958</v>
      </c>
      <c r="C43" s="55">
        <v>58962.12</v>
      </c>
      <c r="D43" s="57">
        <f t="shared" si="0"/>
        <v>-9.8703776160833367E-3</v>
      </c>
      <c r="E43" s="48">
        <v>1302.75</v>
      </c>
      <c r="F43" s="57">
        <f t="shared" si="1"/>
        <v>0.13494794616021255</v>
      </c>
      <c r="G43" s="75"/>
      <c r="H43" s="75"/>
      <c r="I43" s="75"/>
    </row>
    <row r="44" spans="2:19" x14ac:dyDescent="0.25">
      <c r="B44" s="54">
        <v>44986</v>
      </c>
      <c r="C44" s="55">
        <v>58991.519999999997</v>
      </c>
      <c r="D44" s="57">
        <f t="shared" si="0"/>
        <v>4.9862521903887291E-4</v>
      </c>
      <c r="E44" s="48">
        <v>1387.25</v>
      </c>
      <c r="F44" s="57">
        <f t="shared" si="1"/>
        <v>6.4862790251391189E-2</v>
      </c>
      <c r="G44" s="75"/>
      <c r="H44" s="75"/>
      <c r="I44" s="75"/>
    </row>
    <row r="45" spans="2:19" x14ac:dyDescent="0.25">
      <c r="B45" s="54">
        <v>45017</v>
      </c>
      <c r="C45" s="55">
        <v>61112.44</v>
      </c>
      <c r="D45" s="57">
        <f t="shared" si="0"/>
        <v>3.5952964087041739E-2</v>
      </c>
      <c r="E45" s="48">
        <v>1443.8</v>
      </c>
      <c r="F45" s="57">
        <f t="shared" si="1"/>
        <v>4.0764101639935157E-2</v>
      </c>
      <c r="G45" s="75"/>
      <c r="H45" s="75"/>
      <c r="I45" s="75"/>
    </row>
    <row r="46" spans="2:19" x14ac:dyDescent="0.25">
      <c r="B46" s="54">
        <v>45047</v>
      </c>
      <c r="C46" s="55">
        <v>62622.239999999998</v>
      </c>
      <c r="D46" s="57">
        <f t="shared" si="0"/>
        <v>2.4705280954254061E-2</v>
      </c>
      <c r="E46" s="48">
        <v>1693.55</v>
      </c>
      <c r="F46" s="57">
        <f t="shared" si="1"/>
        <v>0.17298102230225787</v>
      </c>
      <c r="G46" s="75"/>
      <c r="H46" s="75"/>
      <c r="I46" s="75"/>
    </row>
    <row r="47" spans="2:19" x14ac:dyDescent="0.25">
      <c r="B47" s="54">
        <v>45078</v>
      </c>
      <c r="C47" s="55">
        <v>64718.559999999998</v>
      </c>
      <c r="D47" s="57">
        <f t="shared" si="0"/>
        <v>3.3475646990589913E-2</v>
      </c>
      <c r="E47" s="48">
        <v>800.5</v>
      </c>
      <c r="F47" s="57">
        <f t="shared" si="1"/>
        <v>-0.52732425969118124</v>
      </c>
      <c r="G47" s="75"/>
      <c r="H47" s="75"/>
      <c r="I47" s="75"/>
    </row>
    <row r="48" spans="2:19" x14ac:dyDescent="0.25">
      <c r="B48" s="54">
        <v>45108</v>
      </c>
      <c r="C48" s="55">
        <v>66527.67</v>
      </c>
      <c r="D48" s="57">
        <f t="shared" si="0"/>
        <v>2.7953495875062684E-2</v>
      </c>
      <c r="E48" s="48">
        <v>804.3</v>
      </c>
      <c r="F48" s="57">
        <f t="shared" si="1"/>
        <v>4.7470331043097946E-3</v>
      </c>
      <c r="G48" s="75"/>
      <c r="H48" s="75"/>
      <c r="I48" s="75"/>
    </row>
    <row r="49" spans="2:9" x14ac:dyDescent="0.25">
      <c r="B49" s="54">
        <v>45139</v>
      </c>
      <c r="C49" s="55">
        <v>64831.41</v>
      </c>
      <c r="D49" s="57">
        <f t="shared" si="0"/>
        <v>-2.5497060095445945E-2</v>
      </c>
      <c r="E49" s="48">
        <v>899.75</v>
      </c>
      <c r="F49" s="57">
        <f t="shared" si="1"/>
        <v>0.11867462389655614</v>
      </c>
      <c r="G49" s="75"/>
      <c r="H49" s="75"/>
      <c r="I49" s="75"/>
    </row>
    <row r="50" spans="2:9" x14ac:dyDescent="0.25">
      <c r="B50" s="54">
        <v>45170</v>
      </c>
      <c r="C50" s="55">
        <v>65828.41</v>
      </c>
      <c r="D50" s="57">
        <f t="shared" si="0"/>
        <v>1.5378348242001794E-2</v>
      </c>
      <c r="E50" s="48">
        <v>946.1</v>
      </c>
      <c r="F50" s="57">
        <f t="shared" si="1"/>
        <v>5.1514309530425129E-2</v>
      </c>
      <c r="G50" s="75"/>
      <c r="H50" s="75"/>
      <c r="I50" s="75"/>
    </row>
    <row r="51" spans="2:9" x14ac:dyDescent="0.25">
      <c r="B51" s="54">
        <v>45200</v>
      </c>
      <c r="C51" s="55">
        <v>63874.93</v>
      </c>
      <c r="D51" s="57">
        <f t="shared" si="0"/>
        <v>-2.9675333188208586E-2</v>
      </c>
      <c r="E51" s="48">
        <v>909.55</v>
      </c>
      <c r="F51" s="57">
        <f t="shared" si="1"/>
        <v>-3.8632279885847276E-2</v>
      </c>
      <c r="G51" s="75"/>
      <c r="H51" s="75"/>
      <c r="I51" s="75"/>
    </row>
    <row r="52" spans="2:9" x14ac:dyDescent="0.25">
      <c r="B52" s="54">
        <v>45231</v>
      </c>
      <c r="C52" s="55">
        <v>66988.44</v>
      </c>
      <c r="D52" s="57">
        <f t="shared" si="0"/>
        <v>4.8743849895412916E-2</v>
      </c>
      <c r="E52" s="48">
        <v>1105.3499999999999</v>
      </c>
      <c r="F52" s="57">
        <f t="shared" si="1"/>
        <v>0.21527128799956019</v>
      </c>
      <c r="G52" s="75"/>
      <c r="H52" s="75"/>
      <c r="I52" s="75"/>
    </row>
    <row r="53" spans="2:9" x14ac:dyDescent="0.25">
      <c r="B53" s="54">
        <v>45261</v>
      </c>
      <c r="C53" s="55">
        <v>72240.259999999995</v>
      </c>
      <c r="D53" s="57">
        <f t="shared" si="0"/>
        <v>7.8398899869887906E-2</v>
      </c>
      <c r="E53" s="48">
        <v>1236.55</v>
      </c>
      <c r="F53" s="57">
        <f t="shared" si="1"/>
        <v>0.11869543583480358</v>
      </c>
      <c r="G53" s="75"/>
      <c r="H53" s="75"/>
      <c r="I53" s="75"/>
    </row>
    <row r="54" spans="2:9" x14ac:dyDescent="0.25">
      <c r="B54" s="54">
        <v>45292</v>
      </c>
      <c r="C54" s="55">
        <v>71752.11</v>
      </c>
      <c r="D54" s="57">
        <f t="shared" si="0"/>
        <v>-6.7573123352545617E-3</v>
      </c>
      <c r="E54" s="48">
        <v>1280.0999999999999</v>
      </c>
      <c r="F54" s="57">
        <f t="shared" si="1"/>
        <v>3.5218955966196175E-2</v>
      </c>
      <c r="G54" s="75"/>
      <c r="H54" s="75"/>
      <c r="I54" s="75"/>
    </row>
    <row r="55" spans="2:9" x14ac:dyDescent="0.25">
      <c r="B55" s="54">
        <v>45323</v>
      </c>
      <c r="C55" s="55">
        <v>72500.3</v>
      </c>
      <c r="D55" s="57">
        <f t="shared" si="0"/>
        <v>1.0427428545306983E-2</v>
      </c>
      <c r="E55" s="48">
        <v>1408.6</v>
      </c>
      <c r="F55" s="57">
        <f t="shared" si="1"/>
        <v>0.1003827825951098</v>
      </c>
      <c r="G55" s="75"/>
      <c r="H55" s="75"/>
      <c r="I55" s="75"/>
    </row>
    <row r="56" spans="2:9" x14ac:dyDescent="0.25">
      <c r="B56" s="54">
        <v>45352</v>
      </c>
      <c r="C56" s="55">
        <v>73651.350000000006</v>
      </c>
      <c r="D56" s="57">
        <f t="shared" si="0"/>
        <v>1.5876486028333803E-2</v>
      </c>
      <c r="E56" s="48">
        <v>1398.1</v>
      </c>
      <c r="F56" s="57">
        <f t="shared" si="1"/>
        <v>-7.4542098537555557E-3</v>
      </c>
      <c r="G56" s="75"/>
      <c r="H56" s="75"/>
      <c r="I56" s="75"/>
    </row>
    <row r="57" spans="2:9" x14ac:dyDescent="0.25">
      <c r="B57" s="54">
        <v>45383</v>
      </c>
      <c r="C57" s="55">
        <v>74482.78</v>
      </c>
      <c r="D57" s="57">
        <f t="shared" si="0"/>
        <v>1.1288727226316908E-2</v>
      </c>
      <c r="E57" s="48">
        <v>1479</v>
      </c>
      <c r="F57" s="57">
        <f t="shared" si="1"/>
        <v>5.7864244331592873E-2</v>
      </c>
      <c r="G57" s="75"/>
      <c r="H57" s="75"/>
      <c r="I57" s="75"/>
    </row>
    <row r="58" spans="2:9" x14ac:dyDescent="0.25">
      <c r="B58" s="54">
        <v>45413</v>
      </c>
      <c r="C58" s="55">
        <v>73961.31</v>
      </c>
      <c r="D58" s="57">
        <f t="shared" si="0"/>
        <v>-7.0012155829843881E-3</v>
      </c>
      <c r="E58" s="48">
        <v>1425.55</v>
      </c>
      <c r="F58" s="57">
        <f t="shared" si="1"/>
        <v>-3.6139283299526759E-2</v>
      </c>
      <c r="G58" s="75"/>
      <c r="H58" s="75"/>
      <c r="I58" s="75"/>
    </row>
    <row r="59" spans="2:9" x14ac:dyDescent="0.25">
      <c r="B59" s="54">
        <v>45444</v>
      </c>
      <c r="C59" s="55">
        <v>79032.73</v>
      </c>
      <c r="D59" s="57">
        <f t="shared" si="0"/>
        <v>6.8568552936663751E-2</v>
      </c>
      <c r="E59" s="48">
        <v>1629.75</v>
      </c>
      <c r="F59" s="57">
        <f t="shared" si="1"/>
        <v>0.14324295885798466</v>
      </c>
      <c r="G59" s="75"/>
      <c r="H59" s="75"/>
      <c r="I59" s="75"/>
    </row>
    <row r="60" spans="2:9" x14ac:dyDescent="0.25">
      <c r="B60" s="54">
        <v>45474</v>
      </c>
      <c r="C60" s="55">
        <v>81741.34</v>
      </c>
      <c r="D60" s="57">
        <f t="shared" si="0"/>
        <v>3.427200351044446E-2</v>
      </c>
      <c r="E60" s="48">
        <v>1577.7</v>
      </c>
      <c r="F60" s="57">
        <f t="shared" si="1"/>
        <v>-3.1937413713759799E-2</v>
      </c>
      <c r="G60" s="75"/>
      <c r="H60" s="75"/>
      <c r="I60" s="75"/>
    </row>
    <row r="61" spans="2:9" x14ac:dyDescent="0.25">
      <c r="B61" s="54">
        <v>45505</v>
      </c>
      <c r="C61" s="55">
        <v>82365.77</v>
      </c>
      <c r="D61" s="57">
        <f t="shared" si="0"/>
        <v>7.6390966920778514E-3</v>
      </c>
      <c r="E61" s="48">
        <v>1500.95</v>
      </c>
      <c r="F61" s="57">
        <f t="shared" si="1"/>
        <v>-4.8646764277112231E-2</v>
      </c>
      <c r="G61" s="75"/>
      <c r="H61" s="75"/>
      <c r="I61" s="75"/>
    </row>
    <row r="62" spans="2:9" x14ac:dyDescent="0.25">
      <c r="B62" s="54">
        <v>45536</v>
      </c>
      <c r="C62" s="55">
        <v>84299.78</v>
      </c>
      <c r="D62" s="57">
        <f t="shared" si="0"/>
        <v>2.3480749345268004E-2</v>
      </c>
      <c r="E62" s="48">
        <v>606.20000000000005</v>
      </c>
      <c r="F62" s="57">
        <f t="shared" si="1"/>
        <v>-0.59612245577800727</v>
      </c>
      <c r="G62" s="75"/>
      <c r="H62" s="75"/>
      <c r="I62" s="75"/>
    </row>
    <row r="63" spans="2:9" x14ac:dyDescent="0.25">
      <c r="B63" s="54">
        <v>45566</v>
      </c>
      <c r="C63" s="55">
        <v>79389.06</v>
      </c>
      <c r="D63" s="57">
        <f t="shared" si="0"/>
        <v>-5.8253058311658723E-2</v>
      </c>
      <c r="E63" s="48">
        <v>598.15</v>
      </c>
      <c r="F63" s="57">
        <f t="shared" si="1"/>
        <v>-1.3279445727482742E-2</v>
      </c>
      <c r="G63" s="75"/>
      <c r="H63" s="75"/>
      <c r="I63" s="75"/>
    </row>
    <row r="64" spans="2:9" x14ac:dyDescent="0.25">
      <c r="B64" s="54">
        <v>45597</v>
      </c>
      <c r="C64" s="55">
        <v>79802.789999999994</v>
      </c>
      <c r="D64" s="57">
        <f t="shared" si="0"/>
        <v>5.2114233371700625E-3</v>
      </c>
      <c r="E64" s="48">
        <v>621</v>
      </c>
      <c r="F64" s="57">
        <f t="shared" si="1"/>
        <v>3.8201120120371135E-2</v>
      </c>
      <c r="G64" s="75"/>
      <c r="H64" s="75"/>
      <c r="I64" s="75"/>
    </row>
    <row r="65" spans="2:9" x14ac:dyDescent="0.25">
      <c r="B65" s="54">
        <v>45627</v>
      </c>
      <c r="C65" s="55">
        <v>78139.009999999995</v>
      </c>
      <c r="D65" s="57">
        <f t="shared" si="0"/>
        <v>-2.0848644514809611E-2</v>
      </c>
      <c r="E65" s="48">
        <v>638.45000000000005</v>
      </c>
      <c r="F65" s="57">
        <f t="shared" si="1"/>
        <v>2.8099838969404267E-2</v>
      </c>
      <c r="G65" s="75"/>
      <c r="H65" s="75"/>
      <c r="I65" s="75"/>
    </row>
    <row r="66" spans="2:9" x14ac:dyDescent="0.25">
      <c r="B66" s="54">
        <v>45658</v>
      </c>
      <c r="C66" s="55">
        <v>77500.570000000007</v>
      </c>
      <c r="D66" s="57">
        <f t="shared" si="0"/>
        <v>-8.1705667885987321E-3</v>
      </c>
      <c r="E66" s="48">
        <v>536.70000000000005</v>
      </c>
      <c r="F66" s="57">
        <f t="shared" si="1"/>
        <v>-0.15937035006656741</v>
      </c>
      <c r="G66" s="75"/>
      <c r="H66" s="75"/>
      <c r="I66" s="75"/>
    </row>
    <row r="67" spans="2:9" x14ac:dyDescent="0.25">
      <c r="B67" s="54">
        <v>45689</v>
      </c>
      <c r="C67" s="55">
        <v>73198.100000000006</v>
      </c>
      <c r="D67" s="57">
        <f t="shared" si="0"/>
        <v>-5.5515333629159169E-2</v>
      </c>
      <c r="E67" s="48">
        <v>435.45</v>
      </c>
      <c r="F67" s="57">
        <f t="shared" si="1"/>
        <v>-0.18865287870318626</v>
      </c>
      <c r="G67" s="75"/>
      <c r="H67" s="75"/>
      <c r="I67" s="75"/>
    </row>
    <row r="68" spans="2:9" x14ac:dyDescent="0.25">
      <c r="B68" s="54">
        <v>45717</v>
      </c>
      <c r="C68" s="55">
        <v>77414.92</v>
      </c>
      <c r="D68" s="57">
        <f t="shared" si="0"/>
        <v>5.760832589916931E-2</v>
      </c>
      <c r="E68" s="48">
        <v>539.6</v>
      </c>
      <c r="F68" s="57">
        <f t="shared" si="1"/>
        <v>0.23917786198185786</v>
      </c>
      <c r="G68" s="75"/>
      <c r="H68" s="75"/>
      <c r="I68" s="75"/>
    </row>
    <row r="69" spans="2:9" x14ac:dyDescent="0.25">
      <c r="B69" s="54">
        <v>45748</v>
      </c>
      <c r="C69" s="55">
        <v>80242.240000000005</v>
      </c>
      <c r="D69" s="57">
        <f t="shared" si="0"/>
        <v>3.652164208139741E-2</v>
      </c>
      <c r="E69" s="48">
        <v>521</v>
      </c>
      <c r="F69" s="57">
        <f t="shared" si="1"/>
        <v>-3.4469977761304671E-2</v>
      </c>
      <c r="G69" s="75"/>
      <c r="H69" s="75"/>
      <c r="I69" s="75"/>
    </row>
    <row r="70" spans="2:9" x14ac:dyDescent="0.25">
      <c r="B70" s="54">
        <v>45778</v>
      </c>
      <c r="C70" s="55">
        <v>81633.02</v>
      </c>
      <c r="D70" s="57">
        <f t="shared" si="0"/>
        <v>1.7332267892820497E-2</v>
      </c>
      <c r="E70" s="48">
        <v>482.85</v>
      </c>
      <c r="F70" s="57">
        <f t="shared" si="1"/>
        <v>-7.3224568138195778E-2</v>
      </c>
      <c r="G70" s="75"/>
      <c r="H70" s="75"/>
      <c r="I70" s="75"/>
    </row>
  </sheetData>
  <mergeCells count="2">
    <mergeCell ref="H9:I9"/>
    <mergeCell ref="B7:F7"/>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1:L67"/>
  <sheetViews>
    <sheetView showGridLines="0" topLeftCell="I1" workbookViewId="0">
      <pane ySplit="6" topLeftCell="A7" activePane="bottomLeft" state="frozen"/>
      <selection activeCell="B1" sqref="B1"/>
      <selection pane="bottomLeft" activeCell="S75" sqref="S75"/>
    </sheetView>
  </sheetViews>
  <sheetFormatPr defaultRowHeight="15" x14ac:dyDescent="0.25"/>
  <cols>
    <col min="1" max="1" width="2.85546875" customWidth="1"/>
    <col min="2" max="2" width="23.140625" bestFit="1" customWidth="1"/>
    <col min="3" max="3" width="14.28515625" bestFit="1" customWidth="1"/>
    <col min="4" max="4" width="12.140625" customWidth="1"/>
    <col min="5" max="5" width="13.28515625" customWidth="1"/>
    <col min="6" max="7" width="9.28515625" bestFit="1" customWidth="1"/>
    <col min="8" max="8" width="9.42578125" bestFit="1" customWidth="1"/>
    <col min="9" max="9" width="9.28515625" bestFit="1" customWidth="1"/>
    <col min="10" max="10" width="9.42578125" bestFit="1" customWidth="1"/>
    <col min="11" max="12" width="9.28515625" bestFit="1" customWidth="1"/>
  </cols>
  <sheetData>
    <row r="1" spans="2:12" ht="6.75" customHeight="1" x14ac:dyDescent="0.25">
      <c r="B1" s="162"/>
      <c r="C1" s="162"/>
      <c r="D1" s="162"/>
      <c r="E1" s="162"/>
      <c r="F1" s="162"/>
      <c r="G1" s="162"/>
      <c r="H1" s="162"/>
      <c r="I1" s="162"/>
      <c r="J1" s="162"/>
      <c r="K1" s="162"/>
      <c r="L1" s="162"/>
    </row>
    <row r="2" spans="2:12" ht="26.25" x14ac:dyDescent="0.25">
      <c r="B2" s="161" t="s">
        <v>378</v>
      </c>
    </row>
    <row r="3" spans="2:12" x14ac:dyDescent="0.25">
      <c r="B3" s="160" t="s">
        <v>382</v>
      </c>
    </row>
    <row r="4" spans="2:12" x14ac:dyDescent="0.25">
      <c r="B4" s="159" t="s">
        <v>380</v>
      </c>
    </row>
    <row r="5" spans="2:12" x14ac:dyDescent="0.25">
      <c r="B5" s="159" t="s">
        <v>381</v>
      </c>
    </row>
    <row r="7" spans="2:12" x14ac:dyDescent="0.25">
      <c r="B7" s="163" t="s">
        <v>329</v>
      </c>
      <c r="C7" s="165">
        <v>2025</v>
      </c>
      <c r="D7" s="165">
        <f>C7+1</f>
        <v>2026</v>
      </c>
      <c r="E7" s="165">
        <f t="shared" ref="E7:L7" si="0">D7+1</f>
        <v>2027</v>
      </c>
      <c r="F7" s="165">
        <f t="shared" si="0"/>
        <v>2028</v>
      </c>
      <c r="G7" s="165">
        <f t="shared" si="0"/>
        <v>2029</v>
      </c>
      <c r="H7" s="165">
        <f t="shared" si="0"/>
        <v>2030</v>
      </c>
      <c r="I7" s="165">
        <f t="shared" si="0"/>
        <v>2031</v>
      </c>
      <c r="J7" s="165">
        <f t="shared" si="0"/>
        <v>2032</v>
      </c>
      <c r="K7" s="165">
        <f t="shared" si="0"/>
        <v>2033</v>
      </c>
      <c r="L7" s="165">
        <f t="shared" si="0"/>
        <v>2034</v>
      </c>
    </row>
    <row r="8" spans="2:12" x14ac:dyDescent="0.25">
      <c r="B8" s="1" t="s">
        <v>155</v>
      </c>
      <c r="C8" s="28">
        <f>Model!H38</f>
        <v>43438.679051593448</v>
      </c>
      <c r="D8" s="28">
        <f>Model!I38</f>
        <v>57710.129429972381</v>
      </c>
      <c r="E8" s="28">
        <f>Model!J38</f>
        <v>74825.129396131961</v>
      </c>
      <c r="F8" s="28">
        <f>Model!K38</f>
        <v>94780.568430465835</v>
      </c>
      <c r="G8" s="28">
        <f>Model!L38</f>
        <v>117479.58428681515</v>
      </c>
      <c r="H8" s="28">
        <f>Model!M38</f>
        <v>142737.23794386035</v>
      </c>
      <c r="I8" s="28">
        <f>Model!N38</f>
        <v>170292.31980923313</v>
      </c>
      <c r="J8" s="28">
        <f>Model!O38</f>
        <v>199823.37844806671</v>
      </c>
      <c r="K8" s="28">
        <f>Model!P38</f>
        <v>230966.97032503213</v>
      </c>
      <c r="L8" s="28">
        <f>Model!Q38</f>
        <v>263336.29017533758</v>
      </c>
    </row>
    <row r="9" spans="2:12" x14ac:dyDescent="0.25">
      <c r="B9" t="s">
        <v>310</v>
      </c>
      <c r="C9" s="25">
        <f>-C8*Model!H18</f>
        <v>-8450.5054943994855</v>
      </c>
      <c r="D9" s="25">
        <f>-D8*Model!I18</f>
        <v>-11226.855339022966</v>
      </c>
      <c r="E9" s="25">
        <f>-E8*Model!J18</f>
        <v>-14556.385711686846</v>
      </c>
      <c r="F9" s="25">
        <f>-F8*Model!K18</f>
        <v>-18438.49149585448</v>
      </c>
      <c r="G9" s="25">
        <f>-G8*Model!L18</f>
        <v>-22854.329233086602</v>
      </c>
      <c r="H9" s="25">
        <f>-H8*Model!M18</f>
        <v>-27767.921120882973</v>
      </c>
      <c r="I9" s="25">
        <f>-I8*Model!N18</f>
        <v>-33128.45177664698</v>
      </c>
      <c r="J9" s="25">
        <f>-J8*Model!O18</f>
        <v>-38873.38644619564</v>
      </c>
      <c r="K9" s="25">
        <f>-K8*Model!P18</f>
        <v>-44932.021285414521</v>
      </c>
      <c r="L9" s="25">
        <f>-L8*Model!Q18</f>
        <v>-51229.107688987984</v>
      </c>
    </row>
    <row r="10" spans="2:12" x14ac:dyDescent="0.25">
      <c r="B10" s="10" t="s">
        <v>315</v>
      </c>
      <c r="C10" s="26">
        <f>SUM(C8:C9)</f>
        <v>34988.173557193964</v>
      </c>
      <c r="D10" s="26">
        <f t="shared" ref="D10:L10" si="1">SUM(D8:D9)</f>
        <v>46483.274090949417</v>
      </c>
      <c r="E10" s="26">
        <f t="shared" si="1"/>
        <v>60268.743684445115</v>
      </c>
      <c r="F10" s="26">
        <f t="shared" si="1"/>
        <v>76342.076934611352</v>
      </c>
      <c r="G10" s="26">
        <f t="shared" si="1"/>
        <v>94625.255053728557</v>
      </c>
      <c r="H10" s="26">
        <f t="shared" si="1"/>
        <v>114969.31682297739</v>
      </c>
      <c r="I10" s="26">
        <f t="shared" si="1"/>
        <v>137163.86803258615</v>
      </c>
      <c r="J10" s="26">
        <f t="shared" si="1"/>
        <v>160949.99200187105</v>
      </c>
      <c r="K10" s="26">
        <f t="shared" si="1"/>
        <v>186034.94903961761</v>
      </c>
      <c r="L10" s="26">
        <f t="shared" si="1"/>
        <v>212107.1824863496</v>
      </c>
    </row>
    <row r="11" spans="2:12" x14ac:dyDescent="0.25">
      <c r="B11" t="s">
        <v>311</v>
      </c>
      <c r="C11" s="25">
        <f>Model!H37</f>
        <v>12693.286818662766</v>
      </c>
      <c r="D11" s="25">
        <f>Model!I37</f>
        <v>15282.313025463385</v>
      </c>
      <c r="E11" s="25">
        <f>Model!J37</f>
        <v>17899.717101300255</v>
      </c>
      <c r="F11" s="25">
        <f>Model!K37</f>
        <v>20504.363287334985</v>
      </c>
      <c r="G11" s="25">
        <f>Model!L37</f>
        <v>23049.434471075696</v>
      </c>
      <c r="H11" s="25">
        <f>Model!M37</f>
        <v>25486.415797896261</v>
      </c>
      <c r="I11" s="25">
        <f>Model!N37</f>
        <v>27768.612058339171</v>
      </c>
      <c r="J11" s="25">
        <f>Model!O37</f>
        <v>29854.029941627981</v>
      </c>
      <c r="K11" s="25">
        <f>Model!P37</f>
        <v>31707.512699163992</v>
      </c>
      <c r="L11" s="25">
        <f>Model!Q37</f>
        <v>33302.093014434002</v>
      </c>
    </row>
    <row r="12" spans="2:12" x14ac:dyDescent="0.25">
      <c r="B12" t="s">
        <v>312</v>
      </c>
      <c r="C12" s="25">
        <f>Model!H103</f>
        <v>-41794.464797643959</v>
      </c>
      <c r="D12" s="25">
        <f>Model!I103</f>
        <v>-44702.463989468393</v>
      </c>
      <c r="E12" s="25">
        <f>Model!J103</f>
        <v>-47176.466804710464</v>
      </c>
      <c r="F12" s="25">
        <f>Model!K103</f>
        <v>-49111.477920886638</v>
      </c>
      <c r="G12" s="25">
        <f>Model!L103</f>
        <v>-50441.597260689523</v>
      </c>
      <c r="H12" s="25">
        <f>Model!M103</f>
        <v>-51138.763149059698</v>
      </c>
      <c r="I12" s="25">
        <f>Model!N103</f>
        <v>-51209.130668281345</v>
      </c>
      <c r="J12" s="25">
        <f>Model!O103</f>
        <v>-50687.550848580358</v>
      </c>
      <c r="K12" s="25">
        <f>Model!P103</f>
        <v>-49630.917813628337</v>
      </c>
      <c r="L12" s="25">
        <f>Model!Q103</f>
        <v>-48111.184287242409</v>
      </c>
    </row>
    <row r="13" spans="2:12" x14ac:dyDescent="0.25">
      <c r="B13" t="s">
        <v>313</v>
      </c>
      <c r="C13" s="25">
        <f>Model!H129</f>
        <v>-7901.0947949706388</v>
      </c>
      <c r="D13" s="25">
        <f>Model!I129</f>
        <v>-8610.9427078764493</v>
      </c>
      <c r="E13" s="25">
        <f>Model!J129</f>
        <v>-10077.686703331769</v>
      </c>
      <c r="F13" s="25">
        <f>Model!K129</f>
        <v>-11521.83334415131</v>
      </c>
      <c r="G13" s="25">
        <f>Model!L129</f>
        <v>-12892.600402881613</v>
      </c>
      <c r="H13" s="25">
        <f>Model!M129</f>
        <v>-14144.138450465922</v>
      </c>
      <c r="I13" s="25">
        <f>Model!N129</f>
        <v>-15238.424086197789</v>
      </c>
      <c r="J13" s="25">
        <f>Model!O129</f>
        <v>-16147.092081384144</v>
      </c>
      <c r="K13" s="25">
        <f>Model!P129</f>
        <v>-16852.187882694445</v>
      </c>
      <c r="L13" s="25">
        <f>Model!Q129</f>
        <v>-17345.962730310916</v>
      </c>
    </row>
    <row r="14" spans="2:12" ht="15.75" thickBot="1" x14ac:dyDescent="0.3">
      <c r="B14" s="23" t="s">
        <v>314</v>
      </c>
      <c r="C14" s="27">
        <f>SUM(C10:C13)</f>
        <v>-2014.0992167578661</v>
      </c>
      <c r="D14" s="27">
        <f t="shared" ref="D14:L14" si="2">SUM(D10:D13)</f>
        <v>8452.1804190679613</v>
      </c>
      <c r="E14" s="27">
        <f t="shared" si="2"/>
        <v>20914.307277703134</v>
      </c>
      <c r="F14" s="27">
        <f t="shared" si="2"/>
        <v>36213.128956908389</v>
      </c>
      <c r="G14" s="27">
        <f t="shared" si="2"/>
        <v>54340.491861233124</v>
      </c>
      <c r="H14" s="27">
        <f t="shared" si="2"/>
        <v>75172.831021348044</v>
      </c>
      <c r="I14" s="27">
        <f t="shared" si="2"/>
        <v>98484.925336446191</v>
      </c>
      <c r="J14" s="27">
        <f t="shared" si="2"/>
        <v>123969.37901353452</v>
      </c>
      <c r="K14" s="27">
        <f t="shared" si="2"/>
        <v>151259.35604245882</v>
      </c>
      <c r="L14" s="27">
        <f t="shared" si="2"/>
        <v>179952.12848323028</v>
      </c>
    </row>
    <row r="16" spans="2:12" ht="15.75" thickBot="1" x14ac:dyDescent="0.3"/>
    <row r="17" spans="2:7" ht="15.75" thickBot="1" x14ac:dyDescent="0.3">
      <c r="B17" s="221" t="s">
        <v>333</v>
      </c>
      <c r="C17" s="223"/>
    </row>
    <row r="18" spans="2:7" x14ac:dyDescent="0.25">
      <c r="B18" s="92" t="s">
        <v>309</v>
      </c>
      <c r="C18" s="93">
        <v>478.6</v>
      </c>
    </row>
    <row r="19" spans="2:7" x14ac:dyDescent="0.25">
      <c r="B19" s="62" t="s">
        <v>279</v>
      </c>
      <c r="C19" s="63">
        <v>3380</v>
      </c>
    </row>
    <row r="20" spans="2:7" x14ac:dyDescent="0.25">
      <c r="B20" s="62" t="s">
        <v>280</v>
      </c>
      <c r="C20" s="63">
        <f>C19*C18</f>
        <v>1617668</v>
      </c>
    </row>
    <row r="21" spans="2:7" x14ac:dyDescent="0.25">
      <c r="B21" s="62" t="s">
        <v>281</v>
      </c>
      <c r="C21" s="63">
        <f>C20/10</f>
        <v>161766.79999999999</v>
      </c>
    </row>
    <row r="22" spans="2:7" x14ac:dyDescent="0.25">
      <c r="B22" s="62" t="s">
        <v>301</v>
      </c>
      <c r="C22" s="94">
        <v>0.25</v>
      </c>
    </row>
    <row r="23" spans="2:7" x14ac:dyDescent="0.25">
      <c r="B23" s="62" t="s">
        <v>302</v>
      </c>
      <c r="C23" s="94">
        <v>0.05</v>
      </c>
    </row>
    <row r="24" spans="2:7" ht="15.75" thickBot="1" x14ac:dyDescent="0.3">
      <c r="B24" s="71" t="s">
        <v>303</v>
      </c>
      <c r="C24" s="95">
        <v>6.1760000000000002E-2</v>
      </c>
    </row>
    <row r="25" spans="2:7" x14ac:dyDescent="0.25">
      <c r="C25" s="15"/>
    </row>
    <row r="26" spans="2:7" ht="15.75" thickBot="1" x14ac:dyDescent="0.3">
      <c r="C26" s="15"/>
    </row>
    <row r="27" spans="2:7" x14ac:dyDescent="0.25">
      <c r="B27" s="111" t="s">
        <v>304</v>
      </c>
      <c r="C27" s="112"/>
      <c r="D27" s="60"/>
      <c r="E27" s="60"/>
      <c r="F27" s="60"/>
      <c r="G27" s="61"/>
    </row>
    <row r="28" spans="2:7" x14ac:dyDescent="0.25">
      <c r="B28" s="167" t="s">
        <v>282</v>
      </c>
      <c r="C28" s="168" t="s">
        <v>283</v>
      </c>
      <c r="D28" s="169" t="s">
        <v>284</v>
      </c>
      <c r="E28" s="169" t="s">
        <v>171</v>
      </c>
      <c r="F28" s="169" t="s">
        <v>285</v>
      </c>
      <c r="G28" s="170" t="s">
        <v>286</v>
      </c>
    </row>
    <row r="29" spans="2:7" x14ac:dyDescent="0.25">
      <c r="B29" s="113">
        <f>C18</f>
        <v>478.6</v>
      </c>
      <c r="C29" s="114">
        <f>C19</f>
        <v>3380</v>
      </c>
      <c r="D29" s="114">
        <f>C29*B29</f>
        <v>1617668</v>
      </c>
      <c r="E29" s="114">
        <f>Model!G75</f>
        <v>28262.54</v>
      </c>
      <c r="F29" s="114">
        <f>Model!G52+Model!G53</f>
        <v>24500.54</v>
      </c>
      <c r="G29" s="115">
        <f>D29+E29-F29</f>
        <v>1621430</v>
      </c>
    </row>
    <row r="30" spans="2:7" x14ac:dyDescent="0.25">
      <c r="B30" s="62"/>
      <c r="C30" s="31"/>
      <c r="D30" s="31"/>
      <c r="E30" s="31"/>
      <c r="F30" s="31"/>
      <c r="G30" s="63"/>
    </row>
    <row r="31" spans="2:7" x14ac:dyDescent="0.25">
      <c r="B31" s="227" t="s">
        <v>287</v>
      </c>
      <c r="C31" s="228"/>
      <c r="D31" s="228"/>
      <c r="E31" s="228"/>
      <c r="F31" s="228"/>
      <c r="G31" s="229"/>
    </row>
    <row r="32" spans="2:7" x14ac:dyDescent="0.25">
      <c r="B32" s="116"/>
      <c r="C32" s="83"/>
      <c r="D32" s="83"/>
      <c r="E32" s="84"/>
      <c r="F32" s="85"/>
      <c r="G32" s="63"/>
    </row>
    <row r="33" spans="2:7" x14ac:dyDescent="0.25">
      <c r="B33" s="117"/>
      <c r="C33" s="87" t="s">
        <v>305</v>
      </c>
      <c r="D33" s="87" t="s">
        <v>306</v>
      </c>
      <c r="E33" s="87" t="s">
        <v>300</v>
      </c>
      <c r="F33" s="85"/>
      <c r="G33" s="63"/>
    </row>
    <row r="34" spans="2:7" x14ac:dyDescent="0.25">
      <c r="B34" s="117" t="s">
        <v>307</v>
      </c>
      <c r="C34" s="89">
        <f>C46</f>
        <v>2.6832112341138689E-3</v>
      </c>
      <c r="D34" s="91">
        <f>C41</f>
        <v>1.7471162191500359E-2</v>
      </c>
      <c r="E34" s="89">
        <f>D34*C34</f>
        <v>4.6878818665259248E-5</v>
      </c>
      <c r="F34" s="85"/>
      <c r="G34" s="63"/>
    </row>
    <row r="35" spans="2:7" x14ac:dyDescent="0.25">
      <c r="B35" s="117" t="s">
        <v>56</v>
      </c>
      <c r="C35" s="90">
        <f>F46</f>
        <v>0.13927331711695445</v>
      </c>
      <c r="D35" s="88">
        <f>1-D34</f>
        <v>0.98252883780849964</v>
      </c>
      <c r="E35" s="89">
        <f>D35*C35</f>
        <v>0.13684005040465588</v>
      </c>
      <c r="F35" s="85"/>
      <c r="G35" s="63"/>
    </row>
    <row r="36" spans="2:7" x14ac:dyDescent="0.25">
      <c r="B36" s="117" t="s">
        <v>300</v>
      </c>
      <c r="C36" s="86"/>
      <c r="D36" s="86"/>
      <c r="E36" s="171">
        <f>SUM(E34:E35)</f>
        <v>0.13688692922332113</v>
      </c>
      <c r="F36" s="85"/>
      <c r="G36" s="63"/>
    </row>
    <row r="37" spans="2:7" ht="15.75" thickBot="1" x14ac:dyDescent="0.3">
      <c r="B37" s="62"/>
      <c r="C37" s="31"/>
      <c r="D37" s="35"/>
      <c r="E37" s="31"/>
      <c r="F37" s="31"/>
      <c r="G37" s="63"/>
    </row>
    <row r="38" spans="2:7" ht="15.75" x14ac:dyDescent="0.25">
      <c r="B38" s="224" t="s">
        <v>288</v>
      </c>
      <c r="C38" s="225"/>
      <c r="D38" s="82"/>
      <c r="E38" s="172" t="s">
        <v>300</v>
      </c>
      <c r="F38" s="96">
        <f>E36</f>
        <v>0.13688692922332113</v>
      </c>
      <c r="G38" s="63"/>
    </row>
    <row r="39" spans="2:7" x14ac:dyDescent="0.25">
      <c r="B39" s="97" t="s">
        <v>289</v>
      </c>
      <c r="C39" s="98">
        <f>D29</f>
        <v>1617668</v>
      </c>
      <c r="D39" s="35"/>
      <c r="E39" s="31"/>
      <c r="F39" s="31"/>
      <c r="G39" s="63"/>
    </row>
    <row r="40" spans="2:7" ht="15.75" thickBot="1" x14ac:dyDescent="0.3">
      <c r="B40" s="99" t="s">
        <v>290</v>
      </c>
      <c r="C40" s="100">
        <f>E29</f>
        <v>28262.54</v>
      </c>
      <c r="D40" s="35"/>
      <c r="E40" s="31"/>
      <c r="F40" s="31"/>
      <c r="G40" s="63"/>
    </row>
    <row r="41" spans="2:7" ht="15.75" thickBot="1" x14ac:dyDescent="0.3">
      <c r="B41" s="101" t="s">
        <v>308</v>
      </c>
      <c r="C41" s="102">
        <f>C40/C39</f>
        <v>1.7471162191500359E-2</v>
      </c>
      <c r="D41" s="35"/>
      <c r="E41" s="224" t="s">
        <v>295</v>
      </c>
      <c r="F41" s="225"/>
      <c r="G41" s="63"/>
    </row>
    <row r="42" spans="2:7" ht="15.75" thickBot="1" x14ac:dyDescent="0.3">
      <c r="B42" s="118"/>
      <c r="C42" s="35"/>
      <c r="D42" s="35"/>
      <c r="E42" s="105" t="s">
        <v>296</v>
      </c>
      <c r="F42" s="108">
        <f>C24</f>
        <v>6.1760000000000002E-2</v>
      </c>
      <c r="G42" s="63"/>
    </row>
    <row r="43" spans="2:7" x14ac:dyDescent="0.25">
      <c r="B43" s="224" t="s">
        <v>291</v>
      </c>
      <c r="C43" s="225"/>
      <c r="D43" s="35"/>
      <c r="E43" s="103" t="s">
        <v>297</v>
      </c>
      <c r="F43" s="104">
        <f>'Market Data'!G10</f>
        <v>0.12778323228484867</v>
      </c>
      <c r="G43" s="63"/>
    </row>
    <row r="44" spans="2:7" x14ac:dyDescent="0.25">
      <c r="B44" s="103" t="s">
        <v>292</v>
      </c>
      <c r="C44" s="104">
        <f>Model!H17</f>
        <v>3.3312728209654507E-3</v>
      </c>
      <c r="D44" s="35"/>
      <c r="E44" s="105" t="s">
        <v>298</v>
      </c>
      <c r="F44" s="104">
        <f>F43-F42</f>
        <v>6.602323228484866E-2</v>
      </c>
      <c r="G44" s="63"/>
    </row>
    <row r="45" spans="2:7" x14ac:dyDescent="0.25">
      <c r="B45" s="105" t="s">
        <v>293</v>
      </c>
      <c r="C45" s="104">
        <f>Model!H18</f>
        <v>0.19453873089378618</v>
      </c>
      <c r="D45" s="35"/>
      <c r="E45" s="105" t="s">
        <v>299</v>
      </c>
      <c r="F45" s="109">
        <f>'Regression  Beta'!I17</f>
        <v>1.1740309347857028</v>
      </c>
      <c r="G45" s="63"/>
    </row>
    <row r="46" spans="2:7" ht="15.75" thickBot="1" x14ac:dyDescent="0.3">
      <c r="B46" s="106" t="s">
        <v>294</v>
      </c>
      <c r="C46" s="107">
        <f>C44*(1-C45)</f>
        <v>2.6832112341138689E-3</v>
      </c>
      <c r="D46" s="35"/>
      <c r="E46" s="110" t="s">
        <v>295</v>
      </c>
      <c r="F46" s="107">
        <f>F42+(F45*F44)</f>
        <v>0.13927331711695445</v>
      </c>
      <c r="G46" s="63"/>
    </row>
    <row r="47" spans="2:7" ht="15.75" thickBot="1" x14ac:dyDescent="0.3">
      <c r="B47" s="119"/>
      <c r="C47" s="120"/>
      <c r="D47" s="121"/>
      <c r="E47" s="72"/>
      <c r="F47" s="72"/>
      <c r="G47" s="73"/>
    </row>
    <row r="48" spans="2:7" x14ac:dyDescent="0.25">
      <c r="D48" s="35"/>
    </row>
    <row r="49" spans="2:10" x14ac:dyDescent="0.25">
      <c r="D49" s="35"/>
    </row>
    <row r="50" spans="2:10" x14ac:dyDescent="0.25">
      <c r="B50" s="226" t="s">
        <v>316</v>
      </c>
      <c r="C50" s="226"/>
      <c r="D50" s="35"/>
    </row>
    <row r="51" spans="2:10" x14ac:dyDescent="0.25">
      <c r="B51" s="122" t="s">
        <v>316</v>
      </c>
      <c r="C51" s="123">
        <f>L14*(1+C23)/(F38-C23)</f>
        <v>2174662.364021909</v>
      </c>
      <c r="D51" s="35"/>
    </row>
    <row r="52" spans="2:10" ht="15.75" thickBot="1" x14ac:dyDescent="0.3">
      <c r="D52" s="35"/>
    </row>
    <row r="53" spans="2:10" ht="15.75" thickBot="1" x14ac:dyDescent="0.3">
      <c r="D53" s="221" t="s">
        <v>332</v>
      </c>
      <c r="E53" s="222"/>
      <c r="F53" s="222"/>
      <c r="G53" s="222"/>
      <c r="H53" s="222"/>
      <c r="I53" s="222"/>
      <c r="J53" s="223"/>
    </row>
    <row r="54" spans="2:10" ht="15" customHeight="1" x14ac:dyDescent="0.25">
      <c r="B54" s="224" t="s">
        <v>317</v>
      </c>
      <c r="C54" s="225"/>
      <c r="D54" s="215" t="s">
        <v>331</v>
      </c>
      <c r="E54" s="218" t="s">
        <v>330</v>
      </c>
      <c r="F54" s="219"/>
      <c r="G54" s="219"/>
      <c r="H54" s="219"/>
      <c r="I54" s="219"/>
      <c r="J54" s="220"/>
    </row>
    <row r="55" spans="2:10" x14ac:dyDescent="0.25">
      <c r="B55" s="62" t="s">
        <v>318</v>
      </c>
      <c r="C55" s="127">
        <f>NPV(F38,C14:L14)</f>
        <v>286200.68919737492</v>
      </c>
      <c r="D55" s="216"/>
      <c r="E55" s="126">
        <f>C65</f>
        <v>261.53972684164535</v>
      </c>
      <c r="F55" s="173">
        <f>G55-2%</f>
        <v>9.6886929223321122E-2</v>
      </c>
      <c r="G55" s="173">
        <f>H55-2%</f>
        <v>0.11688692922332113</v>
      </c>
      <c r="H55" s="174">
        <v>0.13688692922332113</v>
      </c>
      <c r="I55" s="173">
        <f>H55+2%</f>
        <v>0.15688692922332112</v>
      </c>
      <c r="J55" s="175">
        <f>I55+2%</f>
        <v>0.17688692922332111</v>
      </c>
    </row>
    <row r="56" spans="2:10" ht="15" customHeight="1" x14ac:dyDescent="0.25">
      <c r="B56" s="62" t="s">
        <v>319</v>
      </c>
      <c r="C56" s="127">
        <f>-PV(F38,COUNT(C7:L7),0,C51)</f>
        <v>602863.65752738633</v>
      </c>
      <c r="D56" s="216"/>
      <c r="E56" s="173">
        <f>E57-1%</f>
        <v>0.03</v>
      </c>
      <c r="F56" s="132">
        <f t="dataTable" ref="F56:J60" dt2D="1" dtr="1" r1="F38" r2="C23"/>
        <v>433.53784871706239</v>
      </c>
      <c r="G56" s="132">
        <v>303.71224756266531</v>
      </c>
      <c r="H56" s="132">
        <v>225.40408496509397</v>
      </c>
      <c r="I56" s="132">
        <v>173.89321515978489</v>
      </c>
      <c r="J56" s="133">
        <v>137.97422239486761</v>
      </c>
    </row>
    <row r="57" spans="2:10" x14ac:dyDescent="0.25">
      <c r="B57" s="128" t="s">
        <v>320</v>
      </c>
      <c r="C57" s="129">
        <f>SUM(C55:C56)</f>
        <v>889064.34672476118</v>
      </c>
      <c r="D57" s="216"/>
      <c r="E57" s="173">
        <f>E58-1%</f>
        <v>0.04</v>
      </c>
      <c r="F57" s="132">
        <v>494.41156087874913</v>
      </c>
      <c r="G57" s="136">
        <v>333.18023301010999</v>
      </c>
      <c r="H57" s="136">
        <v>241.60707015275673</v>
      </c>
      <c r="I57" s="136">
        <v>183.56349901005777</v>
      </c>
      <c r="J57" s="133">
        <v>144.08761798430928</v>
      </c>
    </row>
    <row r="58" spans="2:10" x14ac:dyDescent="0.25">
      <c r="B58" s="62" t="s">
        <v>321</v>
      </c>
      <c r="C58" s="130">
        <f>F29</f>
        <v>24500.54</v>
      </c>
      <c r="D58" s="216"/>
      <c r="E58" s="173">
        <v>0.05</v>
      </c>
      <c r="F58" s="132">
        <v>581.25144876149761</v>
      </c>
      <c r="G58" s="136">
        <v>371.4595021536735</v>
      </c>
      <c r="H58" s="137">
        <v>261.53972684164535</v>
      </c>
      <c r="I58" s="136">
        <v>195.04322465467177</v>
      </c>
      <c r="J58" s="133">
        <v>151.16461094770617</v>
      </c>
    </row>
    <row r="59" spans="2:10" x14ac:dyDescent="0.25">
      <c r="B59" s="62" t="s">
        <v>322</v>
      </c>
      <c r="C59" s="63">
        <f>-E29</f>
        <v>-28262.54</v>
      </c>
      <c r="D59" s="216"/>
      <c r="E59" s="173">
        <f>E58+1%</f>
        <v>6.0000000000000005E-2</v>
      </c>
      <c r="F59" s="132">
        <v>715.17570485337626</v>
      </c>
      <c r="G59" s="136">
        <v>423.19679044722159</v>
      </c>
      <c r="H59" s="136">
        <v>286.65731077115595</v>
      </c>
      <c r="I59" s="136">
        <v>208.89266636659008</v>
      </c>
      <c r="J59" s="133">
        <v>159.45251654443533</v>
      </c>
    </row>
    <row r="60" spans="2:10" ht="15.75" thickBot="1" x14ac:dyDescent="0.3">
      <c r="B60" s="62" t="s">
        <v>323</v>
      </c>
      <c r="C60" s="63">
        <v>0</v>
      </c>
      <c r="D60" s="217"/>
      <c r="E60" s="176">
        <f>E59+1%</f>
        <v>7.0000000000000007E-2</v>
      </c>
      <c r="F60" s="134">
        <v>948.72030433182158</v>
      </c>
      <c r="G60" s="134">
        <v>497.00303874756588</v>
      </c>
      <c r="H60" s="134">
        <v>319.28535577913783</v>
      </c>
      <c r="I60" s="134">
        <v>225.93003101138635</v>
      </c>
      <c r="J60" s="135">
        <v>169.29120213960815</v>
      </c>
    </row>
    <row r="61" spans="2:10" x14ac:dyDescent="0.25">
      <c r="B61" s="62" t="s">
        <v>324</v>
      </c>
      <c r="C61" s="130">
        <f>-Model!H84</f>
        <v>-1298.07</v>
      </c>
    </row>
    <row r="62" spans="2:10" ht="15.75" thickBot="1" x14ac:dyDescent="0.3">
      <c r="B62" s="106" t="s">
        <v>325</v>
      </c>
      <c r="C62" s="131">
        <f>SUM(C57:C61)</f>
        <v>884004.27672476124</v>
      </c>
    </row>
    <row r="64" spans="2:10" x14ac:dyDescent="0.25">
      <c r="B64" s="172" t="s">
        <v>326</v>
      </c>
      <c r="C64" s="172">
        <f>C19</f>
        <v>3380</v>
      </c>
    </row>
    <row r="65" spans="2:3" x14ac:dyDescent="0.25">
      <c r="B65" s="172" t="s">
        <v>327</v>
      </c>
      <c r="C65" s="138">
        <f>C62/C64</f>
        <v>261.53972684164535</v>
      </c>
    </row>
    <row r="67" spans="2:3" x14ac:dyDescent="0.25">
      <c r="B67" s="124" t="s">
        <v>328</v>
      </c>
      <c r="C67" s="125">
        <f>C65/C18-1</f>
        <v>-0.45353170321428049</v>
      </c>
    </row>
  </sheetData>
  <mergeCells count="10">
    <mergeCell ref="D54:D60"/>
    <mergeCell ref="E54:J54"/>
    <mergeCell ref="D53:J53"/>
    <mergeCell ref="B17:C17"/>
    <mergeCell ref="B38:C38"/>
    <mergeCell ref="B43:C43"/>
    <mergeCell ref="B50:C50"/>
    <mergeCell ref="B54:C54"/>
    <mergeCell ref="B31:G31"/>
    <mergeCell ref="E41:F4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1:S42"/>
  <sheetViews>
    <sheetView showGridLines="0" workbookViewId="0">
      <pane ySplit="6" topLeftCell="A11" activePane="bottomLeft" state="frozen"/>
      <selection pane="bottomLeft" activeCell="H25" sqref="H25:J25"/>
    </sheetView>
  </sheetViews>
  <sheetFormatPr defaultRowHeight="15" x14ac:dyDescent="0.25"/>
  <cols>
    <col min="1" max="1" width="2.7109375" customWidth="1"/>
    <col min="2" max="2" width="26.140625" bestFit="1" customWidth="1"/>
  </cols>
  <sheetData>
    <row r="1" spans="2:19" ht="6" customHeight="1" x14ac:dyDescent="0.25">
      <c r="B1" s="162"/>
      <c r="C1" s="162"/>
      <c r="D1" s="162"/>
      <c r="E1" s="162"/>
      <c r="F1" s="162"/>
      <c r="G1" s="162"/>
      <c r="H1" s="162"/>
      <c r="I1" s="162"/>
      <c r="J1" s="162"/>
      <c r="K1" s="162"/>
      <c r="L1" s="162"/>
      <c r="M1" s="162"/>
      <c r="N1" s="162"/>
      <c r="O1" s="162"/>
      <c r="P1" s="162"/>
      <c r="Q1" s="162"/>
      <c r="R1" s="162"/>
      <c r="S1" s="162"/>
    </row>
    <row r="2" spans="2:19" ht="26.25" x14ac:dyDescent="0.25">
      <c r="B2" s="161" t="s">
        <v>378</v>
      </c>
    </row>
    <row r="3" spans="2:19" x14ac:dyDescent="0.25">
      <c r="B3" s="160" t="s">
        <v>382</v>
      </c>
    </row>
    <row r="4" spans="2:19" x14ac:dyDescent="0.25">
      <c r="B4" s="159" t="s">
        <v>380</v>
      </c>
    </row>
    <row r="5" spans="2:19" x14ac:dyDescent="0.25">
      <c r="B5" s="159" t="s">
        <v>381</v>
      </c>
    </row>
    <row r="7" spans="2:19" x14ac:dyDescent="0.25">
      <c r="B7" s="163" t="s">
        <v>361</v>
      </c>
      <c r="C7" s="177"/>
      <c r="D7" s="164">
        <v>2020</v>
      </c>
      <c r="E7" s="164">
        <f>D7+1</f>
        <v>2021</v>
      </c>
      <c r="F7" s="164">
        <f t="shared" ref="F7:R7" si="0">E7+1</f>
        <v>2022</v>
      </c>
      <c r="G7" s="164">
        <f t="shared" si="0"/>
        <v>2023</v>
      </c>
      <c r="H7" s="164">
        <f t="shared" si="0"/>
        <v>2024</v>
      </c>
      <c r="I7" s="165">
        <f t="shared" si="0"/>
        <v>2025</v>
      </c>
      <c r="J7" s="165">
        <f t="shared" si="0"/>
        <v>2026</v>
      </c>
      <c r="K7" s="165">
        <f t="shared" si="0"/>
        <v>2027</v>
      </c>
      <c r="L7" s="165">
        <f t="shared" si="0"/>
        <v>2028</v>
      </c>
      <c r="M7" s="165">
        <f t="shared" si="0"/>
        <v>2029</v>
      </c>
      <c r="N7" s="165">
        <f t="shared" si="0"/>
        <v>2030</v>
      </c>
      <c r="O7" s="165">
        <f t="shared" si="0"/>
        <v>2031</v>
      </c>
      <c r="P7" s="165">
        <f t="shared" si="0"/>
        <v>2032</v>
      </c>
      <c r="Q7" s="165">
        <f t="shared" si="0"/>
        <v>2033</v>
      </c>
      <c r="R7" s="165">
        <f t="shared" si="0"/>
        <v>2034</v>
      </c>
      <c r="S7" s="163" t="s">
        <v>360</v>
      </c>
    </row>
    <row r="9" spans="2:19" x14ac:dyDescent="0.25">
      <c r="B9" s="143" t="s">
        <v>334</v>
      </c>
      <c r="C9" s="143"/>
      <c r="D9" s="143"/>
      <c r="E9" s="144">
        <f>Model!D29/Model!C29-1</f>
        <v>0.3664698889882243</v>
      </c>
      <c r="F9" s="144">
        <f>Model!E29/Model!D29-1</f>
        <v>0.49476702643394788</v>
      </c>
      <c r="G9" s="144">
        <f>Model!F29/Model!E29-1</f>
        <v>0.21884860959491026</v>
      </c>
      <c r="H9" s="144">
        <f>Model!G29/Model!F29-1</f>
        <v>0.2549015955639653</v>
      </c>
      <c r="I9" s="144">
        <f>Model!H29/Model!G29-1</f>
        <v>0.33374678014526182</v>
      </c>
      <c r="J9" s="144">
        <f>Model!I29/Model!H29-1</f>
        <v>0.30037210213073573</v>
      </c>
      <c r="K9" s="144">
        <f>Model!J29/Model!I29-1</f>
        <v>0.27033489191766225</v>
      </c>
      <c r="L9" s="144">
        <f>Model!K29/Model!J29-1</f>
        <v>0.24330140272589595</v>
      </c>
      <c r="M9" s="144">
        <f>Model!L29/Model!K29-1</f>
        <v>0.21897126245330645</v>
      </c>
      <c r="N9" s="144">
        <f>Model!M29/Model!L29-1</f>
        <v>0.19707413620797576</v>
      </c>
      <c r="O9" s="144">
        <f>Model!N29/Model!M29-1</f>
        <v>0.17736672258717823</v>
      </c>
      <c r="P9" s="144">
        <f>Model!O29/Model!N29-1</f>
        <v>0.15963005032846023</v>
      </c>
      <c r="Q9" s="144">
        <f>Model!P29/Model!O29-1</f>
        <v>0.14366704529561436</v>
      </c>
      <c r="R9" s="144">
        <f>Model!Q29/Model!P29-1</f>
        <v>0.1293003407660529</v>
      </c>
      <c r="S9" s="143"/>
    </row>
    <row r="10" spans="2:19" x14ac:dyDescent="0.25">
      <c r="B10" s="31" t="s">
        <v>335</v>
      </c>
      <c r="C10" s="31"/>
      <c r="D10" s="31"/>
      <c r="E10" s="75">
        <f>Model!D36/Model!C36-1</f>
        <v>0.37672772717137026</v>
      </c>
      <c r="F10" s="75">
        <f>Model!E36/Model!D36-1</f>
        <v>0.68501702782167651</v>
      </c>
      <c r="G10" s="75">
        <f>Model!F36/Model!E36-1</f>
        <v>0.29460153043016701</v>
      </c>
      <c r="H10" s="75">
        <f>Model!G36/Model!F36-1</f>
        <v>0.30519201492733727</v>
      </c>
      <c r="I10" s="75">
        <f>Model!H36/Model!G36-1</f>
        <v>0.19149055215377198</v>
      </c>
      <c r="J10" s="75">
        <f>Model!I36/Model!H36-1</f>
        <v>0.30037210213073529</v>
      </c>
      <c r="K10" s="75">
        <f>Model!J36/Model!I36-1</f>
        <v>0.27033489191766269</v>
      </c>
      <c r="L10" s="75">
        <f>Model!K36/Model!J36-1</f>
        <v>0.24330140272589573</v>
      </c>
      <c r="M10" s="75">
        <f>Model!L36/Model!K36-1</f>
        <v>0.218971262453306</v>
      </c>
      <c r="N10" s="75">
        <f>Model!M36/Model!L36-1</f>
        <v>0.19707413620797576</v>
      </c>
      <c r="O10" s="75">
        <f>Model!N36/Model!M36-1</f>
        <v>0.17736672258717823</v>
      </c>
      <c r="P10" s="75">
        <f>Model!O36/Model!N36-1</f>
        <v>0.15963005032846067</v>
      </c>
      <c r="Q10" s="75">
        <f>Model!P36/Model!O36-1</f>
        <v>0.14366704529561369</v>
      </c>
      <c r="R10" s="75">
        <f>Model!Q36/Model!P36-1</f>
        <v>0.12930034076605335</v>
      </c>
      <c r="S10" s="31"/>
    </row>
    <row r="11" spans="2:19" x14ac:dyDescent="0.25">
      <c r="B11" s="31" t="s">
        <v>336</v>
      </c>
      <c r="C11" s="31"/>
      <c r="D11" s="31"/>
      <c r="E11" s="75">
        <f>Model!D38/Model!C38-1</f>
        <v>0.66880531696490997</v>
      </c>
      <c r="F11" s="75">
        <f>Model!E38/Model!D38-1</f>
        <v>0.93248073008047827</v>
      </c>
      <c r="G11" s="75">
        <f>Model!F38/Model!E38-1</f>
        <v>0.34900613381632484</v>
      </c>
      <c r="H11" s="75">
        <f>Model!G38/Model!F38-1</f>
        <v>0.28515740910523513</v>
      </c>
      <c r="I11" s="75">
        <f>Model!H38/Model!G38-1</f>
        <v>0.15415288611011446</v>
      </c>
      <c r="J11" s="75">
        <f>Model!I38/Model!H38-1</f>
        <v>0.32854245778119306</v>
      </c>
      <c r="K11" s="75">
        <f>Model!J38/Model!I38-1</f>
        <v>0.29656838643773198</v>
      </c>
      <c r="L11" s="75">
        <f>Model!K38/Model!J38-1</f>
        <v>0.26669434714489726</v>
      </c>
      <c r="M11" s="75">
        <f>Model!L38/Model!K38-1</f>
        <v>0.23949018487900364</v>
      </c>
      <c r="N11" s="75">
        <f>Model!M38/Model!L38-1</f>
        <v>0.21499611026355914</v>
      </c>
      <c r="O11" s="75">
        <f>Model!N38/Model!M38-1</f>
        <v>0.19304760455159142</v>
      </c>
      <c r="P11" s="75">
        <f>Model!O38/Model!N38-1</f>
        <v>0.17341391949980611</v>
      </c>
      <c r="Q11" s="75">
        <f>Model!P38/Model!O38-1</f>
        <v>0.15585559667163529</v>
      </c>
      <c r="R11" s="75">
        <f>Model!Q38/Model!P38-1</f>
        <v>0.14014696475757193</v>
      </c>
      <c r="S11" s="31"/>
    </row>
    <row r="12" spans="2:19" x14ac:dyDescent="0.25">
      <c r="B12" s="17" t="s">
        <v>337</v>
      </c>
      <c r="C12" s="17"/>
      <c r="D12" s="17"/>
      <c r="E12" s="145">
        <f>Model!D43/Model!C43-1</f>
        <v>1.0881963551477747</v>
      </c>
      <c r="F12" s="145">
        <f>Model!E43/Model!D43-1</f>
        <v>1.0777559741144018</v>
      </c>
      <c r="G12" s="145">
        <f>Model!F43/Model!E43-1</f>
        <v>0.35590866220161876</v>
      </c>
      <c r="H12" s="145">
        <f>Model!G43/Model!F43-1</f>
        <v>0.2533393789076388</v>
      </c>
      <c r="I12" s="145">
        <f>Model!H43/Model!G43-1</f>
        <v>0.29668220550236168</v>
      </c>
      <c r="J12" s="145">
        <f>Model!I43/Model!H43-1</f>
        <v>0.3429697231965827</v>
      </c>
      <c r="K12" s="145">
        <f>Model!J43/Model!I43-1</f>
        <v>0.30612693197021046</v>
      </c>
      <c r="L12" s="145">
        <f>Model!K43/Model!J43-1</f>
        <v>0.27317795074792661</v>
      </c>
      <c r="M12" s="145">
        <f>Model!L43/Model!K43-1</f>
        <v>0.24399169009477517</v>
      </c>
      <c r="N12" s="145">
        <f>Model!M43/Model!L43-1</f>
        <v>0.21819026405802555</v>
      </c>
      <c r="O12" s="145">
        <f>Model!N43/Model!M43-1</f>
        <v>0.19535945120707265</v>
      </c>
      <c r="P12" s="145">
        <f>Model!O43/Model!N43-1</f>
        <v>0.17511718116857766</v>
      </c>
      <c r="Q12" s="145">
        <f>Model!P43/Model!O43-1</f>
        <v>0.15713047182487738</v>
      </c>
      <c r="R12" s="145">
        <f>Model!Q43/Model!P43-1</f>
        <v>0.14111461345737641</v>
      </c>
      <c r="S12" s="17"/>
    </row>
    <row r="14" spans="2:19" x14ac:dyDescent="0.25">
      <c r="B14" s="143" t="s">
        <v>338</v>
      </c>
      <c r="C14" s="143"/>
      <c r="D14" s="144">
        <f>Model!C31/Model!C29</f>
        <v>0.56228226311668572</v>
      </c>
      <c r="E14" s="144">
        <f>Model!D31/Model!D29</f>
        <v>0.53454057252661258</v>
      </c>
      <c r="F14" s="144">
        <f>Model!E31/Model!E29</f>
        <v>0.51618356755558648</v>
      </c>
      <c r="G14" s="144">
        <f>Model!F31/Model!F29</f>
        <v>0.5292359327330578</v>
      </c>
      <c r="H14" s="144">
        <f>Model!G31/Model!G29</f>
        <v>0.5420999068029182</v>
      </c>
      <c r="I14" s="144">
        <f>Model!H31/Model!H29</f>
        <v>0.53686844854697213</v>
      </c>
      <c r="J14" s="144">
        <f>Model!I31/Model!I29</f>
        <v>0.53686844854697213</v>
      </c>
      <c r="K14" s="144">
        <f>Model!J31/Model!J29</f>
        <v>0.53686844854697213</v>
      </c>
      <c r="L14" s="144">
        <f>Model!K31/Model!K29</f>
        <v>0.53686844854697213</v>
      </c>
      <c r="M14" s="144">
        <f>Model!L31/Model!L29</f>
        <v>0.53686844854697213</v>
      </c>
      <c r="N14" s="144">
        <f>Model!M31/Model!M29</f>
        <v>0.53686844854697213</v>
      </c>
      <c r="O14" s="144">
        <f>Model!N31/Model!N29</f>
        <v>0.53686844854697213</v>
      </c>
      <c r="P14" s="144">
        <f>Model!O31/Model!O29</f>
        <v>0.53686844854697224</v>
      </c>
      <c r="Q14" s="144">
        <f>Model!P31/Model!P29</f>
        <v>0.53686844854697213</v>
      </c>
      <c r="R14" s="144">
        <f>Model!Q31/Model!Q29</f>
        <v>0.53686844854697213</v>
      </c>
      <c r="S14" s="143"/>
    </row>
    <row r="15" spans="2:19" x14ac:dyDescent="0.25">
      <c r="B15" s="31" t="s">
        <v>339</v>
      </c>
      <c r="C15" s="31"/>
      <c r="D15" s="75">
        <f>Model!C36/Model!C29</f>
        <v>0.18332921229490079</v>
      </c>
      <c r="E15" s="75">
        <f>Model!D36/Model!D29</f>
        <v>0.18470543098008319</v>
      </c>
      <c r="F15" s="75">
        <f>Model!E36/Model!E29</f>
        <v>0.20821425066826932</v>
      </c>
      <c r="G15" s="75">
        <f>Model!F36/Model!F29</f>
        <v>0.22115501913080043</v>
      </c>
      <c r="H15" s="211">
        <f>Model!G36/Model!G29</f>
        <v>0.2300178484520144</v>
      </c>
      <c r="I15" s="75">
        <f>Model!H36/Model!H29</f>
        <v>0.20548435230521364</v>
      </c>
      <c r="J15" s="75">
        <f>Model!I36/Model!I29</f>
        <v>0.20548435230521359</v>
      </c>
      <c r="K15" s="75">
        <f>Model!J36/Model!J29</f>
        <v>0.20548435230521367</v>
      </c>
      <c r="L15" s="75">
        <f>Model!K36/Model!K29</f>
        <v>0.20548435230521361</v>
      </c>
      <c r="M15" s="75">
        <f>Model!L36/Model!L29</f>
        <v>0.20548435230521356</v>
      </c>
      <c r="N15" s="75">
        <f>Model!M36/Model!M29</f>
        <v>0.20548435230521359</v>
      </c>
      <c r="O15" s="75">
        <f>Model!N36/Model!N29</f>
        <v>0.20548435230521361</v>
      </c>
      <c r="P15" s="75">
        <f>Model!O36/Model!O29</f>
        <v>0.20548435230521367</v>
      </c>
      <c r="Q15" s="75">
        <f>Model!P36/Model!P29</f>
        <v>0.20548435230521353</v>
      </c>
      <c r="R15" s="75">
        <f>Model!Q36/Model!Q29</f>
        <v>0.20548435230521359</v>
      </c>
      <c r="S15" s="31"/>
    </row>
    <row r="16" spans="2:19" x14ac:dyDescent="0.25">
      <c r="B16" s="31" t="s">
        <v>340</v>
      </c>
      <c r="C16" s="31"/>
      <c r="D16" s="75">
        <f>Model!C38/Model!C29</f>
        <v>0.10268265110953048</v>
      </c>
      <c r="E16" s="75">
        <f>Model!D38/Model!D29</f>
        <v>0.12540148561818326</v>
      </c>
      <c r="F16" s="75">
        <f>Model!E38/Model!E29</f>
        <v>0.162122892862269</v>
      </c>
      <c r="G16" s="75">
        <f>Model!F38/Model!F29</f>
        <v>0.17943555514735768</v>
      </c>
      <c r="H16" s="75">
        <f>Model!G38/Model!G29</f>
        <v>0.18376176583862136</v>
      </c>
      <c r="I16" s="75">
        <f>Model!H38/Model!H29</f>
        <v>0.15901757031888519</v>
      </c>
      <c r="J16" s="75">
        <f>Model!I38/Model!I29</f>
        <v>0.16246241622354166</v>
      </c>
      <c r="K16" s="75">
        <f>Model!J38/Model!J29</f>
        <v>0.16581740311151405</v>
      </c>
      <c r="L16" s="75">
        <f>Model!K38/Model!K29</f>
        <v>0.1689372880293516</v>
      </c>
      <c r="M16" s="75">
        <f>Model!L38/Model!L29</f>
        <v>0.17178100651120115</v>
      </c>
      <c r="N16" s="75">
        <f>Model!M38/Model!M29</f>
        <v>0.1743528227829052</v>
      </c>
      <c r="O16" s="75">
        <f>Model!N38/Model!N29</f>
        <v>0.17667495910778216</v>
      </c>
      <c r="P16" s="75">
        <f>Model!O38/Model!O29</f>
        <v>0.17877499482305598</v>
      </c>
      <c r="Q16" s="75">
        <f>Model!P38/Model!P29</f>
        <v>0.18068027680010679</v>
      </c>
      <c r="R16" s="75">
        <f>Model!Q38/Model!Q29</f>
        <v>0.18241566193583156</v>
      </c>
      <c r="S16" s="31"/>
    </row>
    <row r="17" spans="2:19" x14ac:dyDescent="0.25">
      <c r="B17" s="31" t="s">
        <v>341</v>
      </c>
      <c r="C17" s="31"/>
      <c r="D17" s="75">
        <f>Model!C41/Model!C29</f>
        <v>5.5295386933476069E-2</v>
      </c>
      <c r="E17" s="75">
        <f>Model!D41/Model!D29</f>
        <v>0.11236607518108091</v>
      </c>
      <c r="F17" s="75">
        <f>Model!E41/Model!E29</f>
        <v>0.15112417271931453</v>
      </c>
      <c r="G17" s="75">
        <f>Model!F41/Model!F29</f>
        <v>0.1678420088201362</v>
      </c>
      <c r="H17" s="75">
        <f>Model!G41/Model!G29</f>
        <v>0.1676204296908872</v>
      </c>
      <c r="I17" s="75">
        <f>Model!H41/Model!H29</f>
        <v>0.1552459042352434</v>
      </c>
      <c r="J17" s="75">
        <f>Model!I41/Model!I29</f>
        <v>0.16033145335599255</v>
      </c>
      <c r="K17" s="75">
        <f>Model!J41/Model!J29</f>
        <v>0.16484883679299958</v>
      </c>
      <c r="L17" s="75">
        <f>Model!K41/Model!K29</f>
        <v>0.16881015637168242</v>
      </c>
      <c r="M17" s="75">
        <f>Model!L41/Model!L29</f>
        <v>0.17227512919978841</v>
      </c>
      <c r="N17" s="75">
        <f>Model!M41/Model!M29</f>
        <v>0.17531402507393209</v>
      </c>
      <c r="O17" s="75">
        <f>Model!N41/Model!N29</f>
        <v>0.17799320532924384</v>
      </c>
      <c r="P17" s="75">
        <f>Model!O41/Model!O29</f>
        <v>0.18037034626208279</v>
      </c>
      <c r="Q17" s="75">
        <f>Model!P41/Model!P29</f>
        <v>0.18249369406242932</v>
      </c>
      <c r="R17" s="75">
        <f>Model!Q41/Model!Q29</f>
        <v>0.18440286754646282</v>
      </c>
      <c r="S17" s="31"/>
    </row>
    <row r="18" spans="2:19" x14ac:dyDescent="0.25">
      <c r="B18" s="17" t="s">
        <v>342</v>
      </c>
      <c r="C18" s="17"/>
      <c r="D18" s="145">
        <f>Model!C43/Model!C29</f>
        <v>5.4497008827767694E-2</v>
      </c>
      <c r="E18" s="145">
        <f>Model!D43/Model!D29</f>
        <v>8.3280616805147381E-2</v>
      </c>
      <c r="F18" s="145">
        <f>Model!E43/Model!E29</f>
        <v>0.1157617180702999</v>
      </c>
      <c r="G18" s="145">
        <f>Model!F43/Model!F29</f>
        <v>0.1287791732683097</v>
      </c>
      <c r="H18" s="145">
        <f>Model!G43/Model!G29</f>
        <v>0.12861885713660751</v>
      </c>
      <c r="I18" s="145">
        <f>Model!H43/Model!H29</f>
        <v>0.12504456304886089</v>
      </c>
      <c r="J18" s="145">
        <f>Model!I43/Model!I29</f>
        <v>0.12914077589776146</v>
      </c>
      <c r="K18" s="145">
        <f>Model!J43/Model!J29</f>
        <v>0.13277935329397256</v>
      </c>
      <c r="L18" s="145">
        <f>Model!K43/Model!K29</f>
        <v>0.13597004278915376</v>
      </c>
      <c r="M18" s="145">
        <f>Model!L43/Model!L29</f>
        <v>0.13876094420069851</v>
      </c>
      <c r="N18" s="145">
        <f>Model!M43/Model!M29</f>
        <v>0.14120865712816794</v>
      </c>
      <c r="O18" s="145">
        <f>Model!N43/Model!N29</f>
        <v>0.14336663305677566</v>
      </c>
      <c r="P18" s="145">
        <f>Model!O43/Model!O29</f>
        <v>0.14528132800938443</v>
      </c>
      <c r="Q18" s="145">
        <f>Model!P43/Model!P29</f>
        <v>0.14699160242340545</v>
      </c>
      <c r="R18" s="145">
        <f>Model!Q43/Model!Q29</f>
        <v>0.14852936772079897</v>
      </c>
      <c r="S18" s="17"/>
    </row>
    <row r="20" spans="2:19" x14ac:dyDescent="0.25">
      <c r="B20" s="143" t="s">
        <v>343</v>
      </c>
      <c r="C20" s="143"/>
      <c r="D20" s="144">
        <f>Model!C35/Model!C29</f>
        <v>0.37895305082178493</v>
      </c>
      <c r="E20" s="144">
        <f>Model!D35/Model!D29</f>
        <v>0.34983514154652934</v>
      </c>
      <c r="F20" s="144">
        <f>Model!E35/Model!E29</f>
        <v>0.30796931688731716</v>
      </c>
      <c r="G20" s="144">
        <f>Model!F35/Model!F29</f>
        <v>0.30808091360225742</v>
      </c>
      <c r="H20" s="144">
        <f>Model!G35/Model!G29</f>
        <v>0.3120820583509038</v>
      </c>
      <c r="I20" s="144">
        <f>Model!H35/Model!H29</f>
        <v>0.33138409624175852</v>
      </c>
      <c r="J20" s="144">
        <f>Model!I35/Model!I29</f>
        <v>0.33138409624175852</v>
      </c>
      <c r="K20" s="144">
        <f>Model!J35/Model!J29</f>
        <v>0.33138409624175852</v>
      </c>
      <c r="L20" s="144">
        <f>Model!K35/Model!K29</f>
        <v>0.33138409624175852</v>
      </c>
      <c r="M20" s="144">
        <f>Model!L35/Model!L29</f>
        <v>0.33138409624175852</v>
      </c>
      <c r="N20" s="144">
        <f>Model!M35/Model!M29</f>
        <v>0.33138409624175852</v>
      </c>
      <c r="O20" s="144">
        <f>Model!N35/Model!N29</f>
        <v>0.33138409624175852</v>
      </c>
      <c r="P20" s="144">
        <f>Model!O35/Model!O29</f>
        <v>0.33138409624175852</v>
      </c>
      <c r="Q20" s="144">
        <f>Model!P35/Model!P29</f>
        <v>0.33138409624175857</v>
      </c>
      <c r="R20" s="144">
        <f>Model!Q35/Model!Q29</f>
        <v>0.33138409624175852</v>
      </c>
      <c r="S20" s="143"/>
    </row>
    <row r="21" spans="2:19" x14ac:dyDescent="0.25">
      <c r="B21" s="31" t="s">
        <v>344</v>
      </c>
      <c r="C21" s="31"/>
      <c r="D21" s="75">
        <f>Model!C37/Model!C29</f>
        <v>8.0646561185370308E-2</v>
      </c>
      <c r="E21" s="75">
        <f>Model!D37/Model!D29</f>
        <v>5.9303945361899937E-2</v>
      </c>
      <c r="F21" s="75">
        <f>Model!E37/Model!E29</f>
        <v>4.6091357806000322E-2</v>
      </c>
      <c r="G21" s="75">
        <f>Model!F37/Model!F29</f>
        <v>4.1719463983442749E-2</v>
      </c>
      <c r="H21" s="75">
        <f>Model!G37/Model!G29</f>
        <v>4.6256082613393042E-2</v>
      </c>
      <c r="I21" s="75">
        <f>Model!H37/Model!H29</f>
        <v>4.6466781986328434E-2</v>
      </c>
      <c r="J21" s="75">
        <f>Model!I37/Model!I29</f>
        <v>4.3021936081671909E-2</v>
      </c>
      <c r="K21" s="75">
        <f>Model!J37/Model!J29</f>
        <v>3.9666949193699619E-2</v>
      </c>
      <c r="L21" s="75">
        <f>Model!K37/Model!K29</f>
        <v>3.6547064275862018E-2</v>
      </c>
      <c r="M21" s="75">
        <f>Model!L37/Model!L29</f>
        <v>3.3703345794012414E-2</v>
      </c>
      <c r="N21" s="75">
        <f>Model!M37/Model!M29</f>
        <v>3.1131529522308365E-2</v>
      </c>
      <c r="O21" s="75">
        <f>Model!N37/Model!N29</f>
        <v>2.8809393197431438E-2</v>
      </c>
      <c r="P21" s="75">
        <f>Model!O37/Model!O29</f>
        <v>2.6709357482157699E-2</v>
      </c>
      <c r="Q21" s="75">
        <f>Model!P37/Model!P29</f>
        <v>2.4804075505106767E-2</v>
      </c>
      <c r="R21" s="75">
        <f>Model!Q37/Model!Q29</f>
        <v>2.3068690369382062E-2</v>
      </c>
      <c r="S21" s="31"/>
    </row>
    <row r="22" spans="2:19" x14ac:dyDescent="0.25">
      <c r="B22" s="17" t="s">
        <v>345</v>
      </c>
      <c r="C22" s="17"/>
      <c r="D22" s="145">
        <f>Model!C38/Model!C29</f>
        <v>0.10268265110953048</v>
      </c>
      <c r="E22" s="145">
        <f>Model!D38/Model!D29</f>
        <v>0.12540148561818326</v>
      </c>
      <c r="F22" s="145">
        <f>Model!E38/Model!E29</f>
        <v>0.162122892862269</v>
      </c>
      <c r="G22" s="145">
        <f>Model!F38/Model!F29</f>
        <v>0.17943555514735768</v>
      </c>
      <c r="H22" s="145">
        <f>Model!G38/Model!G29</f>
        <v>0.18376176583862136</v>
      </c>
      <c r="I22" s="145">
        <f>Model!H38/Model!H29</f>
        <v>0.15901757031888519</v>
      </c>
      <c r="J22" s="145">
        <f>Model!I38/Model!I29</f>
        <v>0.16246241622354166</v>
      </c>
      <c r="K22" s="145">
        <f>Model!J38/Model!J29</f>
        <v>0.16581740311151405</v>
      </c>
      <c r="L22" s="145">
        <f>Model!K38/Model!K29</f>
        <v>0.1689372880293516</v>
      </c>
      <c r="M22" s="145">
        <f>Model!L38/Model!L29</f>
        <v>0.17178100651120115</v>
      </c>
      <c r="N22" s="145">
        <f>Model!M38/Model!M29</f>
        <v>0.1743528227829052</v>
      </c>
      <c r="O22" s="145">
        <f>Model!N38/Model!N29</f>
        <v>0.17667495910778216</v>
      </c>
      <c r="P22" s="145">
        <f>Model!O38/Model!O29</f>
        <v>0.17877499482305598</v>
      </c>
      <c r="Q22" s="145">
        <f>Model!P38/Model!P29</f>
        <v>0.18068027680010679</v>
      </c>
      <c r="R22" s="145">
        <f>Model!Q38/Model!Q29</f>
        <v>0.18241566193583156</v>
      </c>
      <c r="S22" s="17"/>
    </row>
    <row r="24" spans="2:19" x14ac:dyDescent="0.25">
      <c r="B24" s="143" t="s">
        <v>346</v>
      </c>
      <c r="C24" s="143"/>
      <c r="D24" s="144">
        <f>Model!C38/(Model!C66-Model!C72)</f>
        <v>9.9764995034469714E-2</v>
      </c>
      <c r="E24" s="144">
        <f>Model!D38/(Model!D66-Model!D72)</f>
        <v>0.13862398618724475</v>
      </c>
      <c r="F24" s="144">
        <f>Model!E38/(Model!E66-Model!E72)</f>
        <v>0.22517876006030982</v>
      </c>
      <c r="G24" s="144">
        <f>Model!F38/(Model!F66-Model!F72)</f>
        <v>0.22392387542935097</v>
      </c>
      <c r="H24" s="144">
        <f>Model!G38/(Model!G66-Model!G72)</f>
        <v>0.18587967659365645</v>
      </c>
      <c r="I24" s="144">
        <f>Model!H38/(Model!H66-Model!H72)</f>
        <v>0.1872602660670547</v>
      </c>
      <c r="J24" s="144">
        <f>Model!I38/(Model!I66-Model!I72)</f>
        <v>0.21250272373748613</v>
      </c>
      <c r="K24" s="144">
        <f>Model!J38/(Model!J66-Model!J72)</f>
        <v>0.23144069951788648</v>
      </c>
      <c r="L24" s="144">
        <f>Model!K38/(Model!K66-Model!K72)</f>
        <v>0.24355144394669259</v>
      </c>
      <c r="M24" s="144">
        <f>Model!L38/(Model!L66-Model!L72)</f>
        <v>0.24937915923505238</v>
      </c>
      <c r="N24" s="144">
        <f>Model!M38/(Model!M66-Model!M72)</f>
        <v>0.25002496706523902</v>
      </c>
      <c r="O24" s="144">
        <f>Model!N38/(Model!N66-Model!N72)</f>
        <v>0.24673135910119526</v>
      </c>
      <c r="P24" s="144">
        <f>Model!O38/(Model!O66-Model!O72)</f>
        <v>0.24063906488028647</v>
      </c>
      <c r="Q24" s="144">
        <f>Model!P38/(Model!P66-Model!P72)</f>
        <v>0.23268701456617749</v>
      </c>
      <c r="R24" s="144">
        <f>Model!Q38/(Model!Q66-Model!Q72)</f>
        <v>0.22359812470213516</v>
      </c>
      <c r="S24" s="143"/>
    </row>
    <row r="25" spans="2:19" x14ac:dyDescent="0.25">
      <c r="B25" s="31" t="s">
        <v>347</v>
      </c>
      <c r="C25" s="31"/>
      <c r="D25" s="75">
        <f>Model!C43/Model!C85</f>
        <v>9.9551965858120942E-2</v>
      </c>
      <c r="E25" s="75">
        <f>Model!D43/Model!D85</f>
        <v>0.17777123294819724</v>
      </c>
      <c r="F25" s="75">
        <f>Model!E43/Model!E85</f>
        <v>0.29721366384385556</v>
      </c>
      <c r="G25" s="75">
        <f>Model!F43/Model!F85</f>
        <v>0.29667126957382361</v>
      </c>
      <c r="H25" s="75">
        <f>Model!G43/Model!G85</f>
        <v>0.15736811720398217</v>
      </c>
      <c r="I25" s="75">
        <f>Model!H43/Model!H85</f>
        <v>0.17349257210217361</v>
      </c>
      <c r="J25" s="75">
        <f>Model!I43/Model!I85</f>
        <v>0.19397652062123658</v>
      </c>
      <c r="K25" s="75">
        <f>Model!J43/Model!J85</f>
        <v>0.20788658163866236</v>
      </c>
      <c r="L25" s="75">
        <f>Model!K43/Model!K85</f>
        <v>0.21544638224681456</v>
      </c>
      <c r="M25" s="75">
        <f>Model!L43/Model!L85</f>
        <v>0.21765221648139399</v>
      </c>
      <c r="N25" s="75">
        <f>Model!M43/Model!M85</f>
        <v>0.2157545194666482</v>
      </c>
      <c r="O25" s="75">
        <f>Model!N43/Model!N85</f>
        <v>0.21093756877910758</v>
      </c>
      <c r="P25" s="75">
        <f>Model!O43/Model!O85</f>
        <v>0.20418164688015489</v>
      </c>
      <c r="Q25" s="75">
        <f>Model!P43/Model!P85</f>
        <v>0.19623736446470219</v>
      </c>
      <c r="R25" s="75">
        <f>Model!Q43/Model!Q85</f>
        <v>0.18765157932510484</v>
      </c>
      <c r="S25" s="31"/>
    </row>
    <row r="26" spans="2:19" x14ac:dyDescent="0.25">
      <c r="B26" s="17" t="s">
        <v>348</v>
      </c>
      <c r="C26" s="17"/>
      <c r="D26" s="146">
        <f>Model!C38/Model!C39</f>
        <v>2.394722238032899</v>
      </c>
      <c r="E26" s="146">
        <f>Model!D38/Model!D39</f>
        <v>6.0822035733622117</v>
      </c>
      <c r="F26" s="146">
        <f>Model!E38/Model!E39</f>
        <v>11.663940855997673</v>
      </c>
      <c r="G26" s="146">
        <f>Model!F38/Model!F39</f>
        <v>10.923498409169744</v>
      </c>
      <c r="H26" s="146">
        <f>Model!G38/Model!G39</f>
        <v>8.3565763589454374</v>
      </c>
      <c r="I26" s="146">
        <f>Model!H38/Model!H39</f>
        <v>22.387573996411628</v>
      </c>
      <c r="J26" s="146">
        <f>Model!I38/Model!I39</f>
        <v>29.742842580951031</v>
      </c>
      <c r="K26" s="146">
        <f>Model!J38/Model!J39</f>
        <v>38.56362941325515</v>
      </c>
      <c r="L26" s="146">
        <f>Model!K38/Model!K39</f>
        <v>48.848331383160989</v>
      </c>
      <c r="M26" s="146">
        <f>Model!L38/Model!L39</f>
        <v>60.54702729714505</v>
      </c>
      <c r="N26" s="146">
        <f>Model!M38/Model!M39</f>
        <v>73.56440265405277</v>
      </c>
      <c r="O26" s="146">
        <f>Model!N38/Model!N39</f>
        <v>87.765834366686391</v>
      </c>
      <c r="P26" s="146">
        <f>Model!O38/Model!O39</f>
        <v>102.98565170238426</v>
      </c>
      <c r="Q26" s="146">
        <f>Model!P38/Model!P39</f>
        <v>119.03654189707657</v>
      </c>
      <c r="R26" s="146">
        <f>Model!Q38/Model!Q39</f>
        <v>135.7191519391894</v>
      </c>
      <c r="S26" s="17"/>
    </row>
    <row r="28" spans="2:19" x14ac:dyDescent="0.25">
      <c r="B28" s="143" t="s">
        <v>349</v>
      </c>
      <c r="C28" s="143"/>
      <c r="D28" s="147">
        <f>Model!C29/Model!C54</f>
        <v>27.112788826991242</v>
      </c>
      <c r="E28" s="147">
        <f>Model!D29/Model!D54</f>
        <v>40.489633851452439</v>
      </c>
      <c r="F28" s="147">
        <f>Model!E29/Model!E54</f>
        <v>44.733906152910748</v>
      </c>
      <c r="G28" s="147">
        <f>Model!F29/Model!F54</f>
        <v>45.413868135843181</v>
      </c>
      <c r="H28" s="147">
        <f>Model!G29/Model!G54</f>
        <v>24.214129825664841</v>
      </c>
      <c r="I28" s="147">
        <f>Model!H29/Model!H54</f>
        <v>33.955175366723736</v>
      </c>
      <c r="J28" s="147">
        <f>Model!I29/Model!I54</f>
        <v>33.955175366723736</v>
      </c>
      <c r="K28" s="147">
        <f>Model!J29/Model!J54</f>
        <v>33.955175366723736</v>
      </c>
      <c r="L28" s="147">
        <f>Model!K29/Model!K54</f>
        <v>33.955175366723736</v>
      </c>
      <c r="M28" s="147">
        <f>Model!L29/Model!L54</f>
        <v>33.955175366723736</v>
      </c>
      <c r="N28" s="147">
        <f>Model!M29/Model!M54</f>
        <v>33.955175366723736</v>
      </c>
      <c r="O28" s="147">
        <f>Model!N29/Model!N54</f>
        <v>33.955175366723743</v>
      </c>
      <c r="P28" s="147">
        <f>Model!O29/Model!O54</f>
        <v>33.955175366723736</v>
      </c>
      <c r="Q28" s="147">
        <f>Model!P29/Model!P54</f>
        <v>33.955175366723736</v>
      </c>
      <c r="R28" s="147">
        <f>Model!Q29/Model!Q54</f>
        <v>33.955175366723736</v>
      </c>
      <c r="S28" s="143"/>
    </row>
    <row r="29" spans="2:19" x14ac:dyDescent="0.25">
      <c r="B29" s="31" t="s">
        <v>350</v>
      </c>
      <c r="C29" s="31"/>
      <c r="D29" s="148">
        <f>Model!C30/Model!C70</f>
        <v>5.6114004126049855</v>
      </c>
      <c r="E29" s="148">
        <f>Model!D30/Model!D70</f>
        <v>5.8583820510767071</v>
      </c>
      <c r="F29" s="148">
        <f>Model!E30/Model!E70</f>
        <v>7.8598550701780141</v>
      </c>
      <c r="G29" s="148">
        <f>Model!F30/Model!F70</f>
        <v>10.133056730779376</v>
      </c>
      <c r="H29" s="148">
        <f>Model!G30/Model!G70</f>
        <v>6.010151067624439</v>
      </c>
      <c r="I29" s="148">
        <f>Model!H30/Model!H70</f>
        <v>6.745771094619319</v>
      </c>
      <c r="J29" s="148">
        <f>Model!I30/Model!I70</f>
        <v>6.745771094619319</v>
      </c>
      <c r="K29" s="148">
        <f>Model!J30/Model!J70</f>
        <v>6.7457710946193181</v>
      </c>
      <c r="L29" s="148">
        <f>Model!K30/Model!K70</f>
        <v>6.745771094619319</v>
      </c>
      <c r="M29" s="148">
        <f>Model!L30/Model!L70</f>
        <v>6.745771094619319</v>
      </c>
      <c r="N29" s="148">
        <f>Model!M30/Model!M70</f>
        <v>6.745771094619319</v>
      </c>
      <c r="O29" s="148">
        <f>Model!N30/Model!N70</f>
        <v>6.7457710946193199</v>
      </c>
      <c r="P29" s="148">
        <f>Model!O30/Model!O70</f>
        <v>6.7457710946193199</v>
      </c>
      <c r="Q29" s="148">
        <f>Model!P30/Model!P70</f>
        <v>6.7457710946193181</v>
      </c>
      <c r="R29" s="148">
        <f>Model!Q30/Model!Q70</f>
        <v>6.745771094619319</v>
      </c>
      <c r="S29" s="31"/>
    </row>
    <row r="30" spans="2:19" x14ac:dyDescent="0.25">
      <c r="B30" s="31" t="s">
        <v>351</v>
      </c>
      <c r="C30" s="31"/>
      <c r="D30" s="148">
        <f>Model!C30/Model!C55</f>
        <v>3.0895495712766095</v>
      </c>
      <c r="E30" s="148">
        <f>Model!D30/Model!D55</f>
        <v>2.879468567841573</v>
      </c>
      <c r="F30" s="148">
        <f>Model!E30/Model!E55</f>
        <v>3.2492204916532303</v>
      </c>
      <c r="G30" s="148">
        <f>Model!F30/Model!F55</f>
        <v>3.5727747493295849</v>
      </c>
      <c r="H30" s="148">
        <f>Model!G30/Model!G55</f>
        <v>3.3599483239312793</v>
      </c>
      <c r="I30" s="148">
        <f>Model!H30/Model!H55</f>
        <v>3.2128672367345747</v>
      </c>
      <c r="J30" s="148">
        <f>Model!I30/Model!I55</f>
        <v>3.2128672367345747</v>
      </c>
      <c r="K30" s="148">
        <f>Model!J30/Model!J55</f>
        <v>3.2128672367345743</v>
      </c>
      <c r="L30" s="148">
        <f>Model!K30/Model!K55</f>
        <v>3.2128672367345747</v>
      </c>
      <c r="M30" s="148">
        <f>Model!L30/Model!L55</f>
        <v>3.2128672367345747</v>
      </c>
      <c r="N30" s="148">
        <f>Model!M30/Model!M55</f>
        <v>3.2128672367345747</v>
      </c>
      <c r="O30" s="148">
        <f>Model!N30/Model!N55</f>
        <v>3.2128672367345743</v>
      </c>
      <c r="P30" s="148">
        <f>Model!O30/Model!O55</f>
        <v>3.2128672367345747</v>
      </c>
      <c r="Q30" s="148">
        <f>Model!P30/Model!P55</f>
        <v>3.2128672367345743</v>
      </c>
      <c r="R30" s="148">
        <f>Model!Q30/Model!Q55</f>
        <v>3.2128672367345743</v>
      </c>
      <c r="S30" s="31"/>
    </row>
    <row r="31" spans="2:19" x14ac:dyDescent="0.25">
      <c r="B31" s="31" t="s">
        <v>352</v>
      </c>
      <c r="C31" s="31"/>
      <c r="D31" s="148">
        <f>Model!C29/Model!C60</f>
        <v>1.0162120125173535</v>
      </c>
      <c r="E31" s="148">
        <f>Model!D29/Model!D60</f>
        <v>1.3206676894948413</v>
      </c>
      <c r="F31" s="148">
        <f>Model!E29/Model!E60</f>
        <v>1.7819339125685776</v>
      </c>
      <c r="G31" s="148">
        <f>Model!F29/Model!F60</f>
        <v>1.5834683284757072</v>
      </c>
      <c r="H31" s="148">
        <f>Model!G29/Model!G60</f>
        <v>1.4355221453833116</v>
      </c>
      <c r="I31" s="148">
        <f>Model!H29/Model!H60</f>
        <v>1.5902605414573592</v>
      </c>
      <c r="J31" s="148">
        <f>Model!I29/Model!I60</f>
        <v>1.7655452412729806</v>
      </c>
      <c r="K31" s="148">
        <f>Model!J29/Model!J60</f>
        <v>1.9579290802068898</v>
      </c>
      <c r="L31" s="148">
        <f>Model!K29/Model!K60</f>
        <v>2.1655060135436242</v>
      </c>
      <c r="M31" s="148">
        <f>Model!L29/Model!L60</f>
        <v>2.3872855611690267</v>
      </c>
      <c r="N31" s="148">
        <f>Model!M29/Model!M60</f>
        <v>2.6228895925159654</v>
      </c>
      <c r="O31" s="148">
        <f>Model!N29/Model!N60</f>
        <v>2.8723871530771197</v>
      </c>
      <c r="P31" s="148">
        <f>Model!O29/Model!O60</f>
        <v>3.1361962100217311</v>
      </c>
      <c r="Q31" s="148">
        <f>Model!P29/Model!P60</f>
        <v>3.4150217840983443</v>
      </c>
      <c r="R31" s="148">
        <f>Model!Q29/Model!Q60</f>
        <v>3.7098159967957156</v>
      </c>
      <c r="S31" s="31"/>
    </row>
    <row r="32" spans="2:19" x14ac:dyDescent="0.25">
      <c r="B32" s="17" t="s">
        <v>353</v>
      </c>
      <c r="C32" s="17"/>
      <c r="D32" s="149">
        <f>Model!C29/Model!C83</f>
        <v>1.8603260895782947</v>
      </c>
      <c r="E32" s="149">
        <f>Model!D29/Model!D83</f>
        <v>2.1957090699104</v>
      </c>
      <c r="F32" s="149">
        <f>Model!E29/Model!E83</f>
        <v>2.6243748995566771</v>
      </c>
      <c r="G32" s="149">
        <f>Model!F29/Model!F83</f>
        <v>2.3529254964104362</v>
      </c>
      <c r="H32" s="149">
        <f>Model!G29/Model!G83</f>
        <v>1.2330848198376998</v>
      </c>
      <c r="I32" s="149">
        <f>Model!H29/Model!H83</f>
        <v>1.3966540783770702</v>
      </c>
      <c r="J32" s="149">
        <f>Model!I29/Model!I83</f>
        <v>1.5103449081417573</v>
      </c>
      <c r="K32" s="149">
        <f>Model!J29/Model!J83</f>
        <v>1.5727376781554125</v>
      </c>
      <c r="L32" s="149">
        <f>Model!K29/Model!K83</f>
        <v>1.5903439077968136</v>
      </c>
      <c r="M32" s="149">
        <f>Model!L29/Model!L83</f>
        <v>1.5732246917479935</v>
      </c>
      <c r="N32" s="149">
        <f>Model!M29/Model!M83</f>
        <v>1.5316234016457031</v>
      </c>
      <c r="O32" s="149">
        <f>Model!N29/Model!N83</f>
        <v>1.4742367668853222</v>
      </c>
      <c r="P32" s="149">
        <f>Model!O29/Model!O83</f>
        <v>1.4077201368048586</v>
      </c>
      <c r="Q32" s="149">
        <f>Model!P29/Model!P83</f>
        <v>1.3368366076554452</v>
      </c>
      <c r="R32" s="149">
        <f>Model!Q29/Model!Q83</f>
        <v>1.264834034466521</v>
      </c>
      <c r="S32" s="17"/>
    </row>
    <row r="35" spans="2:19" x14ac:dyDescent="0.25">
      <c r="B35" s="143" t="s">
        <v>354</v>
      </c>
      <c r="C35" s="143"/>
      <c r="D35" s="150">
        <f>Model!C20</f>
        <v>13.462281668222795</v>
      </c>
      <c r="E35" s="150">
        <f>Model!D20</f>
        <v>9.014653018081237</v>
      </c>
      <c r="F35" s="150">
        <f>Model!E20</f>
        <v>8.15935900505416</v>
      </c>
      <c r="G35" s="150">
        <f>Model!F20</f>
        <v>8.0371924916900319</v>
      </c>
      <c r="H35" s="150">
        <f>Model!G20</f>
        <v>15.073843356251118</v>
      </c>
      <c r="I35" s="150">
        <f>Model!H20</f>
        <v>10.749465907859868</v>
      </c>
      <c r="J35" s="150">
        <f>Model!I20</f>
        <v>10.749465907859868</v>
      </c>
      <c r="K35" s="150">
        <f>Model!J20</f>
        <v>10.749465907859868</v>
      </c>
      <c r="L35" s="150">
        <f>Model!K20</f>
        <v>10.749465907859868</v>
      </c>
      <c r="M35" s="150">
        <f>Model!L20</f>
        <v>10.749465907859868</v>
      </c>
      <c r="N35" s="150">
        <f>Model!M20</f>
        <v>10.749465907859868</v>
      </c>
      <c r="O35" s="150">
        <f>Model!N20</f>
        <v>10.749465907859868</v>
      </c>
      <c r="P35" s="150">
        <f>Model!O20</f>
        <v>10.749465907859868</v>
      </c>
      <c r="Q35" s="150">
        <f>Model!P20</f>
        <v>10.749465907859868</v>
      </c>
      <c r="R35" s="150">
        <f>Model!Q20</f>
        <v>10.749465907859868</v>
      </c>
      <c r="S35" s="143"/>
    </row>
    <row r="36" spans="2:19" x14ac:dyDescent="0.25">
      <c r="B36" s="31" t="s">
        <v>355</v>
      </c>
      <c r="C36" s="31"/>
      <c r="D36" s="151">
        <f>Model!C22</f>
        <v>65.0461512566621</v>
      </c>
      <c r="E36" s="151">
        <f>Model!D22</f>
        <v>62.303891555334282</v>
      </c>
      <c r="F36" s="151">
        <f>Model!E22</f>
        <v>46.438515308620481</v>
      </c>
      <c r="G36" s="151">
        <f>Model!F22</f>
        <v>36.02072007465474</v>
      </c>
      <c r="H36" s="151">
        <f>Model!G22</f>
        <v>60.730586618061373</v>
      </c>
      <c r="I36" s="151">
        <f>Model!H22</f>
        <v>54.107972962666601</v>
      </c>
      <c r="J36" s="151">
        <f>Model!I22</f>
        <v>54.107972962666601</v>
      </c>
      <c r="K36" s="151">
        <f>Model!J22</f>
        <v>54.107972962666601</v>
      </c>
      <c r="L36" s="151">
        <f>Model!K22</f>
        <v>54.107972962666601</v>
      </c>
      <c r="M36" s="151">
        <f>Model!L22</f>
        <v>54.107972962666601</v>
      </c>
      <c r="N36" s="151">
        <f>Model!M22</f>
        <v>54.107972962666601</v>
      </c>
      <c r="O36" s="151">
        <f>Model!N22</f>
        <v>54.107972962666601</v>
      </c>
      <c r="P36" s="151">
        <f>Model!O22</f>
        <v>54.107972962666601</v>
      </c>
      <c r="Q36" s="151">
        <f>Model!P22</f>
        <v>54.107972962666601</v>
      </c>
      <c r="R36" s="151">
        <f>Model!Q22</f>
        <v>54.107972962666601</v>
      </c>
      <c r="S36" s="31"/>
    </row>
    <row r="37" spans="2:19" x14ac:dyDescent="0.25">
      <c r="B37" s="31" t="s">
        <v>356</v>
      </c>
      <c r="C37" s="31"/>
      <c r="D37" s="151">
        <f>Model!C21</f>
        <v>118.14019862098574</v>
      </c>
      <c r="E37" s="151">
        <f>Model!D21</f>
        <v>126.75950141508271</v>
      </c>
      <c r="F37" s="151">
        <f>Model!E21</f>
        <v>112.33463562649297</v>
      </c>
      <c r="G37" s="151">
        <f>Model!F21</f>
        <v>102.1614922878893</v>
      </c>
      <c r="H37" s="151">
        <f>Model!G21</f>
        <v>108.63262312705298</v>
      </c>
      <c r="I37" s="151">
        <f>Model!H21</f>
        <v>113.60569021550074</v>
      </c>
      <c r="J37" s="151">
        <f>Model!I21</f>
        <v>113.60569021550074</v>
      </c>
      <c r="K37" s="151">
        <f>Model!J21</f>
        <v>113.60569021550074</v>
      </c>
      <c r="L37" s="151">
        <f>Model!K21</f>
        <v>113.60569021550074</v>
      </c>
      <c r="M37" s="151">
        <f>Model!L21</f>
        <v>113.60569021550074</v>
      </c>
      <c r="N37" s="151">
        <f>Model!M21</f>
        <v>113.60569021550074</v>
      </c>
      <c r="O37" s="151">
        <f>Model!N21</f>
        <v>113.60569021550074</v>
      </c>
      <c r="P37" s="151">
        <f>Model!O21</f>
        <v>113.60569021550074</v>
      </c>
      <c r="Q37" s="151">
        <f>Model!P21</f>
        <v>113.60569021550074</v>
      </c>
      <c r="R37" s="151">
        <f>Model!Q21</f>
        <v>113.60569021550074</v>
      </c>
      <c r="S37" s="31"/>
    </row>
    <row r="38" spans="2:19" x14ac:dyDescent="0.25">
      <c r="B38" s="17" t="s">
        <v>357</v>
      </c>
      <c r="C38" s="17"/>
      <c r="D38" s="152">
        <f>D35+D37-D36</f>
        <v>66.556329032546429</v>
      </c>
      <c r="E38" s="152">
        <f t="shared" ref="E38:R38" si="1">E35+E37-E36</f>
        <v>73.470262877829668</v>
      </c>
      <c r="F38" s="152">
        <f t="shared" si="1"/>
        <v>74.055479322926644</v>
      </c>
      <c r="G38" s="152">
        <f t="shared" si="1"/>
        <v>74.177964704924591</v>
      </c>
      <c r="H38" s="152">
        <f t="shared" si="1"/>
        <v>62.975879865242725</v>
      </c>
      <c r="I38" s="152">
        <f t="shared" si="1"/>
        <v>70.247183160694021</v>
      </c>
      <c r="J38" s="152">
        <f t="shared" si="1"/>
        <v>70.247183160694021</v>
      </c>
      <c r="K38" s="152">
        <f t="shared" si="1"/>
        <v>70.247183160694021</v>
      </c>
      <c r="L38" s="152">
        <f t="shared" si="1"/>
        <v>70.247183160694021</v>
      </c>
      <c r="M38" s="152">
        <f t="shared" si="1"/>
        <v>70.247183160694021</v>
      </c>
      <c r="N38" s="152">
        <f t="shared" si="1"/>
        <v>70.247183160694021</v>
      </c>
      <c r="O38" s="152">
        <f t="shared" si="1"/>
        <v>70.247183160694021</v>
      </c>
      <c r="P38" s="152">
        <f t="shared" si="1"/>
        <v>70.247183160694021</v>
      </c>
      <c r="Q38" s="152">
        <f t="shared" si="1"/>
        <v>70.247183160694021</v>
      </c>
      <c r="R38" s="152">
        <f t="shared" si="1"/>
        <v>70.247183160694021</v>
      </c>
      <c r="S38" s="17"/>
    </row>
    <row r="40" spans="2:19" x14ac:dyDescent="0.25">
      <c r="B40" s="143" t="s">
        <v>358</v>
      </c>
      <c r="C40" s="143"/>
      <c r="D40" s="147">
        <f>Model!C57/Model!C72</f>
        <v>0.94844131568457157</v>
      </c>
      <c r="E40" s="147">
        <f>Model!D57/Model!D72</f>
        <v>1.5621476838809374</v>
      </c>
      <c r="F40" s="147">
        <f>Model!E57/Model!E72</f>
        <v>1.520351858285707</v>
      </c>
      <c r="G40" s="147">
        <f>Model!F57/Model!F72</f>
        <v>1.6582565294194358</v>
      </c>
      <c r="H40" s="147">
        <f>Model!G57/Model!G72</f>
        <v>2.4269644530664594</v>
      </c>
      <c r="I40" s="147">
        <f>Model!H57/Model!H72</f>
        <v>2.299075684702971</v>
      </c>
      <c r="J40" s="147">
        <f>Model!I57/Model!I72</f>
        <v>2.3750051352387307</v>
      </c>
      <c r="K40" s="147">
        <f>Model!J57/Model!J72</f>
        <v>2.6769269639590059</v>
      </c>
      <c r="L40" s="147">
        <f>Model!K57/Model!K72</f>
        <v>3.1513832090790483</v>
      </c>
      <c r="M40" s="147">
        <f>Model!L57/Model!L72</f>
        <v>3.7547889062642752</v>
      </c>
      <c r="N40" s="147">
        <f>Model!M57/Model!M72</f>
        <v>4.4543318155963672</v>
      </c>
      <c r="O40" s="147">
        <f>Model!N57/Model!N72</f>
        <v>5.226674593092385</v>
      </c>
      <c r="P40" s="147">
        <f>Model!O57/Model!O72</f>
        <v>6.0559359374141213</v>
      </c>
      <c r="Q40" s="147">
        <f>Model!P57/Model!P72</f>
        <v>6.9317192296363928</v>
      </c>
      <c r="R40" s="147">
        <f>Model!Q57/Model!Q72</f>
        <v>7.8474836168176552</v>
      </c>
      <c r="S40" s="143"/>
    </row>
    <row r="41" spans="2:19" x14ac:dyDescent="0.25">
      <c r="B41" s="142" t="s">
        <v>359</v>
      </c>
      <c r="C41" s="31"/>
      <c r="D41" s="148">
        <f>(Model!C57-Model!C55)/Model!C72</f>
        <v>0.4055560166605684</v>
      </c>
      <c r="E41" s="148">
        <f>(Model!D57-Model!D55)/Model!D72</f>
        <v>0.58243689769673568</v>
      </c>
      <c r="F41" s="148">
        <f>(Model!E57-Model!E55)/Model!E72</f>
        <v>0.51200852438091271</v>
      </c>
      <c r="G41" s="148">
        <f>(Model!F57-Model!F55)/Model!F72</f>
        <v>0.6384303311242574</v>
      </c>
      <c r="H41" s="148">
        <f>(Model!G57-Model!G55)/Model!G72</f>
        <v>1.463122585849322</v>
      </c>
      <c r="I41" s="148">
        <f>(Model!H57-Model!H55)/Model!H72</f>
        <v>1.0727447367625682</v>
      </c>
      <c r="J41" s="148">
        <f>(Model!I57-Model!I55)/Model!I72</f>
        <v>1.0183330477335182</v>
      </c>
      <c r="K41" s="148">
        <f>(Model!J57-Model!J55)/Model!J72</f>
        <v>1.2097777435087771</v>
      </c>
      <c r="L41" s="148">
        <f>(Model!K57-Model!K55)/Model!K72</f>
        <v>1.592332210818546</v>
      </c>
      <c r="M41" s="148">
        <f>(Model!L57-Model!L55)/Model!L72</f>
        <v>2.1201375582334809</v>
      </c>
      <c r="N41" s="148">
        <f>(Model!M57-Model!M55)/Model!M72</f>
        <v>2.7578305488473087</v>
      </c>
      <c r="O41" s="148">
        <f>(Model!N57-Model!N55)/Model!N72</f>
        <v>3.4796437902056923</v>
      </c>
      <c r="P41" s="148">
        <f>(Model!O57-Model!O55)/Model!O72</f>
        <v>4.2675650107557965</v>
      </c>
      <c r="Q41" s="148">
        <f>(Model!P57-Model!P55)/Model!P72</f>
        <v>5.109414294511275</v>
      </c>
      <c r="R41" s="148">
        <f>(Model!Q57-Model!Q55)/Model!Q72</f>
        <v>5.9971985825334793</v>
      </c>
      <c r="S41" s="31"/>
    </row>
    <row r="42" spans="2:19" x14ac:dyDescent="0.25">
      <c r="B42" s="17" t="s">
        <v>308</v>
      </c>
      <c r="C42" s="17"/>
      <c r="D42" s="149">
        <f>Model!C75/Model!C85</f>
        <v>0.76018539958743747</v>
      </c>
      <c r="E42" s="149">
        <f>Model!D75/Model!D85</f>
        <v>0.80700608121100947</v>
      </c>
      <c r="F42" s="149">
        <f>Model!E75/Model!E85</f>
        <v>0.74466948148849754</v>
      </c>
      <c r="G42" s="149">
        <f>Model!F75/Model!F85</f>
        <v>0.76663034872702995</v>
      </c>
      <c r="H42" s="149">
        <f>Model!G75/Model!G85</f>
        <v>0.16883604876474018</v>
      </c>
      <c r="I42" s="149">
        <f>Model!H75/Model!H85</f>
        <v>0.14354754377032292</v>
      </c>
      <c r="J42" s="149">
        <f>Model!I75/Model!I85</f>
        <v>0.1195082325109833</v>
      </c>
      <c r="K42" s="149">
        <f>Model!J75/Model!J85</f>
        <v>9.8059512930637069E-2</v>
      </c>
      <c r="L42" s="149">
        <f>Model!K75/Model!K85</f>
        <v>7.9820302769683174E-2</v>
      </c>
      <c r="M42" s="149">
        <f>Model!L75/Model!L85</f>
        <v>6.4821604968530178E-2</v>
      </c>
      <c r="N42" s="149">
        <f>Model!M75/Model!M85</f>
        <v>5.2747449278908044E-2</v>
      </c>
      <c r="O42" s="149">
        <f>Model!N75/Model!N85</f>
        <v>4.3141672521301896E-2</v>
      </c>
      <c r="P42" s="149">
        <f>Model!O75/Model!O85</f>
        <v>3.5536820457531496E-2</v>
      </c>
      <c r="Q42" s="149">
        <f>Model!P75/Model!P85</f>
        <v>2.9516253918812397E-2</v>
      </c>
      <c r="R42" s="149">
        <f>Model!Q75/Model!Q85</f>
        <v>2.4734463344689105E-2</v>
      </c>
      <c r="S42" s="17"/>
    </row>
  </sheetData>
  <pageMargins left="0.7" right="0.7" top="0.75" bottom="0.75" header="0.3" footer="0.3"/>
  <drawing r:id="rId1"/>
  <extLst>
    <ext xmlns:x14="http://schemas.microsoft.com/office/spreadsheetml/2009/9/main" uri="{05C60535-1F16-4fd2-B633-F4F36F0B64E0}">
      <x14:sparklineGroups xmlns:xm="http://schemas.microsoft.com/office/excel/2006/main">
        <x14:sparklineGroup displayEmptyCellsAs="gap">
          <x14:colorSeries rgb="FF376092"/>
          <x14:colorNegative rgb="FFD00000"/>
          <x14:colorAxis rgb="FF000000"/>
          <x14:colorMarkers rgb="FFD00000"/>
          <x14:colorFirst rgb="FFD00000"/>
          <x14:colorLast rgb="FFD00000"/>
          <x14:colorHigh rgb="FFD00000"/>
          <x14:colorLow rgb="FFD00000"/>
          <x14:sparklines>
            <x14:sparkline>
              <xm:f>'Ratio Analysis'!D14:R14</xm:f>
              <xm:sqref>S14</xm:sqref>
            </x14:sparkline>
            <x14:sparkline>
              <xm:f>'Ratio Analysis'!D15:R15</xm:f>
              <xm:sqref>S15</xm:sqref>
            </x14:sparkline>
            <x14:sparkline>
              <xm:f>'Ratio Analysis'!D16:R16</xm:f>
              <xm:sqref>S16</xm:sqref>
            </x14:sparkline>
            <x14:sparkline>
              <xm:f>'Ratio Analysis'!D17:R17</xm:f>
              <xm:sqref>S17</xm:sqref>
            </x14:sparkline>
            <x14:sparkline>
              <xm:f>'Ratio Analysis'!D18:R18</xm:f>
              <xm:sqref>S18</xm:sqref>
            </x14:sparkline>
            <x14:sparkline>
              <xm:f>'Ratio Analysis'!D19:R19</xm:f>
              <xm:sqref>S19</xm:sqref>
            </x14:sparkline>
            <x14:sparkline>
              <xm:f>'Ratio Analysis'!D20:R20</xm:f>
              <xm:sqref>S20</xm:sqref>
            </x14:sparkline>
            <x14:sparkline>
              <xm:f>'Ratio Analysis'!D21:R21</xm:f>
              <xm:sqref>S21</xm:sqref>
            </x14:sparkline>
            <x14:sparkline>
              <xm:f>'Ratio Analysis'!D22:R22</xm:f>
              <xm:sqref>S22</xm:sqref>
            </x14:sparkline>
            <x14:sparkline>
              <xm:f>'Ratio Analysis'!D23:R23</xm:f>
              <xm:sqref>S23</xm:sqref>
            </x14:sparkline>
            <x14:sparkline>
              <xm:f>'Ratio Analysis'!D24:R24</xm:f>
              <xm:sqref>S24</xm:sqref>
            </x14:sparkline>
            <x14:sparkline>
              <xm:f>'Ratio Analysis'!D25:R25</xm:f>
              <xm:sqref>S25</xm:sqref>
            </x14:sparkline>
            <x14:sparkline>
              <xm:f>'Ratio Analysis'!D26:R26</xm:f>
              <xm:sqref>S26</xm:sqref>
            </x14:sparkline>
            <x14:sparkline>
              <xm:f>'Ratio Analysis'!D27:R27</xm:f>
              <xm:sqref>S27</xm:sqref>
            </x14:sparkline>
            <x14:sparkline>
              <xm:f>'Ratio Analysis'!D28:R28</xm:f>
              <xm:sqref>S28</xm:sqref>
            </x14:sparkline>
            <x14:sparkline>
              <xm:f>'Ratio Analysis'!D29:R29</xm:f>
              <xm:sqref>S29</xm:sqref>
            </x14:sparkline>
            <x14:sparkline>
              <xm:f>'Ratio Analysis'!D30:R30</xm:f>
              <xm:sqref>S30</xm:sqref>
            </x14:sparkline>
            <x14:sparkline>
              <xm:f>'Ratio Analysis'!D31:R31</xm:f>
              <xm:sqref>S31</xm:sqref>
            </x14:sparkline>
            <x14:sparkline>
              <xm:f>'Ratio Analysis'!D32:R32</xm:f>
              <xm:sqref>S32</xm:sqref>
            </x14:sparkline>
            <x14:sparkline>
              <xm:f>'Ratio Analysis'!D33:R33</xm:f>
              <xm:sqref>S33</xm:sqref>
            </x14:sparkline>
            <x14:sparkline>
              <xm:f>'Ratio Analysis'!D34:R34</xm:f>
              <xm:sqref>S34</xm:sqref>
            </x14:sparkline>
            <x14:sparkline>
              <xm:f>'Ratio Analysis'!D35:R35</xm:f>
              <xm:sqref>S35</xm:sqref>
            </x14:sparkline>
            <x14:sparkline>
              <xm:f>'Ratio Analysis'!D36:R36</xm:f>
              <xm:sqref>S36</xm:sqref>
            </x14:sparkline>
            <x14:sparkline>
              <xm:f>'Ratio Analysis'!D37:R37</xm:f>
              <xm:sqref>S37</xm:sqref>
            </x14:sparkline>
            <x14:sparkline>
              <xm:f>'Ratio Analysis'!D38:R38</xm:f>
              <xm:sqref>S38</xm:sqref>
            </x14:sparkline>
            <x14:sparkline>
              <xm:f>'Ratio Analysis'!D39:R39</xm:f>
              <xm:sqref>S39</xm:sqref>
            </x14:sparkline>
            <x14:sparkline>
              <xm:f>'Ratio Analysis'!D40:R40</xm:f>
              <xm:sqref>S40</xm:sqref>
            </x14:sparkline>
            <x14:sparkline>
              <xm:f>'Ratio Analysis'!D41:R41</xm:f>
              <xm:sqref>S41</xm:sqref>
            </x14:sparkline>
            <x14:sparkline>
              <xm:f>'Ratio Analysis'!D42:R42</xm:f>
              <xm:sqref>S42</xm:sqref>
            </x14:sparkline>
          </x14:sparklines>
        </x14:sparklineGroup>
        <x14:sparklineGroup displayEmptyCellsAs="gap">
          <x14:colorSeries rgb="FF376092"/>
          <x14:colorNegative rgb="FFD00000"/>
          <x14:colorAxis rgb="FF000000"/>
          <x14:colorMarkers rgb="FFD00000"/>
          <x14:colorFirst rgb="FFD00000"/>
          <x14:colorLast rgb="FFD00000"/>
          <x14:colorHigh rgb="FFD00000"/>
          <x14:colorLow rgb="FFD00000"/>
          <x14:sparklines>
            <x14:sparkline>
              <xm:f>'Ratio Analysis'!E9:R9</xm:f>
              <xm:sqref>S9</xm:sqref>
            </x14:sparkline>
            <x14:sparkline>
              <xm:f>'Ratio Analysis'!E10:R10</xm:f>
              <xm:sqref>S10</xm:sqref>
            </x14:sparkline>
            <x14:sparkline>
              <xm:f>'Ratio Analysis'!E11:R11</xm:f>
              <xm:sqref>S11</xm:sqref>
            </x14:sparkline>
            <x14:sparkline>
              <xm:f>'Ratio Analysis'!E12:R12</xm:f>
              <xm:sqref>S12</xm:sqref>
            </x14:sparkline>
          </x14:sparklines>
        </x14:sparklineGroup>
      </x14:sparklineGroup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1:Q49"/>
  <sheetViews>
    <sheetView showGridLines="0" workbookViewId="0">
      <selection activeCell="J60" sqref="J60"/>
    </sheetView>
  </sheetViews>
  <sheetFormatPr defaultRowHeight="15" x14ac:dyDescent="0.25"/>
  <cols>
    <col min="1" max="1" width="1.7109375" customWidth="1"/>
    <col min="2" max="2" width="23.5703125" bestFit="1" customWidth="1"/>
    <col min="3" max="4" width="9.5703125" bestFit="1" customWidth="1"/>
    <col min="5" max="14" width="10.5703125" bestFit="1" customWidth="1"/>
    <col min="15" max="17" width="11.5703125" bestFit="1" customWidth="1"/>
  </cols>
  <sheetData>
    <row r="1" spans="2:17" ht="9" customHeight="1" x14ac:dyDescent="0.25">
      <c r="B1" s="162"/>
      <c r="C1" s="162"/>
      <c r="D1" s="162"/>
      <c r="E1" s="162"/>
      <c r="F1" s="162"/>
      <c r="G1" s="162"/>
      <c r="H1" s="162"/>
      <c r="I1" s="162"/>
      <c r="J1" s="162"/>
      <c r="K1" s="162"/>
      <c r="L1" s="162"/>
      <c r="M1" s="162"/>
      <c r="N1" s="162"/>
      <c r="O1" s="162"/>
      <c r="P1" s="162"/>
      <c r="Q1" s="162"/>
    </row>
    <row r="2" spans="2:17" ht="26.25" x14ac:dyDescent="0.25">
      <c r="B2" s="161" t="s">
        <v>378</v>
      </c>
    </row>
    <row r="3" spans="2:17" x14ac:dyDescent="0.25">
      <c r="B3" s="160" t="s">
        <v>382</v>
      </c>
    </row>
    <row r="4" spans="2:17" x14ac:dyDescent="0.25">
      <c r="B4" s="159" t="s">
        <v>380</v>
      </c>
    </row>
    <row r="5" spans="2:17" x14ac:dyDescent="0.25">
      <c r="B5" s="159" t="s">
        <v>381</v>
      </c>
    </row>
    <row r="6" spans="2:17" ht="6.75" customHeight="1" x14ac:dyDescent="0.25"/>
    <row r="7" spans="2:17" ht="18.75" x14ac:dyDescent="0.3">
      <c r="B7" s="231" t="s">
        <v>362</v>
      </c>
      <c r="C7" s="231"/>
      <c r="D7" s="231"/>
      <c r="E7" s="231"/>
      <c r="F7" s="231"/>
      <c r="G7" s="231"/>
      <c r="H7" s="231"/>
      <c r="I7" s="231"/>
      <c r="J7" s="231"/>
      <c r="K7" s="231"/>
      <c r="L7" s="231"/>
      <c r="M7" s="231"/>
      <c r="N7" s="231"/>
      <c r="O7" s="231"/>
      <c r="P7" s="231"/>
      <c r="Q7" s="231"/>
    </row>
    <row r="8" spans="2:17" x14ac:dyDescent="0.25">
      <c r="B8" s="20" t="s">
        <v>365</v>
      </c>
      <c r="C8" s="20">
        <v>2020</v>
      </c>
      <c r="D8" s="20">
        <f>C8+1</f>
        <v>2021</v>
      </c>
      <c r="E8" s="20">
        <f t="shared" ref="E8:Q8" si="0">D8+1</f>
        <v>2022</v>
      </c>
      <c r="F8" s="20">
        <f t="shared" si="0"/>
        <v>2023</v>
      </c>
      <c r="G8" s="20">
        <f t="shared" si="0"/>
        <v>2024</v>
      </c>
      <c r="H8" s="21">
        <f t="shared" si="0"/>
        <v>2025</v>
      </c>
      <c r="I8" s="21">
        <f t="shared" si="0"/>
        <v>2026</v>
      </c>
      <c r="J8" s="21">
        <f t="shared" si="0"/>
        <v>2027</v>
      </c>
      <c r="K8" s="21">
        <f t="shared" si="0"/>
        <v>2028</v>
      </c>
      <c r="L8" s="21">
        <f t="shared" si="0"/>
        <v>2029</v>
      </c>
      <c r="M8" s="21">
        <f t="shared" si="0"/>
        <v>2030</v>
      </c>
      <c r="N8" s="21">
        <f t="shared" si="0"/>
        <v>2031</v>
      </c>
      <c r="O8" s="21">
        <f t="shared" si="0"/>
        <v>2032</v>
      </c>
      <c r="P8" s="21">
        <f t="shared" si="0"/>
        <v>2033</v>
      </c>
      <c r="Q8" s="21">
        <f t="shared" si="0"/>
        <v>2034</v>
      </c>
    </row>
    <row r="9" spans="2:17" x14ac:dyDescent="0.25">
      <c r="B9" s="230" t="s">
        <v>363</v>
      </c>
      <c r="C9" s="230"/>
      <c r="D9" s="230"/>
      <c r="E9" s="230"/>
      <c r="F9" s="230"/>
      <c r="G9" s="230"/>
      <c r="H9" s="230"/>
      <c r="I9" s="230"/>
      <c r="J9" s="230"/>
      <c r="K9" s="230"/>
      <c r="L9" s="230"/>
      <c r="M9" s="230"/>
      <c r="N9" s="230"/>
      <c r="O9" s="230"/>
      <c r="P9" s="230"/>
      <c r="Q9" s="230"/>
    </row>
    <row r="11" spans="2:17" x14ac:dyDescent="0.25">
      <c r="B11" t="s">
        <v>364</v>
      </c>
      <c r="C11" s="14">
        <f>Model!C43</f>
        <v>3572.71</v>
      </c>
      <c r="D11" s="14">
        <f>Model!D43</f>
        <v>7460.5200000000059</v>
      </c>
      <c r="E11" s="14">
        <f>Model!E43</f>
        <v>15501.139999999989</v>
      </c>
      <c r="F11" s="14">
        <f>Model!F43</f>
        <v>21018.129999999986</v>
      </c>
      <c r="G11" s="14">
        <f>Model!G43</f>
        <v>26342.849999999991</v>
      </c>
      <c r="H11" s="14">
        <f>Model!H43</f>
        <v>34158.304837217875</v>
      </c>
      <c r="I11" s="14">
        <f>Model!I43</f>
        <v>45873.569192102979</v>
      </c>
      <c r="J11" s="14">
        <f>Model!J43</f>
        <v>59916.704187404634</v>
      </c>
      <c r="K11" s="14">
        <f>Model!K43</f>
        <v>76284.62665288955</v>
      </c>
      <c r="L11" s="14">
        <f>Model!L43</f>
        <v>94897.441638176999</v>
      </c>
      <c r="M11" s="14">
        <f>Model!M43</f>
        <v>115603.13948764191</v>
      </c>
      <c r="N11" s="14">
        <f>Model!N43</f>
        <v>138187.30537576231</v>
      </c>
      <c r="O11" s="14">
        <f>Model!O43</f>
        <v>162386.27676644723</v>
      </c>
      <c r="P11" s="14">
        <f>Model!P43</f>
        <v>187902.10905264423</v>
      </c>
      <c r="Q11" s="14">
        <f>Model!Q43</f>
        <v>214417.84253943391</v>
      </c>
    </row>
    <row r="12" spans="2:17" x14ac:dyDescent="0.25">
      <c r="B12" t="s">
        <v>186</v>
      </c>
      <c r="C12" s="14">
        <f>Model!C85</f>
        <v>35887.89</v>
      </c>
      <c r="D12" s="14">
        <f>Model!D85</f>
        <v>41966.97</v>
      </c>
      <c r="E12" s="14">
        <f>Model!E85</f>
        <v>52154.87</v>
      </c>
      <c r="F12" s="14">
        <f>Model!F85</f>
        <v>70846.530000000013</v>
      </c>
      <c r="G12" s="14">
        <f>Model!G85</f>
        <v>167396.35999999999</v>
      </c>
      <c r="H12" s="14">
        <f>Model!H85</f>
        <v>196886.26679130271</v>
      </c>
      <c r="I12" s="14">
        <f>Model!I85</f>
        <v>236490.31875191155</v>
      </c>
      <c r="J12" s="14">
        <f>Model!J85</f>
        <v>288218.23763281043</v>
      </c>
      <c r="K12" s="14">
        <f>Model!K85</f>
        <v>354077.08339004818</v>
      </c>
      <c r="L12" s="14">
        <f>Model!L85</f>
        <v>436004.94023128552</v>
      </c>
      <c r="M12" s="14">
        <f>Model!M85</f>
        <v>535808.65779042046</v>
      </c>
      <c r="N12" s="14">
        <f>Model!N85</f>
        <v>655109.97484033369</v>
      </c>
      <c r="O12" s="14">
        <f>Model!O85</f>
        <v>795303.0022417265</v>
      </c>
      <c r="P12" s="14">
        <f>Model!P85</f>
        <v>957524.62618525815</v>
      </c>
      <c r="Q12" s="14">
        <f>Model!Q85</f>
        <v>1142638.0918860093</v>
      </c>
    </row>
    <row r="13" spans="2:17" x14ac:dyDescent="0.25">
      <c r="B13" s="154" t="s">
        <v>363</v>
      </c>
      <c r="C13" s="155">
        <f>C11/C12</f>
        <v>9.9551965858120942E-2</v>
      </c>
      <c r="D13" s="155">
        <f t="shared" ref="D13:Q13" si="1">D11/D12</f>
        <v>0.17777123294819724</v>
      </c>
      <c r="E13" s="155">
        <f t="shared" si="1"/>
        <v>0.29721366384385556</v>
      </c>
      <c r="F13" s="155">
        <f t="shared" si="1"/>
        <v>0.29667126957382361</v>
      </c>
      <c r="G13" s="155">
        <f t="shared" si="1"/>
        <v>0.15736811720398217</v>
      </c>
      <c r="H13" s="155">
        <f t="shared" si="1"/>
        <v>0.17349257210217361</v>
      </c>
      <c r="I13" s="155">
        <f t="shared" si="1"/>
        <v>0.19397652062123658</v>
      </c>
      <c r="J13" s="155">
        <f t="shared" si="1"/>
        <v>0.20788658163866236</v>
      </c>
      <c r="K13" s="155">
        <f t="shared" si="1"/>
        <v>0.21544638224681456</v>
      </c>
      <c r="L13" s="155">
        <f t="shared" si="1"/>
        <v>0.21765221648139399</v>
      </c>
      <c r="M13" s="155">
        <f t="shared" si="1"/>
        <v>0.2157545194666482</v>
      </c>
      <c r="N13" s="155">
        <f t="shared" si="1"/>
        <v>0.21093756877910758</v>
      </c>
      <c r="O13" s="155">
        <f t="shared" si="1"/>
        <v>0.20418164688015489</v>
      </c>
      <c r="P13" s="155">
        <f t="shared" si="1"/>
        <v>0.19623736446470219</v>
      </c>
      <c r="Q13" s="155">
        <f t="shared" si="1"/>
        <v>0.18765157932510484</v>
      </c>
    </row>
    <row r="15" spans="2:17" x14ac:dyDescent="0.25">
      <c r="B15" s="230" t="s">
        <v>366</v>
      </c>
      <c r="C15" s="230"/>
      <c r="D15" s="230"/>
      <c r="E15" s="230"/>
      <c r="F15" s="230"/>
      <c r="G15" s="230"/>
      <c r="H15" s="230"/>
      <c r="I15" s="230"/>
      <c r="J15" s="230"/>
      <c r="K15" s="230"/>
      <c r="L15" s="230"/>
      <c r="M15" s="230"/>
      <c r="N15" s="230"/>
      <c r="O15" s="230"/>
      <c r="P15" s="230"/>
      <c r="Q15" s="230"/>
    </row>
    <row r="18" spans="2:17" x14ac:dyDescent="0.25">
      <c r="B18" t="s">
        <v>364</v>
      </c>
      <c r="C18" s="14">
        <f>C11</f>
        <v>3572.71</v>
      </c>
      <c r="D18" s="14">
        <f t="shared" ref="D18:Q18" si="2">D11</f>
        <v>7460.5200000000059</v>
      </c>
      <c r="E18" s="14">
        <f t="shared" si="2"/>
        <v>15501.139999999989</v>
      </c>
      <c r="F18" s="14">
        <f t="shared" si="2"/>
        <v>21018.129999999986</v>
      </c>
      <c r="G18" s="14">
        <f t="shared" si="2"/>
        <v>26342.849999999991</v>
      </c>
      <c r="H18" s="14">
        <f t="shared" si="2"/>
        <v>34158.304837217875</v>
      </c>
      <c r="I18" s="14">
        <f t="shared" si="2"/>
        <v>45873.569192102979</v>
      </c>
      <c r="J18" s="14">
        <f t="shared" si="2"/>
        <v>59916.704187404634</v>
      </c>
      <c r="K18" s="14">
        <f t="shared" si="2"/>
        <v>76284.62665288955</v>
      </c>
      <c r="L18" s="14">
        <f t="shared" si="2"/>
        <v>94897.441638176999</v>
      </c>
      <c r="M18" s="14">
        <f t="shared" si="2"/>
        <v>115603.13948764191</v>
      </c>
      <c r="N18" s="14">
        <f t="shared" si="2"/>
        <v>138187.30537576231</v>
      </c>
      <c r="O18" s="14">
        <f t="shared" si="2"/>
        <v>162386.27676644723</v>
      </c>
      <c r="P18" s="14">
        <f t="shared" si="2"/>
        <v>187902.10905264423</v>
      </c>
      <c r="Q18" s="14">
        <f t="shared" si="2"/>
        <v>214417.84253943391</v>
      </c>
    </row>
    <row r="19" spans="2:17" x14ac:dyDescent="0.25">
      <c r="B19" t="s">
        <v>367</v>
      </c>
      <c r="C19" s="14">
        <f>Model!C29</f>
        <v>65557.91</v>
      </c>
      <c r="D19" s="14">
        <f>Model!D29</f>
        <v>89582.91</v>
      </c>
      <c r="E19" s="14">
        <f>Model!E29</f>
        <v>133905.57999999999</v>
      </c>
      <c r="F19" s="14">
        <f>Model!F29</f>
        <v>163210.63</v>
      </c>
      <c r="G19" s="14">
        <f>Model!G29</f>
        <v>204813.28</v>
      </c>
      <c r="H19" s="14">
        <f>Model!H29</f>
        <v>273169.05273098993</v>
      </c>
      <c r="I19" s="14">
        <f>Model!I29</f>
        <v>355221.41533685918</v>
      </c>
      <c r="J19" s="14">
        <f>Model!J29</f>
        <v>451250.158258788</v>
      </c>
      <c r="K19" s="14">
        <f>Model!K29</f>
        <v>561039.95474343363</v>
      </c>
      <c r="L19" s="14">
        <f>Model!L29</f>
        <v>683891.58192034916</v>
      </c>
      <c r="M19" s="14">
        <f>Model!M29</f>
        <v>818668.92468720803</v>
      </c>
      <c r="N19" s="14">
        <f>Model!N29</f>
        <v>963873.54874294752</v>
      </c>
      <c r="O19" s="14">
        <f>Model!O29</f>
        <v>1117736.7318390559</v>
      </c>
      <c r="P19" s="14">
        <f>Model!P29</f>
        <v>1278318.6655207495</v>
      </c>
      <c r="Q19" s="14">
        <f>Model!Q29</f>
        <v>1443605.7045801885</v>
      </c>
    </row>
    <row r="20" spans="2:17" x14ac:dyDescent="0.25">
      <c r="B20" s="153" t="s">
        <v>368</v>
      </c>
      <c r="C20" s="156">
        <f>C18/C19</f>
        <v>5.4497008827767694E-2</v>
      </c>
      <c r="D20" s="156">
        <f t="shared" ref="D20:Q20" si="3">D18/D19</f>
        <v>8.3280616805147381E-2</v>
      </c>
      <c r="E20" s="156">
        <f t="shared" si="3"/>
        <v>0.1157617180702999</v>
      </c>
      <c r="F20" s="156">
        <f t="shared" si="3"/>
        <v>0.1287791732683097</v>
      </c>
      <c r="G20" s="156">
        <f t="shared" si="3"/>
        <v>0.12861885713660751</v>
      </c>
      <c r="H20" s="156">
        <f t="shared" si="3"/>
        <v>0.12504456304886089</v>
      </c>
      <c r="I20" s="156">
        <f t="shared" si="3"/>
        <v>0.12914077589776146</v>
      </c>
      <c r="J20" s="156">
        <f t="shared" si="3"/>
        <v>0.13277935329397256</v>
      </c>
      <c r="K20" s="156">
        <f t="shared" si="3"/>
        <v>0.13597004278915376</v>
      </c>
      <c r="L20" s="156">
        <f t="shared" si="3"/>
        <v>0.13876094420069851</v>
      </c>
      <c r="M20" s="156">
        <f t="shared" si="3"/>
        <v>0.14120865712816794</v>
      </c>
      <c r="N20" s="156">
        <f t="shared" si="3"/>
        <v>0.14336663305677566</v>
      </c>
      <c r="O20" s="156">
        <f t="shared" si="3"/>
        <v>0.14528132800938443</v>
      </c>
      <c r="P20" s="156">
        <f t="shared" si="3"/>
        <v>0.14699160242340545</v>
      </c>
      <c r="Q20" s="156">
        <f t="shared" si="3"/>
        <v>0.14852936772079897</v>
      </c>
    </row>
    <row r="22" spans="2:17" x14ac:dyDescent="0.25">
      <c r="B22" t="s">
        <v>367</v>
      </c>
      <c r="C22" s="14">
        <f>C19</f>
        <v>65557.91</v>
      </c>
      <c r="D22" s="14">
        <f t="shared" ref="D22:Q22" si="4">D19</f>
        <v>89582.91</v>
      </c>
      <c r="E22" s="14">
        <f t="shared" si="4"/>
        <v>133905.57999999999</v>
      </c>
      <c r="F22" s="14">
        <f t="shared" si="4"/>
        <v>163210.63</v>
      </c>
      <c r="G22" s="14">
        <f t="shared" si="4"/>
        <v>204813.28</v>
      </c>
      <c r="H22" s="14">
        <f t="shared" si="4"/>
        <v>273169.05273098993</v>
      </c>
      <c r="I22" s="14">
        <f t="shared" si="4"/>
        <v>355221.41533685918</v>
      </c>
      <c r="J22" s="14">
        <f t="shared" si="4"/>
        <v>451250.158258788</v>
      </c>
      <c r="K22" s="14">
        <f t="shared" si="4"/>
        <v>561039.95474343363</v>
      </c>
      <c r="L22" s="14">
        <f t="shared" si="4"/>
        <v>683891.58192034916</v>
      </c>
      <c r="M22" s="14">
        <f t="shared" si="4"/>
        <v>818668.92468720803</v>
      </c>
      <c r="N22" s="14">
        <f t="shared" si="4"/>
        <v>963873.54874294752</v>
      </c>
      <c r="O22" s="14">
        <f t="shared" si="4"/>
        <v>1117736.7318390559</v>
      </c>
      <c r="P22" s="14">
        <f t="shared" si="4"/>
        <v>1278318.6655207495</v>
      </c>
      <c r="Q22" s="14">
        <f t="shared" si="4"/>
        <v>1443605.7045801885</v>
      </c>
    </row>
    <row r="23" spans="2:17" x14ac:dyDescent="0.25">
      <c r="B23" t="s">
        <v>371</v>
      </c>
      <c r="C23" s="14">
        <f>Model!C66</f>
        <v>84583.83</v>
      </c>
      <c r="D23" s="14">
        <f>Model!D66</f>
        <v>95818.9</v>
      </c>
      <c r="E23" s="14">
        <f>Model!E66</f>
        <v>116182.43000000002</v>
      </c>
      <c r="F23" s="14">
        <f>Model!F66</f>
        <v>151871.83000000002</v>
      </c>
      <c r="G23" s="14">
        <f>Model!G66</f>
        <v>231439.10000000003</v>
      </c>
      <c r="H23" s="14">
        <f>Model!H66</f>
        <v>264079.18389982812</v>
      </c>
      <c r="I23" s="14">
        <f>Model!I66</f>
        <v>309316.54856272443</v>
      </c>
      <c r="J23" s="14">
        <f>Model!J66</f>
        <v>367637.32985619328</v>
      </c>
      <c r="K23" s="14">
        <f>Model!K66</f>
        <v>441033.8044577011</v>
      </c>
      <c r="L23" s="14">
        <f>Model!L66</f>
        <v>531396.05136271578</v>
      </c>
      <c r="M23" s="14">
        <f>Model!M66</f>
        <v>640452.92011551035</v>
      </c>
      <c r="N23" s="14">
        <f>Model!N66</f>
        <v>769723.2743405404</v>
      </c>
      <c r="O23" s="14">
        <f>Model!O66</f>
        <v>920479.79310552869</v>
      </c>
      <c r="P23" s="14">
        <f>Model!P66</f>
        <v>1093726.1848685096</v>
      </c>
      <c r="Q23" s="14">
        <f>Model!Q66</f>
        <v>1290187.4478426862</v>
      </c>
    </row>
    <row r="24" spans="2:17" x14ac:dyDescent="0.25">
      <c r="B24" s="154" t="s">
        <v>370</v>
      </c>
      <c r="C24" s="157">
        <f>C22/C23</f>
        <v>0.77506433558281773</v>
      </c>
      <c r="D24" s="157">
        <f t="shared" ref="D24:Q24" si="5">D22/D23</f>
        <v>0.93491899823521252</v>
      </c>
      <c r="E24" s="157">
        <f t="shared" si="5"/>
        <v>1.1525458711786281</v>
      </c>
      <c r="F24" s="157">
        <f t="shared" si="5"/>
        <v>1.07466032377433</v>
      </c>
      <c r="G24" s="157">
        <f t="shared" si="5"/>
        <v>0.88495539431323389</v>
      </c>
      <c r="H24" s="157">
        <f t="shared" si="5"/>
        <v>1.034420997130201</v>
      </c>
      <c r="I24" s="157">
        <f t="shared" si="5"/>
        <v>1.148407406546585</v>
      </c>
      <c r="J24" s="157">
        <f t="shared" si="5"/>
        <v>1.2274329117647034</v>
      </c>
      <c r="K24" s="157">
        <f t="shared" si="5"/>
        <v>1.2721019320351035</v>
      </c>
      <c r="L24" s="157">
        <f t="shared" si="5"/>
        <v>1.2869715161913091</v>
      </c>
      <c r="M24" s="157">
        <f t="shared" si="5"/>
        <v>1.2782655820189799</v>
      </c>
      <c r="N24" s="157">
        <f t="shared" si="5"/>
        <v>1.2522338623172662</v>
      </c>
      <c r="O24" s="157">
        <f t="shared" si="5"/>
        <v>1.2142979565776439</v>
      </c>
      <c r="P24" s="157">
        <f t="shared" si="5"/>
        <v>1.1687739428808062</v>
      </c>
      <c r="Q24" s="157">
        <f t="shared" si="5"/>
        <v>1.1189116023365691</v>
      </c>
    </row>
    <row r="26" spans="2:17" x14ac:dyDescent="0.25">
      <c r="B26" t="s">
        <v>54</v>
      </c>
      <c r="C26" s="14">
        <f>C23</f>
        <v>84583.83</v>
      </c>
      <c r="D26" s="14">
        <f t="shared" ref="D26:Q26" si="6">D23</f>
        <v>95818.9</v>
      </c>
      <c r="E26" s="14">
        <f t="shared" si="6"/>
        <v>116182.43000000002</v>
      </c>
      <c r="F26" s="14">
        <f t="shared" si="6"/>
        <v>151871.83000000002</v>
      </c>
      <c r="G26" s="14">
        <f t="shared" si="6"/>
        <v>231439.10000000003</v>
      </c>
      <c r="H26" s="14">
        <f t="shared" si="6"/>
        <v>264079.18389982812</v>
      </c>
      <c r="I26" s="14">
        <f t="shared" si="6"/>
        <v>309316.54856272443</v>
      </c>
      <c r="J26" s="14">
        <f t="shared" si="6"/>
        <v>367637.32985619328</v>
      </c>
      <c r="K26" s="14">
        <f t="shared" si="6"/>
        <v>441033.8044577011</v>
      </c>
      <c r="L26" s="14">
        <f t="shared" si="6"/>
        <v>531396.05136271578</v>
      </c>
      <c r="M26" s="14">
        <f t="shared" si="6"/>
        <v>640452.92011551035</v>
      </c>
      <c r="N26" s="14">
        <f t="shared" si="6"/>
        <v>769723.2743405404</v>
      </c>
      <c r="O26" s="14">
        <f t="shared" si="6"/>
        <v>920479.79310552869</v>
      </c>
      <c r="P26" s="14">
        <f t="shared" si="6"/>
        <v>1093726.1848685096</v>
      </c>
      <c r="Q26" s="14">
        <f t="shared" si="6"/>
        <v>1290187.4478426862</v>
      </c>
    </row>
    <row r="27" spans="2:17" x14ac:dyDescent="0.25">
      <c r="B27" t="s">
        <v>186</v>
      </c>
      <c r="C27" s="14">
        <f>C12</f>
        <v>35887.89</v>
      </c>
      <c r="D27" s="14">
        <f t="shared" ref="D27:Q27" si="7">D12</f>
        <v>41966.97</v>
      </c>
      <c r="E27" s="14">
        <f t="shared" si="7"/>
        <v>52154.87</v>
      </c>
      <c r="F27" s="14">
        <f t="shared" si="7"/>
        <v>70846.530000000013</v>
      </c>
      <c r="G27" s="14">
        <f t="shared" si="7"/>
        <v>167396.35999999999</v>
      </c>
      <c r="H27" s="14">
        <f t="shared" si="7"/>
        <v>196886.26679130271</v>
      </c>
      <c r="I27" s="14">
        <f t="shared" si="7"/>
        <v>236490.31875191155</v>
      </c>
      <c r="J27" s="14">
        <f t="shared" si="7"/>
        <v>288218.23763281043</v>
      </c>
      <c r="K27" s="14">
        <f t="shared" si="7"/>
        <v>354077.08339004818</v>
      </c>
      <c r="L27" s="14">
        <f t="shared" si="7"/>
        <v>436004.94023128552</v>
      </c>
      <c r="M27" s="14">
        <f t="shared" si="7"/>
        <v>535808.65779042046</v>
      </c>
      <c r="N27" s="14">
        <f t="shared" si="7"/>
        <v>655109.97484033369</v>
      </c>
      <c r="O27" s="14">
        <f t="shared" si="7"/>
        <v>795303.0022417265</v>
      </c>
      <c r="P27" s="14">
        <f t="shared" si="7"/>
        <v>957524.62618525815</v>
      </c>
      <c r="Q27" s="14">
        <f t="shared" si="7"/>
        <v>1142638.0918860093</v>
      </c>
    </row>
    <row r="28" spans="2:17" x14ac:dyDescent="0.25">
      <c r="B28" s="154" t="s">
        <v>372</v>
      </c>
      <c r="C28" s="157">
        <f>C26/C27</f>
        <v>2.356890583425217</v>
      </c>
      <c r="D28" s="157">
        <f t="shared" ref="D28:Q28" si="8">D26/D27</f>
        <v>2.283197953056892</v>
      </c>
      <c r="E28" s="157">
        <f t="shared" si="8"/>
        <v>2.2276429794571442</v>
      </c>
      <c r="F28" s="157">
        <f t="shared" si="8"/>
        <v>2.1436735151319337</v>
      </c>
      <c r="G28" s="157">
        <f t="shared" si="8"/>
        <v>1.3825814372546694</v>
      </c>
      <c r="H28" s="157">
        <f t="shared" si="8"/>
        <v>1.3412778260443587</v>
      </c>
      <c r="I28" s="157">
        <f t="shared" si="8"/>
        <v>1.3079459243623868</v>
      </c>
      <c r="J28" s="157">
        <f t="shared" si="8"/>
        <v>1.2755519320209106</v>
      </c>
      <c r="K28" s="157">
        <f t="shared" si="8"/>
        <v>1.2455869785050793</v>
      </c>
      <c r="L28" s="157">
        <f t="shared" si="8"/>
        <v>1.2187844731319526</v>
      </c>
      <c r="M28" s="157">
        <f t="shared" si="8"/>
        <v>1.1953015517827281</v>
      </c>
      <c r="N28" s="157">
        <f t="shared" si="8"/>
        <v>1.174952761981896</v>
      </c>
      <c r="O28" s="157">
        <f t="shared" si="8"/>
        <v>1.1573950940848525</v>
      </c>
      <c r="P28" s="157">
        <f t="shared" si="8"/>
        <v>1.1422434002829498</v>
      </c>
      <c r="Q28" s="157">
        <f t="shared" si="8"/>
        <v>1.129130436841236</v>
      </c>
    </row>
    <row r="30" spans="2:17" ht="15.75" thickBot="1" x14ac:dyDescent="0.3">
      <c r="B30" s="23" t="s">
        <v>373</v>
      </c>
      <c r="C30" s="158">
        <f>C20*C24*C28</f>
        <v>9.9551965858120955E-2</v>
      </c>
      <c r="D30" s="158">
        <f t="shared" ref="D30:Q30" si="9">D20*D24*D28</f>
        <v>0.17777123294819724</v>
      </c>
      <c r="E30" s="158">
        <f t="shared" si="9"/>
        <v>0.29721366384385556</v>
      </c>
      <c r="F30" s="158">
        <f t="shared" si="9"/>
        <v>0.29667126957382367</v>
      </c>
      <c r="G30" s="158">
        <f t="shared" si="9"/>
        <v>0.15736811720398217</v>
      </c>
      <c r="H30" s="158">
        <f t="shared" si="9"/>
        <v>0.17349257210217361</v>
      </c>
      <c r="I30" s="158">
        <f t="shared" si="9"/>
        <v>0.19397652062123658</v>
      </c>
      <c r="J30" s="158">
        <f t="shared" si="9"/>
        <v>0.20788658163866239</v>
      </c>
      <c r="K30" s="158">
        <f t="shared" si="9"/>
        <v>0.21544638224681453</v>
      </c>
      <c r="L30" s="158">
        <f t="shared" si="9"/>
        <v>0.21765221648139399</v>
      </c>
      <c r="M30" s="158">
        <f t="shared" si="9"/>
        <v>0.21575451946664817</v>
      </c>
      <c r="N30" s="158">
        <f t="shared" si="9"/>
        <v>0.21093756877910763</v>
      </c>
      <c r="O30" s="158">
        <f t="shared" si="9"/>
        <v>0.20418164688015492</v>
      </c>
      <c r="P30" s="158">
        <f t="shared" si="9"/>
        <v>0.19623736446470219</v>
      </c>
      <c r="Q30" s="158">
        <f t="shared" si="9"/>
        <v>0.18765157932510484</v>
      </c>
    </row>
    <row r="33" spans="2:17" x14ac:dyDescent="0.25">
      <c r="B33" s="230" t="s">
        <v>374</v>
      </c>
      <c r="C33" s="230"/>
      <c r="D33" s="230"/>
      <c r="E33" s="230"/>
      <c r="F33" s="230"/>
      <c r="G33" s="230"/>
      <c r="H33" s="230"/>
      <c r="I33" s="230"/>
      <c r="J33" s="230"/>
      <c r="K33" s="230"/>
      <c r="L33" s="230"/>
      <c r="M33" s="230"/>
      <c r="N33" s="230"/>
      <c r="O33" s="230"/>
      <c r="P33" s="230"/>
      <c r="Q33" s="230"/>
    </row>
    <row r="35" spans="2:17" x14ac:dyDescent="0.25">
      <c r="B35" t="s">
        <v>364</v>
      </c>
      <c r="C35" s="14">
        <f>Model!C43</f>
        <v>3572.71</v>
      </c>
      <c r="D35" s="14">
        <f>Model!D43</f>
        <v>7460.5200000000059</v>
      </c>
      <c r="E35" s="14">
        <f>Model!E43</f>
        <v>15501.139999999989</v>
      </c>
      <c r="F35" s="14">
        <f>Model!F43</f>
        <v>21018.129999999986</v>
      </c>
      <c r="G35" s="14">
        <f>Model!G43</f>
        <v>26342.849999999991</v>
      </c>
      <c r="H35" s="14">
        <f>Model!H43</f>
        <v>34158.304837217875</v>
      </c>
      <c r="I35" s="14">
        <f>Model!I43</f>
        <v>45873.569192102979</v>
      </c>
      <c r="J35" s="14">
        <f>Model!J43</f>
        <v>59916.704187404634</v>
      </c>
      <c r="K35" s="14">
        <f>Model!K43</f>
        <v>76284.62665288955</v>
      </c>
      <c r="L35" s="14">
        <f>Model!L43</f>
        <v>94897.441638176999</v>
      </c>
      <c r="M35" s="14">
        <f>Model!M43</f>
        <v>115603.13948764191</v>
      </c>
      <c r="N35" s="14">
        <f>Model!N43</f>
        <v>138187.30537576231</v>
      </c>
      <c r="O35" s="14">
        <f>Model!O43</f>
        <v>162386.27676644723</v>
      </c>
      <c r="P35" s="14">
        <f>Model!P43</f>
        <v>187902.10905264423</v>
      </c>
      <c r="Q35" s="14">
        <f>Model!Q43</f>
        <v>214417.84253943391</v>
      </c>
    </row>
    <row r="36" spans="2:17" x14ac:dyDescent="0.25">
      <c r="B36" t="s">
        <v>369</v>
      </c>
      <c r="C36" s="14">
        <f>Model!C66</f>
        <v>84583.83</v>
      </c>
      <c r="D36" s="14">
        <f>Model!D66</f>
        <v>95818.9</v>
      </c>
      <c r="E36" s="14">
        <f>Model!E66</f>
        <v>116182.43000000002</v>
      </c>
      <c r="F36" s="14">
        <f>Model!F66</f>
        <v>151871.83000000002</v>
      </c>
      <c r="G36" s="14">
        <f>Model!G66</f>
        <v>231439.10000000003</v>
      </c>
      <c r="H36" s="14">
        <f>Model!H66</f>
        <v>264079.18389982812</v>
      </c>
      <c r="I36" s="14">
        <f>Model!I66</f>
        <v>309316.54856272443</v>
      </c>
      <c r="J36" s="14">
        <f>Model!J66</f>
        <v>367637.32985619328</v>
      </c>
      <c r="K36" s="14">
        <f>Model!K66</f>
        <v>441033.8044577011</v>
      </c>
      <c r="L36" s="14">
        <f>Model!L66</f>
        <v>531396.05136271578</v>
      </c>
      <c r="M36" s="14">
        <f>Model!M66</f>
        <v>640452.92011551035</v>
      </c>
      <c r="N36" s="14">
        <f>Model!N66</f>
        <v>769723.2743405404</v>
      </c>
      <c r="O36" s="14">
        <f>Model!O66</f>
        <v>920479.79310552869</v>
      </c>
      <c r="P36" s="14">
        <f>Model!P66</f>
        <v>1093726.1848685096</v>
      </c>
      <c r="Q36" s="14">
        <f>Model!Q66</f>
        <v>1290187.4478426862</v>
      </c>
    </row>
    <row r="37" spans="2:17" x14ac:dyDescent="0.25">
      <c r="B37" s="154" t="s">
        <v>375</v>
      </c>
      <c r="C37" s="155">
        <f>C35/C36</f>
        <v>4.2238687938344718E-2</v>
      </c>
      <c r="D37" s="155">
        <f t="shared" ref="D37:Q37" si="10">D35/D36</f>
        <v>7.7860630835879005E-2</v>
      </c>
      <c r="E37" s="155">
        <f t="shared" si="10"/>
        <v>0.13342069020246852</v>
      </c>
      <c r="F37" s="155">
        <f t="shared" si="10"/>
        <v>0.13839386803991224</v>
      </c>
      <c r="G37" s="155">
        <f t="shared" si="10"/>
        <v>0.11382195143344399</v>
      </c>
      <c r="H37" s="155">
        <f t="shared" si="10"/>
        <v>0.12934872159471297</v>
      </c>
      <c r="I37" s="155">
        <f t="shared" si="10"/>
        <v>0.14830622352816197</v>
      </c>
      <c r="J37" s="155">
        <f t="shared" si="10"/>
        <v>0.16297774823585495</v>
      </c>
      <c r="K37" s="155">
        <f t="shared" si="10"/>
        <v>0.17296775413097817</v>
      </c>
      <c r="L37" s="155">
        <f t="shared" si="10"/>
        <v>0.1785813827461106</v>
      </c>
      <c r="M37" s="155">
        <f t="shared" si="10"/>
        <v>0.18050216629005617</v>
      </c>
      <c r="N37" s="155">
        <f t="shared" si="10"/>
        <v>0.17952855264010842</v>
      </c>
      <c r="O37" s="155">
        <f t="shared" si="10"/>
        <v>0.17641481973068193</v>
      </c>
      <c r="P37" s="155">
        <f t="shared" si="10"/>
        <v>0.17179995473477144</v>
      </c>
      <c r="Q37" s="155">
        <f t="shared" si="10"/>
        <v>0.16619123283051665</v>
      </c>
    </row>
    <row r="39" spans="2:17" x14ac:dyDescent="0.25">
      <c r="B39" s="230" t="s">
        <v>376</v>
      </c>
      <c r="C39" s="230"/>
      <c r="D39" s="230"/>
      <c r="E39" s="230"/>
      <c r="F39" s="230"/>
      <c r="G39" s="230"/>
      <c r="H39" s="230"/>
      <c r="I39" s="230"/>
      <c r="J39" s="230"/>
      <c r="K39" s="230"/>
      <c r="L39" s="230"/>
      <c r="M39" s="230"/>
      <c r="N39" s="230"/>
      <c r="O39" s="230"/>
      <c r="P39" s="230"/>
      <c r="Q39" s="230"/>
    </row>
    <row r="41" spans="2:17" x14ac:dyDescent="0.25">
      <c r="B41" t="s">
        <v>364</v>
      </c>
      <c r="C41" s="14">
        <f>Model!C43</f>
        <v>3572.71</v>
      </c>
      <c r="D41" s="14">
        <f>Model!D43</f>
        <v>7460.5200000000059</v>
      </c>
      <c r="E41" s="14">
        <f>Model!E43</f>
        <v>15501.139999999989</v>
      </c>
      <c r="F41" s="14">
        <f>Model!F43</f>
        <v>21018.129999999986</v>
      </c>
      <c r="G41" s="14">
        <f>Model!G43</f>
        <v>26342.849999999991</v>
      </c>
      <c r="H41" s="14">
        <f>Model!H43</f>
        <v>34158.304837217875</v>
      </c>
      <c r="I41" s="14">
        <f>Model!I43</f>
        <v>45873.569192102979</v>
      </c>
      <c r="J41" s="14">
        <f>Model!J43</f>
        <v>59916.704187404634</v>
      </c>
      <c r="K41" s="14">
        <f>Model!K43</f>
        <v>76284.62665288955</v>
      </c>
      <c r="L41" s="14">
        <f>Model!L43</f>
        <v>94897.441638176999</v>
      </c>
      <c r="M41" s="14">
        <f>Model!M43</f>
        <v>115603.13948764191</v>
      </c>
      <c r="N41" s="14">
        <f>Model!N43</f>
        <v>138187.30537576231</v>
      </c>
      <c r="O41" s="14">
        <f>Model!O43</f>
        <v>162386.27676644723</v>
      </c>
      <c r="P41" s="14">
        <f>Model!P43</f>
        <v>187902.10905264423</v>
      </c>
      <c r="Q41" s="14">
        <f>Model!Q43</f>
        <v>214417.84253943391</v>
      </c>
    </row>
    <row r="42" spans="2:17" x14ac:dyDescent="0.25">
      <c r="B42" t="s">
        <v>367</v>
      </c>
      <c r="C42" s="14">
        <f>Model!C29</f>
        <v>65557.91</v>
      </c>
      <c r="D42" s="14">
        <f>Model!D29</f>
        <v>89582.91</v>
      </c>
      <c r="E42" s="14">
        <f>Model!E29</f>
        <v>133905.57999999999</v>
      </c>
      <c r="F42" s="14">
        <f>Model!F29</f>
        <v>163210.63</v>
      </c>
      <c r="G42" s="14">
        <f>Model!G29</f>
        <v>204813.28</v>
      </c>
      <c r="H42" s="14">
        <f>Model!H29</f>
        <v>273169.05273098993</v>
      </c>
      <c r="I42" s="14">
        <f>Model!I29</f>
        <v>355221.41533685918</v>
      </c>
      <c r="J42" s="14">
        <f>Model!J29</f>
        <v>451250.158258788</v>
      </c>
      <c r="K42" s="14">
        <f>Model!K29</f>
        <v>561039.95474343363</v>
      </c>
      <c r="L42" s="14">
        <f>Model!L29</f>
        <v>683891.58192034916</v>
      </c>
      <c r="M42" s="14">
        <f>Model!M29</f>
        <v>818668.92468720803</v>
      </c>
      <c r="N42" s="14">
        <f>Model!N29</f>
        <v>963873.54874294752</v>
      </c>
      <c r="O42" s="14">
        <f>Model!O29</f>
        <v>1117736.7318390559</v>
      </c>
      <c r="P42" s="14">
        <f>Model!P29</f>
        <v>1278318.6655207495</v>
      </c>
      <c r="Q42" s="14">
        <f>Model!Q29</f>
        <v>1443605.7045801885</v>
      </c>
    </row>
    <row r="43" spans="2:17" x14ac:dyDescent="0.25">
      <c r="B43" s="154" t="s">
        <v>368</v>
      </c>
      <c r="C43" s="155">
        <f>C41/C42</f>
        <v>5.4497008827767694E-2</v>
      </c>
      <c r="D43" s="155">
        <f t="shared" ref="D43:Q43" si="11">D41/D42</f>
        <v>8.3280616805147381E-2</v>
      </c>
      <c r="E43" s="155">
        <f t="shared" si="11"/>
        <v>0.1157617180702999</v>
      </c>
      <c r="F43" s="155">
        <f t="shared" si="11"/>
        <v>0.1287791732683097</v>
      </c>
      <c r="G43" s="155">
        <f t="shared" si="11"/>
        <v>0.12861885713660751</v>
      </c>
      <c r="H43" s="155">
        <f t="shared" si="11"/>
        <v>0.12504456304886089</v>
      </c>
      <c r="I43" s="155">
        <f t="shared" si="11"/>
        <v>0.12914077589776146</v>
      </c>
      <c r="J43" s="155">
        <f t="shared" si="11"/>
        <v>0.13277935329397256</v>
      </c>
      <c r="K43" s="155">
        <f t="shared" si="11"/>
        <v>0.13597004278915376</v>
      </c>
      <c r="L43" s="155">
        <f t="shared" si="11"/>
        <v>0.13876094420069851</v>
      </c>
      <c r="M43" s="155">
        <f t="shared" si="11"/>
        <v>0.14120865712816794</v>
      </c>
      <c r="N43" s="155">
        <f t="shared" si="11"/>
        <v>0.14336663305677566</v>
      </c>
      <c r="O43" s="155">
        <f t="shared" si="11"/>
        <v>0.14528132800938443</v>
      </c>
      <c r="P43" s="155">
        <f t="shared" si="11"/>
        <v>0.14699160242340545</v>
      </c>
      <c r="Q43" s="155">
        <f t="shared" si="11"/>
        <v>0.14852936772079897</v>
      </c>
    </row>
    <row r="45" spans="2:17" x14ac:dyDescent="0.25">
      <c r="B45" t="s">
        <v>367</v>
      </c>
      <c r="C45" s="14">
        <f>C42</f>
        <v>65557.91</v>
      </c>
      <c r="D45" s="14">
        <f t="shared" ref="D45:Q45" si="12">D42</f>
        <v>89582.91</v>
      </c>
      <c r="E45" s="14">
        <f t="shared" si="12"/>
        <v>133905.57999999999</v>
      </c>
      <c r="F45" s="14">
        <f t="shared" si="12"/>
        <v>163210.63</v>
      </c>
      <c r="G45" s="14">
        <f t="shared" si="12"/>
        <v>204813.28</v>
      </c>
      <c r="H45" s="14">
        <f t="shared" si="12"/>
        <v>273169.05273098993</v>
      </c>
      <c r="I45" s="14">
        <f t="shared" si="12"/>
        <v>355221.41533685918</v>
      </c>
      <c r="J45" s="14">
        <f t="shared" si="12"/>
        <v>451250.158258788</v>
      </c>
      <c r="K45" s="14">
        <f t="shared" si="12"/>
        <v>561039.95474343363</v>
      </c>
      <c r="L45" s="14">
        <f t="shared" si="12"/>
        <v>683891.58192034916</v>
      </c>
      <c r="M45" s="14">
        <f t="shared" si="12"/>
        <v>818668.92468720803</v>
      </c>
      <c r="N45" s="14">
        <f t="shared" si="12"/>
        <v>963873.54874294752</v>
      </c>
      <c r="O45" s="14">
        <f t="shared" si="12"/>
        <v>1117736.7318390559</v>
      </c>
      <c r="P45" s="14">
        <f t="shared" si="12"/>
        <v>1278318.6655207495</v>
      </c>
      <c r="Q45" s="14">
        <f t="shared" si="12"/>
        <v>1443605.7045801885</v>
      </c>
    </row>
    <row r="46" spans="2:17" x14ac:dyDescent="0.25">
      <c r="B46" t="s">
        <v>369</v>
      </c>
      <c r="C46" s="14">
        <f>C36</f>
        <v>84583.83</v>
      </c>
      <c r="D46" s="14">
        <f t="shared" ref="D46:Q46" si="13">D36</f>
        <v>95818.9</v>
      </c>
      <c r="E46" s="14">
        <f t="shared" si="13"/>
        <v>116182.43000000002</v>
      </c>
      <c r="F46" s="14">
        <f t="shared" si="13"/>
        <v>151871.83000000002</v>
      </c>
      <c r="G46" s="14">
        <f t="shared" si="13"/>
        <v>231439.10000000003</v>
      </c>
      <c r="H46" s="14">
        <f t="shared" si="13"/>
        <v>264079.18389982812</v>
      </c>
      <c r="I46" s="14">
        <f t="shared" si="13"/>
        <v>309316.54856272443</v>
      </c>
      <c r="J46" s="14">
        <f t="shared" si="13"/>
        <v>367637.32985619328</v>
      </c>
      <c r="K46" s="14">
        <f t="shared" si="13"/>
        <v>441033.8044577011</v>
      </c>
      <c r="L46" s="14">
        <f t="shared" si="13"/>
        <v>531396.05136271578</v>
      </c>
      <c r="M46" s="14">
        <f t="shared" si="13"/>
        <v>640452.92011551035</v>
      </c>
      <c r="N46" s="14">
        <f t="shared" si="13"/>
        <v>769723.2743405404</v>
      </c>
      <c r="O46" s="14">
        <f t="shared" si="13"/>
        <v>920479.79310552869</v>
      </c>
      <c r="P46" s="14">
        <f t="shared" si="13"/>
        <v>1093726.1848685096</v>
      </c>
      <c r="Q46" s="14">
        <f t="shared" si="13"/>
        <v>1290187.4478426862</v>
      </c>
    </row>
    <row r="47" spans="2:17" x14ac:dyDescent="0.25">
      <c r="B47" s="153" t="s">
        <v>370</v>
      </c>
      <c r="C47" s="157">
        <f>C45/C46</f>
        <v>0.77506433558281773</v>
      </c>
      <c r="D47" s="157">
        <f t="shared" ref="D47:Q47" si="14">D45/D46</f>
        <v>0.93491899823521252</v>
      </c>
      <c r="E47" s="157">
        <f t="shared" si="14"/>
        <v>1.1525458711786281</v>
      </c>
      <c r="F47" s="157">
        <f t="shared" si="14"/>
        <v>1.07466032377433</v>
      </c>
      <c r="G47" s="157">
        <f t="shared" si="14"/>
        <v>0.88495539431323389</v>
      </c>
      <c r="H47" s="157">
        <f t="shared" si="14"/>
        <v>1.034420997130201</v>
      </c>
      <c r="I47" s="157">
        <f t="shared" si="14"/>
        <v>1.148407406546585</v>
      </c>
      <c r="J47" s="157">
        <f t="shared" si="14"/>
        <v>1.2274329117647034</v>
      </c>
      <c r="K47" s="157">
        <f t="shared" si="14"/>
        <v>1.2721019320351035</v>
      </c>
      <c r="L47" s="157">
        <f t="shared" si="14"/>
        <v>1.2869715161913091</v>
      </c>
      <c r="M47" s="157">
        <f t="shared" si="14"/>
        <v>1.2782655820189799</v>
      </c>
      <c r="N47" s="157">
        <f t="shared" si="14"/>
        <v>1.2522338623172662</v>
      </c>
      <c r="O47" s="157">
        <f t="shared" si="14"/>
        <v>1.2142979565776439</v>
      </c>
      <c r="P47" s="157">
        <f t="shared" si="14"/>
        <v>1.1687739428808062</v>
      </c>
      <c r="Q47" s="157">
        <f t="shared" si="14"/>
        <v>1.1189116023365691</v>
      </c>
    </row>
    <row r="49" spans="2:17" ht="15.75" thickBot="1" x14ac:dyDescent="0.3">
      <c r="B49" s="23" t="s">
        <v>377</v>
      </c>
      <c r="C49" s="158">
        <f>C47*C43</f>
        <v>4.2238687938344718E-2</v>
      </c>
      <c r="D49" s="158">
        <f t="shared" ref="D49:Q49" si="15">D47*D43</f>
        <v>7.7860630835878991E-2</v>
      </c>
      <c r="E49" s="158">
        <f t="shared" si="15"/>
        <v>0.13342069020246852</v>
      </c>
      <c r="F49" s="158">
        <f t="shared" si="15"/>
        <v>0.13839386803991224</v>
      </c>
      <c r="G49" s="158">
        <f t="shared" si="15"/>
        <v>0.11382195143344399</v>
      </c>
      <c r="H49" s="158">
        <f t="shared" si="15"/>
        <v>0.12934872159471297</v>
      </c>
      <c r="I49" s="158">
        <f t="shared" si="15"/>
        <v>0.14830622352816197</v>
      </c>
      <c r="J49" s="158">
        <f t="shared" si="15"/>
        <v>0.16297774823585501</v>
      </c>
      <c r="K49" s="158">
        <f t="shared" si="15"/>
        <v>0.17296775413097817</v>
      </c>
      <c r="L49" s="158">
        <f t="shared" si="15"/>
        <v>0.1785813827461106</v>
      </c>
      <c r="M49" s="158">
        <f t="shared" si="15"/>
        <v>0.18050216629005617</v>
      </c>
      <c r="N49" s="158">
        <f t="shared" si="15"/>
        <v>0.17952855264010845</v>
      </c>
      <c r="O49" s="158">
        <f t="shared" si="15"/>
        <v>0.17641481973068193</v>
      </c>
      <c r="P49" s="158">
        <f t="shared" si="15"/>
        <v>0.17179995473477144</v>
      </c>
      <c r="Q49" s="158">
        <f t="shared" si="15"/>
        <v>0.16619123283051665</v>
      </c>
    </row>
  </sheetData>
  <mergeCells count="5">
    <mergeCell ref="B33:Q33"/>
    <mergeCell ref="B39:Q39"/>
    <mergeCell ref="B15:Q15"/>
    <mergeCell ref="B9:Q9"/>
    <mergeCell ref="B7:Q7"/>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1:O8"/>
  <sheetViews>
    <sheetView showGridLines="0" topLeftCell="A20" workbookViewId="0">
      <selection activeCell="Q42" sqref="Q42"/>
    </sheetView>
  </sheetViews>
  <sheetFormatPr defaultRowHeight="15" x14ac:dyDescent="0.25"/>
  <sheetData>
    <row r="1" spans="2:15" ht="6.75" customHeight="1" x14ac:dyDescent="0.25">
      <c r="B1" s="162"/>
      <c r="C1" s="162"/>
      <c r="D1" s="162"/>
      <c r="E1" s="162"/>
      <c r="F1" s="162"/>
      <c r="G1" s="162"/>
      <c r="H1" s="162"/>
      <c r="I1" s="162"/>
      <c r="J1" s="162"/>
      <c r="K1" s="162"/>
      <c r="L1" s="162"/>
      <c r="M1" s="162"/>
      <c r="N1" s="162"/>
      <c r="O1" s="162"/>
    </row>
    <row r="2" spans="2:15" ht="26.25" x14ac:dyDescent="0.25">
      <c r="B2" s="161" t="s">
        <v>378</v>
      </c>
    </row>
    <row r="3" spans="2:15" x14ac:dyDescent="0.25">
      <c r="B3" s="160" t="s">
        <v>382</v>
      </c>
    </row>
    <row r="4" spans="2:15" x14ac:dyDescent="0.25">
      <c r="B4" s="159" t="s">
        <v>380</v>
      </c>
    </row>
    <row r="5" spans="2:15" x14ac:dyDescent="0.25">
      <c r="B5" s="159" t="s">
        <v>381</v>
      </c>
    </row>
    <row r="6" spans="2:15" ht="8.25" customHeight="1" x14ac:dyDescent="0.25">
      <c r="B6" s="159"/>
    </row>
    <row r="7" spans="2:15" ht="13.5" customHeight="1" x14ac:dyDescent="0.25">
      <c r="B7" s="232" t="s">
        <v>384</v>
      </c>
      <c r="C7" s="232"/>
      <c r="D7" s="232"/>
      <c r="E7" s="232"/>
      <c r="F7" s="232"/>
      <c r="G7" s="232"/>
      <c r="H7" s="232"/>
      <c r="I7" s="232"/>
      <c r="J7" s="232"/>
      <c r="K7" s="232"/>
      <c r="L7" s="232"/>
      <c r="M7" s="232"/>
      <c r="N7" s="232"/>
      <c r="O7" s="232"/>
    </row>
    <row r="8" spans="2:15" x14ac:dyDescent="0.25">
      <c r="B8" s="159"/>
    </row>
  </sheetData>
  <mergeCells count="1">
    <mergeCell ref="B7:O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Assumptions</vt:lpstr>
      <vt:lpstr>Historical Data</vt:lpstr>
      <vt:lpstr>Model</vt:lpstr>
      <vt:lpstr>Scenario</vt:lpstr>
      <vt:lpstr>Market Data</vt:lpstr>
      <vt:lpstr>Regression  Beta</vt:lpstr>
      <vt:lpstr>DCF Model</vt:lpstr>
      <vt:lpstr>Ratio Analysis</vt:lpstr>
      <vt:lpstr>Dupont Analysis</vt:lpstr>
      <vt:lpstr>Charts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Dhiraj Kumar</dc:creator>
  <cp:lastModifiedBy>Dhiraj Kumar</cp:lastModifiedBy>
  <dcterms:created xsi:type="dcterms:W3CDTF">2025-05-29T07:10:08Z</dcterms:created>
  <dcterms:modified xsi:type="dcterms:W3CDTF">2025-07-09T13:15:40Z</dcterms:modified>
</cp:coreProperties>
</file>