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hiraj Kumar\OneDrive\Desktop\"/>
    </mc:Choice>
  </mc:AlternateContent>
  <bookViews>
    <workbookView xWindow="0" yWindow="0" windowWidth="20490" windowHeight="7650" firstSheet="14" activeTab="16"/>
  </bookViews>
  <sheets>
    <sheet name="Assumptions" sheetId="5" r:id="rId1"/>
    <sheet name="Historical P&amp;L" sheetId="1" r:id="rId2"/>
    <sheet name="Historical B_sheet" sheetId="2" r:id="rId3"/>
    <sheet name="Historical Cash Flow" sheetId="3" r:id="rId4"/>
    <sheet name="B_Sheet" sheetId="11" r:id="rId5"/>
    <sheet name="Common Size Statement" sheetId="22" r:id="rId6"/>
    <sheet name="Balance Sheet" sheetId="12" r:id="rId7"/>
    <sheet name="Cost Build Up" sheetId="6" r:id="rId8"/>
    <sheet name="Revenue Build Up" sheetId="4" r:id="rId9"/>
    <sheet name="P&amp;L Statement" sheetId="9" r:id="rId10"/>
    <sheet name="CashFlow" sheetId="13" r:id="rId11"/>
    <sheet name="Schedules" sheetId="7" r:id="rId12"/>
    <sheet name="Working capital" sheetId="8" r:id="rId13"/>
    <sheet name="Market Return" sheetId="14" r:id="rId14"/>
    <sheet name="Equity Return" sheetId="15" r:id="rId15"/>
    <sheet name="Comps Data" sheetId="16" r:id="rId16"/>
    <sheet name="Comps Valuation" sheetId="17" r:id="rId17"/>
    <sheet name="WACC" sheetId="18" r:id="rId18"/>
    <sheet name="DCF" sheetId="19" r:id="rId19"/>
    <sheet name="Football Field Analysis" sheetId="20" r:id="rId20"/>
    <sheet name="Ratios Analysis" sheetId="21" r:id="rId21"/>
    <sheet name="Dupont Analysis" sheetId="23" r:id="rId22"/>
    <sheet name="Altman's Z Score" sheetId="25" r:id="rId2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3" i="25" l="1"/>
  <c r="L33" i="25" s="1"/>
  <c r="M33" i="25" s="1"/>
  <c r="N33" i="25" s="1"/>
  <c r="O33" i="25" s="1"/>
  <c r="P33" i="25" s="1"/>
  <c r="Q33" i="25" s="1"/>
  <c r="R33" i="25" s="1"/>
  <c r="J33" i="25"/>
  <c r="I33" i="25"/>
  <c r="H37" i="25"/>
  <c r="G37" i="25"/>
  <c r="F37" i="25"/>
  <c r="E37" i="25"/>
  <c r="H17" i="25"/>
  <c r="G17" i="25"/>
  <c r="F17" i="25"/>
  <c r="F18" i="25" s="1"/>
  <c r="E17" i="25"/>
  <c r="H16" i="25"/>
  <c r="G16" i="25"/>
  <c r="F16" i="25"/>
  <c r="E16" i="25"/>
  <c r="H23" i="25"/>
  <c r="G23" i="25"/>
  <c r="F23" i="25"/>
  <c r="E23" i="25"/>
  <c r="H22" i="25"/>
  <c r="H24" i="25" s="1"/>
  <c r="G22" i="25"/>
  <c r="F22" i="25"/>
  <c r="E22" i="25"/>
  <c r="H29" i="25"/>
  <c r="G29" i="25"/>
  <c r="F29" i="25"/>
  <c r="E29" i="25"/>
  <c r="H28" i="25"/>
  <c r="G28" i="25"/>
  <c r="F28" i="25"/>
  <c r="E28" i="25"/>
  <c r="H41" i="25"/>
  <c r="G41" i="25"/>
  <c r="F41" i="25"/>
  <c r="E41" i="25"/>
  <c r="H40" i="25"/>
  <c r="G40" i="25"/>
  <c r="F40" i="25"/>
  <c r="E40" i="25"/>
  <c r="R35" i="25"/>
  <c r="Q35" i="25"/>
  <c r="P35" i="25"/>
  <c r="O35" i="25"/>
  <c r="N35" i="25"/>
  <c r="M35" i="25"/>
  <c r="L35" i="25"/>
  <c r="K35" i="25"/>
  <c r="J35" i="25"/>
  <c r="I35" i="25"/>
  <c r="H35" i="25"/>
  <c r="G35" i="25"/>
  <c r="F35" i="25"/>
  <c r="E35" i="25"/>
  <c r="I34" i="25"/>
  <c r="H34" i="25"/>
  <c r="G34" i="25"/>
  <c r="F34" i="25"/>
  <c r="E34" i="25"/>
  <c r="H36" i="25"/>
  <c r="F24" i="25"/>
  <c r="D34" i="25"/>
  <c r="F36" i="25" l="1"/>
  <c r="E18" i="25"/>
  <c r="G36" i="25"/>
  <c r="E24" i="25"/>
  <c r="G24" i="25"/>
  <c r="G18" i="25"/>
  <c r="E36" i="25"/>
  <c r="H18" i="25"/>
  <c r="J34" i="25"/>
  <c r="K34" i="25"/>
  <c r="L34" i="25" l="1"/>
  <c r="M34" i="25" l="1"/>
  <c r="N34" i="25" l="1"/>
  <c r="D16" i="25"/>
  <c r="D40" i="25"/>
  <c r="D35" i="25"/>
  <c r="D28" i="25"/>
  <c r="D22" i="25"/>
  <c r="D17" i="25"/>
  <c r="D23" i="25" s="1"/>
  <c r="D29" i="25" s="1"/>
  <c r="D41" i="25" s="1"/>
  <c r="E11" i="25"/>
  <c r="F11" i="25" s="1"/>
  <c r="G11" i="25" s="1"/>
  <c r="H11" i="25" s="1"/>
  <c r="I11" i="25" s="1"/>
  <c r="J11" i="25" s="1"/>
  <c r="K11" i="25" s="1"/>
  <c r="L11" i="25" s="1"/>
  <c r="M11" i="25" s="1"/>
  <c r="N11" i="25" s="1"/>
  <c r="O11" i="25" s="1"/>
  <c r="P11" i="25" s="1"/>
  <c r="Q11" i="25" s="1"/>
  <c r="R11" i="25" s="1"/>
  <c r="H28" i="23"/>
  <c r="H32" i="23" s="1"/>
  <c r="G28" i="23"/>
  <c r="G43" i="23" s="1"/>
  <c r="G54" i="23" s="1"/>
  <c r="F28" i="23"/>
  <c r="F43" i="23" s="1"/>
  <c r="F54" i="23" s="1"/>
  <c r="E28" i="23"/>
  <c r="D28" i="23"/>
  <c r="D43" i="23" s="1"/>
  <c r="D54" i="23" s="1"/>
  <c r="H23" i="23"/>
  <c r="H27" i="23" s="1"/>
  <c r="G23" i="23"/>
  <c r="G27" i="23" s="1"/>
  <c r="F23" i="23"/>
  <c r="F27" i="23" s="1"/>
  <c r="F49" i="23" s="1"/>
  <c r="F53" i="23" s="1"/>
  <c r="E23" i="23"/>
  <c r="E27" i="23" s="1"/>
  <c r="D23" i="23"/>
  <c r="D27" i="23" s="1"/>
  <c r="H17" i="23"/>
  <c r="H33" i="23" s="1"/>
  <c r="G17" i="23"/>
  <c r="G33" i="23" s="1"/>
  <c r="F17" i="23"/>
  <c r="F33" i="23" s="1"/>
  <c r="E17" i="23"/>
  <c r="E33" i="23" s="1"/>
  <c r="H16" i="23"/>
  <c r="H22" i="23" s="1"/>
  <c r="G16" i="23"/>
  <c r="G22" i="23" s="1"/>
  <c r="G42" i="23" s="1"/>
  <c r="F16" i="23"/>
  <c r="F22" i="23" s="1"/>
  <c r="E16" i="23"/>
  <c r="E22" i="23" s="1"/>
  <c r="D17" i="23"/>
  <c r="D33" i="23" s="1"/>
  <c r="D16" i="23"/>
  <c r="D22" i="23" s="1"/>
  <c r="E11" i="23"/>
  <c r="F11" i="23" s="1"/>
  <c r="G11" i="23" s="1"/>
  <c r="H11" i="23" s="1"/>
  <c r="I11" i="23" s="1"/>
  <c r="J11" i="23" s="1"/>
  <c r="K11" i="23" s="1"/>
  <c r="L11" i="23" s="1"/>
  <c r="M11" i="23" s="1"/>
  <c r="N11" i="23" s="1"/>
  <c r="O11" i="23" s="1"/>
  <c r="P11" i="23" s="1"/>
  <c r="Q11" i="23" s="1"/>
  <c r="R11" i="23" s="1"/>
  <c r="F55" i="23" l="1"/>
  <c r="O34" i="25"/>
  <c r="D36" i="25"/>
  <c r="H34" i="23"/>
  <c r="H18" i="23"/>
  <c r="H43" i="23"/>
  <c r="H54" i="23" s="1"/>
  <c r="D18" i="23"/>
  <c r="G24" i="23"/>
  <c r="F32" i="23"/>
  <c r="F34" i="23" s="1"/>
  <c r="E42" i="23"/>
  <c r="E24" i="23"/>
  <c r="D49" i="23"/>
  <c r="D53" i="23" s="1"/>
  <c r="D55" i="23" s="1"/>
  <c r="D29" i="23"/>
  <c r="D42" i="23"/>
  <c r="D24" i="23"/>
  <c r="F24" i="23"/>
  <c r="F42" i="23"/>
  <c r="E32" i="23"/>
  <c r="E34" i="23" s="1"/>
  <c r="E43" i="23"/>
  <c r="E54" i="23" s="1"/>
  <c r="G44" i="23"/>
  <c r="G48" i="23"/>
  <c r="H49" i="23"/>
  <c r="H53" i="23" s="1"/>
  <c r="H29" i="23"/>
  <c r="G49" i="23"/>
  <c r="G53" i="23" s="1"/>
  <c r="G55" i="23" s="1"/>
  <c r="G29" i="23"/>
  <c r="E29" i="23"/>
  <c r="E49" i="23"/>
  <c r="E53" i="23" s="1"/>
  <c r="E55" i="23" s="1"/>
  <c r="F29" i="23"/>
  <c r="H42" i="23"/>
  <c r="H24" i="23"/>
  <c r="E18" i="23"/>
  <c r="D32" i="23"/>
  <c r="D34" i="23" s="1"/>
  <c r="G32" i="23"/>
  <c r="G34" i="23" s="1"/>
  <c r="F18" i="23"/>
  <c r="G18" i="23"/>
  <c r="J36" i="25"/>
  <c r="D18" i="25"/>
  <c r="H30" i="25"/>
  <c r="D30" i="25"/>
  <c r="I36" i="25"/>
  <c r="M36" i="25"/>
  <c r="L36" i="25"/>
  <c r="G30" i="25"/>
  <c r="K36" i="25"/>
  <c r="E30" i="25"/>
  <c r="N36" i="25"/>
  <c r="F30" i="25"/>
  <c r="H52" i="21"/>
  <c r="G52" i="21"/>
  <c r="F52" i="21"/>
  <c r="E52" i="21"/>
  <c r="D52" i="21"/>
  <c r="G37" i="23" l="1"/>
  <c r="H55" i="23"/>
  <c r="H57" i="23" s="1"/>
  <c r="P34" i="25"/>
  <c r="O36" i="25"/>
  <c r="G50" i="23"/>
  <c r="H44" i="23"/>
  <c r="H48" i="23"/>
  <c r="H50" i="23" s="1"/>
  <c r="D44" i="23"/>
  <c r="D48" i="23"/>
  <c r="D50" i="23" s="1"/>
  <c r="D57" i="23" s="1"/>
  <c r="F48" i="23"/>
  <c r="F50" i="23" s="1"/>
  <c r="F57" i="23" s="1"/>
  <c r="F44" i="23"/>
  <c r="F37" i="23"/>
  <c r="E37" i="23"/>
  <c r="H37" i="23"/>
  <c r="G57" i="23"/>
  <c r="D37" i="23"/>
  <c r="E44" i="23"/>
  <c r="E48" i="23"/>
  <c r="E50" i="23" s="1"/>
  <c r="E57" i="23" s="1"/>
  <c r="F42" i="25"/>
  <c r="F46" i="25" s="1"/>
  <c r="F47" i="25" s="1"/>
  <c r="D24" i="25"/>
  <c r="H42" i="25"/>
  <c r="H46" i="25" s="1"/>
  <c r="H47" i="25" s="1"/>
  <c r="E42" i="25"/>
  <c r="E46" i="25" s="1"/>
  <c r="E47" i="25" s="1"/>
  <c r="G42" i="25"/>
  <c r="G46" i="25" s="1"/>
  <c r="G47" i="25" s="1"/>
  <c r="P36" i="25" l="1"/>
  <c r="Q34" i="25"/>
  <c r="D42" i="25"/>
  <c r="D46" i="25" s="1"/>
  <c r="D47" i="25" s="1"/>
  <c r="Q36" i="25" l="1"/>
  <c r="R34" i="25" l="1"/>
  <c r="R36" i="25" s="1"/>
  <c r="H89" i="22" l="1"/>
  <c r="G89" i="22"/>
  <c r="F89" i="22"/>
  <c r="E89" i="22"/>
  <c r="D89" i="22"/>
  <c r="H105" i="22"/>
  <c r="G105" i="22"/>
  <c r="F105" i="22"/>
  <c r="E105" i="22"/>
  <c r="D105" i="22"/>
  <c r="H103" i="22"/>
  <c r="G103" i="22"/>
  <c r="F103" i="22"/>
  <c r="E103" i="22"/>
  <c r="D103" i="22"/>
  <c r="H102" i="22"/>
  <c r="G102" i="22"/>
  <c r="F102" i="22"/>
  <c r="E102" i="22"/>
  <c r="D102" i="22"/>
  <c r="H100" i="22"/>
  <c r="G100" i="22"/>
  <c r="F100" i="22"/>
  <c r="E100" i="22"/>
  <c r="D100" i="22"/>
  <c r="H99" i="22"/>
  <c r="G99" i="22"/>
  <c r="F99" i="22"/>
  <c r="E99" i="22"/>
  <c r="D99" i="22"/>
  <c r="H98" i="22"/>
  <c r="G98" i="22"/>
  <c r="F98" i="22"/>
  <c r="E98" i="22"/>
  <c r="D98" i="22"/>
  <c r="H97" i="22"/>
  <c r="G97" i="22"/>
  <c r="F97" i="22"/>
  <c r="E97" i="22"/>
  <c r="D97" i="22"/>
  <c r="H96" i="22"/>
  <c r="G96" i="22"/>
  <c r="F96" i="22"/>
  <c r="E96" i="22"/>
  <c r="D96" i="22"/>
  <c r="H95" i="22"/>
  <c r="G95" i="22"/>
  <c r="F95" i="22"/>
  <c r="E95" i="22"/>
  <c r="D95" i="22"/>
  <c r="H94" i="22"/>
  <c r="G94" i="22"/>
  <c r="F94" i="22"/>
  <c r="E94" i="22"/>
  <c r="D94" i="22"/>
  <c r="H92" i="22"/>
  <c r="G92" i="22"/>
  <c r="F92" i="22"/>
  <c r="E92" i="22"/>
  <c r="D92" i="22"/>
  <c r="H87" i="22"/>
  <c r="G87" i="22"/>
  <c r="F87" i="22"/>
  <c r="E87" i="22"/>
  <c r="D87" i="22"/>
  <c r="H86" i="22"/>
  <c r="G86" i="22"/>
  <c r="F86" i="22"/>
  <c r="E86" i="22"/>
  <c r="D86" i="22"/>
  <c r="H85" i="22"/>
  <c r="G85" i="22"/>
  <c r="F85" i="22"/>
  <c r="E85" i="22"/>
  <c r="D85" i="22"/>
  <c r="H84" i="22"/>
  <c r="G84" i="22"/>
  <c r="F84" i="22"/>
  <c r="E84" i="22"/>
  <c r="D84" i="22"/>
  <c r="H83" i="22"/>
  <c r="G83" i="22"/>
  <c r="F83" i="22"/>
  <c r="E83" i="22"/>
  <c r="D83" i="22"/>
  <c r="H82" i="22"/>
  <c r="G82" i="22"/>
  <c r="F82" i="22"/>
  <c r="E82" i="22"/>
  <c r="D82" i="22"/>
  <c r="H80" i="22"/>
  <c r="G80" i="22"/>
  <c r="F80" i="22"/>
  <c r="E80" i="22"/>
  <c r="D80" i="22"/>
  <c r="H76" i="22"/>
  <c r="G76" i="22"/>
  <c r="F76" i="22"/>
  <c r="E76" i="22"/>
  <c r="D76" i="22"/>
  <c r="H75" i="22"/>
  <c r="G75" i="22"/>
  <c r="F75" i="22"/>
  <c r="E75" i="22"/>
  <c r="D75" i="22"/>
  <c r="H74" i="22"/>
  <c r="G74" i="22"/>
  <c r="F74" i="22"/>
  <c r="E74" i="22"/>
  <c r="D74" i="22"/>
  <c r="H73" i="22"/>
  <c r="G73" i="22"/>
  <c r="F73" i="22"/>
  <c r="E73" i="22"/>
  <c r="D73" i="22"/>
  <c r="H72" i="22"/>
  <c r="G72" i="22"/>
  <c r="F72" i="22"/>
  <c r="E72" i="22"/>
  <c r="D72" i="22"/>
  <c r="H68" i="22"/>
  <c r="G68" i="22"/>
  <c r="F68" i="22"/>
  <c r="E68" i="22"/>
  <c r="D68" i="22"/>
  <c r="H66" i="22"/>
  <c r="G66" i="22"/>
  <c r="F66" i="22"/>
  <c r="E66" i="22"/>
  <c r="D66" i="22"/>
  <c r="H64" i="22"/>
  <c r="G64" i="22"/>
  <c r="F64" i="22"/>
  <c r="E64" i="22"/>
  <c r="D64" i="22"/>
  <c r="H63" i="22"/>
  <c r="G63" i="22"/>
  <c r="F63" i="22"/>
  <c r="E63" i="22"/>
  <c r="D63" i="22"/>
  <c r="H62" i="22"/>
  <c r="G62" i="22"/>
  <c r="F62" i="22"/>
  <c r="E62" i="22"/>
  <c r="D62" i="22"/>
  <c r="H61" i="22"/>
  <c r="G61" i="22"/>
  <c r="F61" i="22"/>
  <c r="E61" i="22"/>
  <c r="D61" i="22"/>
  <c r="H60" i="22"/>
  <c r="G60" i="22"/>
  <c r="F60" i="22"/>
  <c r="E60" i="22"/>
  <c r="D60" i="22"/>
  <c r="H59" i="22"/>
  <c r="G59" i="22"/>
  <c r="F59" i="22"/>
  <c r="E59" i="22"/>
  <c r="D59" i="22"/>
  <c r="H58" i="22"/>
  <c r="G58" i="22"/>
  <c r="F58" i="22"/>
  <c r="E58" i="22"/>
  <c r="D58" i="22"/>
  <c r="H56" i="22"/>
  <c r="G56" i="22"/>
  <c r="F56" i="22"/>
  <c r="E56" i="22"/>
  <c r="D56" i="22"/>
  <c r="H55" i="22"/>
  <c r="G55" i="22"/>
  <c r="F55" i="22"/>
  <c r="E55" i="22"/>
  <c r="D55" i="22"/>
  <c r="H52" i="22"/>
  <c r="G52" i="22"/>
  <c r="F52" i="22"/>
  <c r="E52" i="22"/>
  <c r="D52" i="22"/>
  <c r="H50" i="22"/>
  <c r="G50" i="22"/>
  <c r="F50" i="22"/>
  <c r="E50" i="22"/>
  <c r="D50" i="22"/>
  <c r="H49" i="22"/>
  <c r="G49" i="22"/>
  <c r="F49" i="22"/>
  <c r="E49" i="22"/>
  <c r="D49" i="22"/>
  <c r="H48" i="22"/>
  <c r="G48" i="22"/>
  <c r="F48" i="22"/>
  <c r="E48" i="22"/>
  <c r="D48" i="22"/>
  <c r="H47" i="22"/>
  <c r="G47" i="22"/>
  <c r="F47" i="22"/>
  <c r="E47" i="22"/>
  <c r="D47" i="22"/>
  <c r="H46" i="22"/>
  <c r="G46" i="22"/>
  <c r="F46" i="22"/>
  <c r="E46" i="22"/>
  <c r="D46" i="22"/>
  <c r="H45" i="22"/>
  <c r="G45" i="22"/>
  <c r="F45" i="22"/>
  <c r="E45" i="22"/>
  <c r="D45" i="22"/>
  <c r="H43" i="22"/>
  <c r="G43" i="22"/>
  <c r="F43" i="22"/>
  <c r="E43" i="22"/>
  <c r="D43" i="22"/>
  <c r="H42" i="22"/>
  <c r="G42" i="22"/>
  <c r="F42" i="22"/>
  <c r="E42" i="22"/>
  <c r="D42" i="22"/>
  <c r="H41" i="22"/>
  <c r="G41" i="22"/>
  <c r="F41" i="22"/>
  <c r="E41" i="22"/>
  <c r="D41" i="22"/>
  <c r="H40" i="22"/>
  <c r="G40" i="22"/>
  <c r="F40" i="22"/>
  <c r="E40" i="22"/>
  <c r="D40" i="22"/>
  <c r="H39" i="22"/>
  <c r="G39" i="22"/>
  <c r="F39" i="22"/>
  <c r="E39" i="22"/>
  <c r="D39" i="22"/>
  <c r="H38" i="22"/>
  <c r="G38" i="22"/>
  <c r="F38" i="22"/>
  <c r="E38" i="22"/>
  <c r="D38" i="22"/>
  <c r="H37" i="22"/>
  <c r="G37" i="22"/>
  <c r="F37" i="22"/>
  <c r="E37" i="22"/>
  <c r="D37" i="22"/>
  <c r="H30" i="22"/>
  <c r="G30" i="22"/>
  <c r="F30" i="22"/>
  <c r="E30" i="22"/>
  <c r="D30" i="22"/>
  <c r="H31" i="22"/>
  <c r="G31" i="22"/>
  <c r="F31" i="22"/>
  <c r="E31" i="22"/>
  <c r="D31" i="22"/>
  <c r="H29" i="22"/>
  <c r="G29" i="22"/>
  <c r="F29" i="22"/>
  <c r="E29" i="22"/>
  <c r="D29" i="22"/>
  <c r="H28" i="22"/>
  <c r="G28" i="22"/>
  <c r="F28" i="22"/>
  <c r="E28" i="22"/>
  <c r="D28" i="22"/>
  <c r="H27" i="22"/>
  <c r="G27" i="22"/>
  <c r="F27" i="22"/>
  <c r="E27" i="22"/>
  <c r="D27" i="22"/>
  <c r="H26" i="22"/>
  <c r="G26" i="22"/>
  <c r="F26" i="22"/>
  <c r="E26" i="22"/>
  <c r="D26" i="22"/>
  <c r="H25" i="22"/>
  <c r="G25" i="22"/>
  <c r="F25" i="22"/>
  <c r="E25" i="22"/>
  <c r="D25" i="22"/>
  <c r="H23" i="22"/>
  <c r="G23" i="22"/>
  <c r="F23" i="22"/>
  <c r="E23" i="22"/>
  <c r="D23" i="22"/>
  <c r="H22" i="22"/>
  <c r="G22" i="22"/>
  <c r="F22" i="22"/>
  <c r="E22" i="22"/>
  <c r="D22" i="22"/>
  <c r="H21" i="22"/>
  <c r="G21" i="22"/>
  <c r="F21" i="22"/>
  <c r="E21" i="22"/>
  <c r="D21" i="22"/>
  <c r="H20" i="22"/>
  <c r="G20" i="22"/>
  <c r="F20" i="22"/>
  <c r="E20" i="22"/>
  <c r="D20" i="22"/>
  <c r="H19" i="22"/>
  <c r="G19" i="22"/>
  <c r="F19" i="22"/>
  <c r="E19" i="22"/>
  <c r="D19" i="22"/>
  <c r="H18" i="22"/>
  <c r="G18" i="22"/>
  <c r="F18" i="22"/>
  <c r="E18" i="22"/>
  <c r="D18" i="22"/>
  <c r="H17" i="22"/>
  <c r="G17" i="22"/>
  <c r="F17" i="22"/>
  <c r="E17" i="22"/>
  <c r="D17" i="22"/>
  <c r="H16" i="22"/>
  <c r="G16" i="22"/>
  <c r="F16" i="22"/>
  <c r="E16" i="22"/>
  <c r="D16" i="22"/>
  <c r="H13" i="22"/>
  <c r="G13" i="22"/>
  <c r="F13" i="22"/>
  <c r="E13" i="22"/>
  <c r="D13" i="22"/>
  <c r="H12" i="22"/>
  <c r="G12" i="22"/>
  <c r="F12" i="22"/>
  <c r="E12" i="22"/>
  <c r="D12" i="22"/>
  <c r="E10" i="22"/>
  <c r="F10" i="22" s="1"/>
  <c r="G10" i="22" s="1"/>
  <c r="H10" i="22" s="1"/>
  <c r="U44" i="21"/>
  <c r="T44" i="21"/>
  <c r="U43" i="21"/>
  <c r="T43" i="21"/>
  <c r="U42" i="21"/>
  <c r="T42" i="21"/>
  <c r="U41" i="21"/>
  <c r="T41" i="21"/>
  <c r="H48" i="21"/>
  <c r="G48" i="21"/>
  <c r="F48" i="21"/>
  <c r="E48" i="21"/>
  <c r="H47" i="21"/>
  <c r="G47" i="21"/>
  <c r="F47" i="21"/>
  <c r="E47" i="21"/>
  <c r="H46" i="21"/>
  <c r="G46" i="21"/>
  <c r="F46" i="21"/>
  <c r="E46" i="21"/>
  <c r="D48" i="21"/>
  <c r="D47" i="21"/>
  <c r="D46" i="21"/>
  <c r="R44" i="21"/>
  <c r="Q44" i="21"/>
  <c r="P44" i="21"/>
  <c r="O44" i="21"/>
  <c r="N44" i="21"/>
  <c r="M44" i="21"/>
  <c r="L44" i="21"/>
  <c r="K44" i="21"/>
  <c r="J44" i="21"/>
  <c r="I44" i="21"/>
  <c r="H44" i="21"/>
  <c r="G44" i="21"/>
  <c r="F44" i="21"/>
  <c r="E44" i="21"/>
  <c r="D44" i="21"/>
  <c r="R43" i="21"/>
  <c r="Q43" i="21"/>
  <c r="P43" i="21"/>
  <c r="O43" i="21"/>
  <c r="N43" i="21"/>
  <c r="M43" i="21"/>
  <c r="L43" i="21"/>
  <c r="K43" i="21"/>
  <c r="J43" i="21"/>
  <c r="I43" i="21"/>
  <c r="H43" i="21"/>
  <c r="G43" i="21"/>
  <c r="F43" i="21"/>
  <c r="E43" i="21"/>
  <c r="R42" i="21"/>
  <c r="Q42" i="21"/>
  <c r="P42" i="21"/>
  <c r="O42" i="21"/>
  <c r="N42" i="21"/>
  <c r="M42" i="21"/>
  <c r="L42" i="21"/>
  <c r="K42" i="21"/>
  <c r="J42" i="21"/>
  <c r="I42" i="21"/>
  <c r="H42" i="21"/>
  <c r="G42" i="21"/>
  <c r="F42" i="21"/>
  <c r="E42" i="21"/>
  <c r="R41" i="21"/>
  <c r="Q41" i="21"/>
  <c r="P41" i="21"/>
  <c r="O41" i="21"/>
  <c r="N41" i="21"/>
  <c r="M41" i="21"/>
  <c r="L41" i="21"/>
  <c r="K41" i="21"/>
  <c r="J41" i="21"/>
  <c r="I41" i="21"/>
  <c r="H41" i="21"/>
  <c r="G41" i="21"/>
  <c r="F41" i="21"/>
  <c r="E41" i="21"/>
  <c r="D43" i="21"/>
  <c r="D42" i="21"/>
  <c r="D41" i="21"/>
  <c r="H39" i="21"/>
  <c r="G39" i="21"/>
  <c r="F39" i="21"/>
  <c r="E39" i="21"/>
  <c r="D39" i="21"/>
  <c r="H38" i="21"/>
  <c r="G38" i="21"/>
  <c r="F38" i="21"/>
  <c r="E38" i="21"/>
  <c r="D38" i="21"/>
  <c r="H37" i="21"/>
  <c r="G37" i="21"/>
  <c r="F37" i="21"/>
  <c r="E37" i="21"/>
  <c r="H36" i="21"/>
  <c r="G36" i="21"/>
  <c r="F36" i="21"/>
  <c r="E36" i="21"/>
  <c r="H35" i="21"/>
  <c r="G35" i="21"/>
  <c r="F35" i="21"/>
  <c r="E35" i="21"/>
  <c r="D37" i="21"/>
  <c r="D36" i="21"/>
  <c r="D35" i="21"/>
  <c r="H33" i="21"/>
  <c r="G33" i="21"/>
  <c r="F33" i="21"/>
  <c r="E33" i="21"/>
  <c r="H31" i="21"/>
  <c r="G31" i="21"/>
  <c r="F31" i="21"/>
  <c r="E31" i="21"/>
  <c r="H30" i="21"/>
  <c r="G30" i="21"/>
  <c r="F30" i="21"/>
  <c r="F32" i="21" s="1"/>
  <c r="E30" i="21"/>
  <c r="E32" i="21" s="1"/>
  <c r="H29" i="21"/>
  <c r="G29" i="21"/>
  <c r="F29" i="21"/>
  <c r="E29" i="21"/>
  <c r="D32" i="21"/>
  <c r="D33" i="21"/>
  <c r="D31" i="21"/>
  <c r="D30" i="21"/>
  <c r="H37" i="9"/>
  <c r="G37" i="9"/>
  <c r="F37" i="9"/>
  <c r="E37" i="9"/>
  <c r="D37" i="9"/>
  <c r="D29" i="21"/>
  <c r="E27" i="21"/>
  <c r="H26" i="21"/>
  <c r="G26" i="21"/>
  <c r="F26" i="21"/>
  <c r="E26" i="21"/>
  <c r="H25" i="21"/>
  <c r="G25" i="21"/>
  <c r="F25" i="21"/>
  <c r="E25" i="21"/>
  <c r="D26" i="21"/>
  <c r="D25" i="21"/>
  <c r="H23" i="21"/>
  <c r="G23" i="21"/>
  <c r="F23" i="21"/>
  <c r="E23" i="21"/>
  <c r="H22" i="21"/>
  <c r="G22" i="21"/>
  <c r="F22" i="21"/>
  <c r="E22" i="21"/>
  <c r="H21" i="21"/>
  <c r="H27" i="21" s="1"/>
  <c r="G21" i="21"/>
  <c r="G27" i="21" s="1"/>
  <c r="F21" i="21"/>
  <c r="F27" i="21" s="1"/>
  <c r="E21" i="21"/>
  <c r="H20" i="21"/>
  <c r="G20" i="21"/>
  <c r="F20" i="21"/>
  <c r="E20" i="21"/>
  <c r="H19" i="21"/>
  <c r="G19" i="21"/>
  <c r="F19" i="21"/>
  <c r="E19" i="21"/>
  <c r="D23" i="21"/>
  <c r="D22" i="21"/>
  <c r="D21" i="21"/>
  <c r="D27" i="21" s="1"/>
  <c r="D20" i="21"/>
  <c r="D19" i="21"/>
  <c r="H17" i="21"/>
  <c r="G17" i="21"/>
  <c r="F17" i="21"/>
  <c r="H16" i="21"/>
  <c r="G16" i="21"/>
  <c r="F16" i="21"/>
  <c r="H15" i="21"/>
  <c r="G15" i="21"/>
  <c r="F15" i="21"/>
  <c r="H14" i="21"/>
  <c r="G14" i="21"/>
  <c r="F14" i="21"/>
  <c r="E17" i="21"/>
  <c r="E16" i="21"/>
  <c r="E15" i="21"/>
  <c r="E14" i="21"/>
  <c r="H13" i="21"/>
  <c r="G13" i="21"/>
  <c r="F13" i="21"/>
  <c r="E13" i="21"/>
  <c r="E10" i="21"/>
  <c r="F10" i="21" s="1"/>
  <c r="G10" i="21" s="1"/>
  <c r="H10" i="21" s="1"/>
  <c r="I10" i="21" s="1"/>
  <c r="J10" i="21" s="1"/>
  <c r="K10" i="21" s="1"/>
  <c r="L10" i="21" s="1"/>
  <c r="M10" i="21" s="1"/>
  <c r="N10" i="21" s="1"/>
  <c r="O10" i="21" s="1"/>
  <c r="P10" i="21" s="1"/>
  <c r="Q10" i="21" s="1"/>
  <c r="R10" i="21" s="1"/>
  <c r="L15" i="20"/>
  <c r="L17" i="20"/>
  <c r="K17" i="20"/>
  <c r="K15" i="20"/>
  <c r="J15" i="20"/>
  <c r="J17" i="20"/>
  <c r="I17" i="20"/>
  <c r="I16" i="20"/>
  <c r="I15" i="20"/>
  <c r="I14" i="20"/>
  <c r="D20" i="6"/>
  <c r="E20" i="6"/>
  <c r="F20" i="6"/>
  <c r="G20" i="6"/>
  <c r="H20" i="6"/>
  <c r="D49" i="4"/>
  <c r="J39" i="19"/>
  <c r="K39" i="19"/>
  <c r="M39" i="19"/>
  <c r="N39" i="19" s="1"/>
  <c r="F31" i="19"/>
  <c r="F38" i="19"/>
  <c r="C41" i="19"/>
  <c r="F40" i="19" s="1"/>
  <c r="C40" i="19"/>
  <c r="F39" i="19" s="1"/>
  <c r="C39" i="19"/>
  <c r="F41" i="19" s="1"/>
  <c r="F19" i="19"/>
  <c r="G12" i="19"/>
  <c r="H12" i="19" s="1"/>
  <c r="H11" i="19" s="1"/>
  <c r="F11" i="19"/>
  <c r="E11" i="19"/>
  <c r="C23" i="5"/>
  <c r="C22" i="5"/>
  <c r="C21" i="5"/>
  <c r="C18" i="5"/>
  <c r="C46" i="18"/>
  <c r="C31" i="18"/>
  <c r="B14" i="18"/>
  <c r="D14" i="18"/>
  <c r="E14" i="18"/>
  <c r="G14" i="18" s="1"/>
  <c r="F14" i="18"/>
  <c r="J14" i="18" s="1"/>
  <c r="H14" i="18"/>
  <c r="C47" i="18"/>
  <c r="C42" i="18"/>
  <c r="D49" i="18"/>
  <c r="C41" i="18"/>
  <c r="C43" i="18" s="1"/>
  <c r="K35" i="6"/>
  <c r="L35" i="6" s="1"/>
  <c r="M35" i="6" s="1"/>
  <c r="N35" i="6" s="1"/>
  <c r="O35" i="6" s="1"/>
  <c r="P35" i="6" s="1"/>
  <c r="Q35" i="6" s="1"/>
  <c r="R35" i="6" s="1"/>
  <c r="J35" i="6"/>
  <c r="C37" i="18"/>
  <c r="C38" i="18" s="1"/>
  <c r="C36" i="18"/>
  <c r="G24" i="18"/>
  <c r="I21" i="18"/>
  <c r="I20" i="18"/>
  <c r="H18" i="18"/>
  <c r="H17" i="18"/>
  <c r="H16" i="18"/>
  <c r="H15" i="18"/>
  <c r="H13" i="18"/>
  <c r="F24" i="18"/>
  <c r="E18" i="18"/>
  <c r="E17" i="18"/>
  <c r="E16" i="18"/>
  <c r="E15" i="18"/>
  <c r="E13" i="18"/>
  <c r="D18" i="18"/>
  <c r="D17" i="18"/>
  <c r="D16" i="18"/>
  <c r="D15" i="18"/>
  <c r="F15" i="18" s="1"/>
  <c r="J15" i="18" s="1"/>
  <c r="D13" i="18"/>
  <c r="B18" i="18"/>
  <c r="B17" i="18"/>
  <c r="B16" i="18"/>
  <c r="B15" i="18"/>
  <c r="B13" i="18"/>
  <c r="L33" i="17"/>
  <c r="L32" i="17"/>
  <c r="L31" i="17"/>
  <c r="J33" i="17"/>
  <c r="J32" i="17"/>
  <c r="J31" i="17"/>
  <c r="I33" i="17"/>
  <c r="I32" i="17"/>
  <c r="I31" i="17"/>
  <c r="G32" i="21" l="1"/>
  <c r="H32" i="21"/>
  <c r="G11" i="19"/>
  <c r="H13" i="19" s="1"/>
  <c r="F42" i="19"/>
  <c r="F44" i="19" s="1"/>
  <c r="F13" i="19"/>
  <c r="I12" i="19"/>
  <c r="C48" i="18"/>
  <c r="D50" i="18" s="1"/>
  <c r="D52" i="18" s="1"/>
  <c r="D20" i="5" s="1"/>
  <c r="F13" i="18"/>
  <c r="G16" i="18"/>
  <c r="F17" i="18"/>
  <c r="J17" i="18" s="1"/>
  <c r="H21" i="18"/>
  <c r="F16" i="18"/>
  <c r="J16" i="18" s="1"/>
  <c r="F18" i="18"/>
  <c r="J18" i="18" s="1"/>
  <c r="H20" i="18"/>
  <c r="G15" i="18"/>
  <c r="J13" i="18"/>
  <c r="G13" i="18"/>
  <c r="G17" i="18"/>
  <c r="G18" i="18"/>
  <c r="F33" i="17"/>
  <c r="H33" i="17"/>
  <c r="H32" i="17"/>
  <c r="H31" i="17"/>
  <c r="G13" i="19" l="1"/>
  <c r="J12" i="19"/>
  <c r="I11" i="19"/>
  <c r="F20" i="18"/>
  <c r="F21" i="18"/>
  <c r="G21" i="18"/>
  <c r="G20" i="18"/>
  <c r="J21" i="18"/>
  <c r="C49" i="18" s="1"/>
  <c r="J20" i="18"/>
  <c r="G33" i="17"/>
  <c r="G32" i="17"/>
  <c r="G31" i="17"/>
  <c r="F32" i="17"/>
  <c r="F31" i="17"/>
  <c r="E33" i="17"/>
  <c r="E32" i="17"/>
  <c r="E31" i="17"/>
  <c r="R27" i="17"/>
  <c r="Q27" i="17"/>
  <c r="P27" i="17"/>
  <c r="N27" i="17"/>
  <c r="M27" i="17"/>
  <c r="L27" i="17"/>
  <c r="J27" i="17"/>
  <c r="I27" i="17"/>
  <c r="H27" i="17"/>
  <c r="R25" i="17"/>
  <c r="Q25" i="17"/>
  <c r="R24" i="17"/>
  <c r="Q24" i="17"/>
  <c r="R23" i="17"/>
  <c r="Q23" i="17"/>
  <c r="R22" i="17"/>
  <c r="Q22" i="17"/>
  <c r="R21" i="17"/>
  <c r="Q21" i="17"/>
  <c r="R20" i="17"/>
  <c r="Q20" i="17"/>
  <c r="P24" i="17"/>
  <c r="P21" i="17"/>
  <c r="P20" i="17"/>
  <c r="P25" i="17"/>
  <c r="P23" i="17"/>
  <c r="P22" i="17"/>
  <c r="N18" i="17"/>
  <c r="N17" i="17"/>
  <c r="N16" i="17"/>
  <c r="N15" i="17"/>
  <c r="N14" i="17"/>
  <c r="N13" i="17"/>
  <c r="M18" i="17"/>
  <c r="L18" i="17"/>
  <c r="M17" i="17"/>
  <c r="L17" i="17"/>
  <c r="M16" i="17"/>
  <c r="L16" i="17"/>
  <c r="M15" i="17"/>
  <c r="L15" i="17"/>
  <c r="M14" i="17"/>
  <c r="L14" i="17"/>
  <c r="M13" i="17"/>
  <c r="L13" i="17"/>
  <c r="I18" i="17"/>
  <c r="H18" i="17"/>
  <c r="I17" i="17"/>
  <c r="H17" i="17"/>
  <c r="I16" i="17"/>
  <c r="H16" i="17"/>
  <c r="I15" i="17"/>
  <c r="H15" i="17"/>
  <c r="I14" i="17"/>
  <c r="H14" i="17"/>
  <c r="I13" i="17"/>
  <c r="H13" i="17"/>
  <c r="F27" i="17"/>
  <c r="E27" i="17"/>
  <c r="C27" i="17"/>
  <c r="B27" i="17"/>
  <c r="F18" i="17"/>
  <c r="F17" i="17"/>
  <c r="F16" i="17"/>
  <c r="F15" i="17"/>
  <c r="F14" i="17"/>
  <c r="F13" i="17"/>
  <c r="E18" i="17"/>
  <c r="E17" i="17"/>
  <c r="E16" i="17"/>
  <c r="E15" i="17"/>
  <c r="E14" i="17"/>
  <c r="E13" i="17"/>
  <c r="C18" i="17"/>
  <c r="C17" i="17"/>
  <c r="C16" i="17"/>
  <c r="C15" i="17"/>
  <c r="C14" i="17"/>
  <c r="C13" i="17"/>
  <c r="B18" i="17"/>
  <c r="B17" i="17"/>
  <c r="B16" i="17"/>
  <c r="B15" i="17"/>
  <c r="B14" i="17"/>
  <c r="B13" i="17"/>
  <c r="K18" i="16"/>
  <c r="K17" i="16"/>
  <c r="K16" i="16"/>
  <c r="K15" i="16"/>
  <c r="K14" i="16"/>
  <c r="K13" i="16"/>
  <c r="I20" i="15"/>
  <c r="I13" i="19" l="1"/>
  <c r="K12" i="19"/>
  <c r="J11" i="19"/>
  <c r="C50" i="18"/>
  <c r="I24" i="18"/>
  <c r="C32" i="18"/>
  <c r="G16" i="17"/>
  <c r="R16" i="17" s="1"/>
  <c r="G14" i="17"/>
  <c r="R14" i="17" s="1"/>
  <c r="G18" i="17"/>
  <c r="G13" i="17"/>
  <c r="G15" i="17"/>
  <c r="G27" i="17"/>
  <c r="G17" i="17"/>
  <c r="C52" i="18" l="1"/>
  <c r="C20" i="5" s="1"/>
  <c r="J13" i="19"/>
  <c r="K11" i="19"/>
  <c r="L12" i="19"/>
  <c r="J16" i="17"/>
  <c r="J14" i="17"/>
  <c r="J17" i="17"/>
  <c r="R17" i="17"/>
  <c r="Q16" i="17"/>
  <c r="P16" i="17"/>
  <c r="J15" i="17"/>
  <c r="R15" i="17"/>
  <c r="J13" i="17"/>
  <c r="R13" i="17"/>
  <c r="P14" i="17"/>
  <c r="Q14" i="17"/>
  <c r="J18" i="17"/>
  <c r="R18" i="17"/>
  <c r="K13" i="19" l="1"/>
  <c r="L11" i="19"/>
  <c r="M12" i="19"/>
  <c r="P18" i="17"/>
  <c r="Q18" i="17"/>
  <c r="Q13" i="17"/>
  <c r="P13" i="17"/>
  <c r="Q15" i="17"/>
  <c r="P15" i="17"/>
  <c r="Q17" i="17"/>
  <c r="P17" i="17"/>
  <c r="L13" i="19" l="1"/>
  <c r="N12" i="19"/>
  <c r="M11" i="19"/>
  <c r="I13" i="15"/>
  <c r="I15" i="15" s="1"/>
  <c r="F133" i="15"/>
  <c r="F132" i="15"/>
  <c r="F131" i="15"/>
  <c r="F130" i="15"/>
  <c r="F129" i="15"/>
  <c r="F128" i="15"/>
  <c r="F127" i="15"/>
  <c r="F126" i="15"/>
  <c r="F125" i="15"/>
  <c r="F124" i="15"/>
  <c r="F123" i="15"/>
  <c r="F122" i="15"/>
  <c r="F121" i="15"/>
  <c r="F120" i="15"/>
  <c r="F119" i="15"/>
  <c r="F118" i="15"/>
  <c r="F117" i="15"/>
  <c r="F116" i="15"/>
  <c r="F115" i="15"/>
  <c r="F114" i="15"/>
  <c r="F113" i="15"/>
  <c r="F112" i="15"/>
  <c r="F111" i="15"/>
  <c r="F110" i="15"/>
  <c r="F109" i="15"/>
  <c r="F108" i="15"/>
  <c r="F107" i="15"/>
  <c r="F106" i="15"/>
  <c r="F105" i="15"/>
  <c r="F104" i="15"/>
  <c r="F103" i="15"/>
  <c r="F102" i="15"/>
  <c r="F101" i="15"/>
  <c r="F100" i="15"/>
  <c r="F99" i="15"/>
  <c r="F98" i="15"/>
  <c r="F97" i="15"/>
  <c r="F96" i="15"/>
  <c r="F95" i="15"/>
  <c r="F94" i="15"/>
  <c r="F93" i="15"/>
  <c r="F92" i="15"/>
  <c r="F91" i="15"/>
  <c r="F90" i="15"/>
  <c r="F89" i="15"/>
  <c r="F88" i="15"/>
  <c r="F87" i="15"/>
  <c r="F86" i="15"/>
  <c r="F85" i="15"/>
  <c r="F84" i="15"/>
  <c r="F83" i="15"/>
  <c r="F82" i="15"/>
  <c r="F81" i="15"/>
  <c r="F80" i="15"/>
  <c r="F79" i="15"/>
  <c r="F78" i="15"/>
  <c r="F77" i="15"/>
  <c r="F76" i="15"/>
  <c r="F75" i="15"/>
  <c r="F74" i="15"/>
  <c r="F73" i="15"/>
  <c r="F72" i="15"/>
  <c r="F71" i="15"/>
  <c r="F70" i="15"/>
  <c r="F69" i="15"/>
  <c r="F68" i="15"/>
  <c r="F67" i="15"/>
  <c r="F66" i="15"/>
  <c r="F65" i="15"/>
  <c r="F64" i="15"/>
  <c r="F63" i="15"/>
  <c r="F62" i="15"/>
  <c r="F61" i="15"/>
  <c r="F60" i="15"/>
  <c r="F59" i="15"/>
  <c r="F58" i="15"/>
  <c r="F57" i="15"/>
  <c r="F56" i="15"/>
  <c r="F55" i="15"/>
  <c r="F54" i="15"/>
  <c r="F53" i="15"/>
  <c r="F52" i="15"/>
  <c r="F51" i="15"/>
  <c r="F50" i="15"/>
  <c r="F49" i="15"/>
  <c r="F48" i="15"/>
  <c r="F47" i="15"/>
  <c r="F46" i="15"/>
  <c r="F45" i="15"/>
  <c r="F44" i="15"/>
  <c r="F43" i="15"/>
  <c r="F42" i="15"/>
  <c r="F41" i="15"/>
  <c r="F40" i="15"/>
  <c r="F39" i="15"/>
  <c r="F38" i="15"/>
  <c r="F37" i="15"/>
  <c r="F36" i="15"/>
  <c r="F35" i="15"/>
  <c r="F34" i="15"/>
  <c r="F33" i="15"/>
  <c r="F32" i="15"/>
  <c r="F31" i="15"/>
  <c r="F30" i="15"/>
  <c r="F29" i="15"/>
  <c r="F28" i="15"/>
  <c r="F27" i="15"/>
  <c r="F26" i="15"/>
  <c r="F25" i="15"/>
  <c r="F24" i="15"/>
  <c r="F23" i="15"/>
  <c r="F22" i="15"/>
  <c r="F21" i="15"/>
  <c r="F20" i="15"/>
  <c r="F19" i="15"/>
  <c r="F18" i="15"/>
  <c r="F17" i="15"/>
  <c r="F16" i="15"/>
  <c r="F15" i="15"/>
  <c r="F14" i="15"/>
  <c r="D133" i="15"/>
  <c r="D132" i="15"/>
  <c r="D131" i="15"/>
  <c r="D130" i="15"/>
  <c r="D129" i="15"/>
  <c r="D128" i="15"/>
  <c r="D127" i="15"/>
  <c r="D126" i="15"/>
  <c r="D125" i="15"/>
  <c r="D124" i="15"/>
  <c r="D123" i="15"/>
  <c r="D122" i="15"/>
  <c r="D121" i="15"/>
  <c r="D120" i="15"/>
  <c r="D119" i="15"/>
  <c r="D118" i="15"/>
  <c r="D117" i="15"/>
  <c r="D116" i="15"/>
  <c r="D115" i="15"/>
  <c r="D114" i="15"/>
  <c r="D113" i="15"/>
  <c r="D112" i="15"/>
  <c r="D111" i="15"/>
  <c r="D110" i="15"/>
  <c r="D109" i="15"/>
  <c r="D108" i="15"/>
  <c r="D107" i="15"/>
  <c r="D106" i="15"/>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M13" i="19" l="1"/>
  <c r="O12" i="19"/>
  <c r="N11" i="19"/>
  <c r="I18" i="15"/>
  <c r="I19" i="15"/>
  <c r="I14" i="15"/>
  <c r="N13" i="19" l="1"/>
  <c r="O11" i="19"/>
  <c r="P11" i="19" s="1"/>
  <c r="G12" i="14"/>
  <c r="G11" i="14"/>
  <c r="B60" i="4"/>
  <c r="B59" i="4"/>
  <c r="B51" i="4"/>
  <c r="B50" i="4"/>
  <c r="B42" i="4"/>
  <c r="B41" i="4"/>
  <c r="B34" i="4"/>
  <c r="B33" i="4"/>
  <c r="B26" i="4"/>
  <c r="B25" i="4"/>
  <c r="B18" i="4"/>
  <c r="B17" i="4"/>
  <c r="B30" i="6"/>
  <c r="B28" i="6"/>
  <c r="B33" i="6"/>
  <c r="B21" i="6"/>
  <c r="B19" i="6"/>
  <c r="B17" i="6"/>
  <c r="R30" i="13"/>
  <c r="Q30" i="13"/>
  <c r="P30" i="13"/>
  <c r="O30" i="13"/>
  <c r="N30" i="13"/>
  <c r="M30" i="13"/>
  <c r="L30" i="13"/>
  <c r="K30" i="13"/>
  <c r="J30" i="13"/>
  <c r="I30" i="13"/>
  <c r="R38" i="12"/>
  <c r="Q38" i="12"/>
  <c r="R22" i="12"/>
  <c r="Q22" i="12"/>
  <c r="Q15" i="12"/>
  <c r="R15" i="12" s="1"/>
  <c r="R29" i="13"/>
  <c r="Q29" i="13"/>
  <c r="P29" i="13"/>
  <c r="O29" i="13"/>
  <c r="N29" i="13"/>
  <c r="M29" i="13"/>
  <c r="L29" i="13"/>
  <c r="K29" i="13"/>
  <c r="J29" i="13"/>
  <c r="R25" i="13"/>
  <c r="Q25" i="13"/>
  <c r="P25" i="13"/>
  <c r="O25" i="13"/>
  <c r="N25" i="13"/>
  <c r="M25" i="13"/>
  <c r="L25" i="13"/>
  <c r="K25" i="13"/>
  <c r="J25" i="13"/>
  <c r="R22" i="13"/>
  <c r="Q22" i="13"/>
  <c r="P22" i="13"/>
  <c r="O22" i="13"/>
  <c r="N22" i="13"/>
  <c r="M22" i="13"/>
  <c r="L22" i="13"/>
  <c r="K22" i="13"/>
  <c r="J22" i="13"/>
  <c r="R21" i="13"/>
  <c r="Q21" i="13"/>
  <c r="P21" i="13"/>
  <c r="O21" i="13"/>
  <c r="N21" i="13"/>
  <c r="M21" i="13"/>
  <c r="L21" i="13"/>
  <c r="K21" i="13"/>
  <c r="J21" i="13"/>
  <c r="P38" i="12"/>
  <c r="O38" i="12"/>
  <c r="N38" i="12"/>
  <c r="M38" i="12"/>
  <c r="L38" i="12"/>
  <c r="K38" i="12"/>
  <c r="J38" i="12"/>
  <c r="J22" i="12"/>
  <c r="K22" i="12" s="1"/>
  <c r="L22" i="12" s="1"/>
  <c r="M22" i="12" s="1"/>
  <c r="N22" i="12" s="1"/>
  <c r="K15" i="12"/>
  <c r="L15" i="12" s="1"/>
  <c r="M15" i="12" s="1"/>
  <c r="N15" i="12" s="1"/>
  <c r="O15" i="12" s="1"/>
  <c r="P15" i="12" s="1"/>
  <c r="J15" i="12"/>
  <c r="I22" i="12"/>
  <c r="I29" i="13"/>
  <c r="D36" i="13"/>
  <c r="H23" i="13"/>
  <c r="G23" i="13"/>
  <c r="F23" i="13"/>
  <c r="E23" i="13"/>
  <c r="D23" i="13"/>
  <c r="H32" i="13"/>
  <c r="G32" i="13"/>
  <c r="F32" i="13"/>
  <c r="E32" i="13"/>
  <c r="H31" i="13"/>
  <c r="G31" i="13"/>
  <c r="F31" i="13"/>
  <c r="E31" i="13"/>
  <c r="H30" i="13"/>
  <c r="G30" i="13"/>
  <c r="F30" i="13"/>
  <c r="E30" i="13"/>
  <c r="H29" i="13"/>
  <c r="H33" i="13" s="1"/>
  <c r="G29" i="13"/>
  <c r="G33" i="13" s="1"/>
  <c r="F29" i="13"/>
  <c r="F33" i="13" s="1"/>
  <c r="E29" i="13"/>
  <c r="E33" i="13" s="1"/>
  <c r="D29" i="13"/>
  <c r="D32" i="13"/>
  <c r="D31" i="13"/>
  <c r="D30" i="13"/>
  <c r="I25" i="13"/>
  <c r="H25" i="13"/>
  <c r="G25" i="13"/>
  <c r="F25" i="13"/>
  <c r="E25" i="13"/>
  <c r="H24" i="13"/>
  <c r="G24" i="13"/>
  <c r="F24" i="13"/>
  <c r="E24" i="13"/>
  <c r="I22" i="13"/>
  <c r="H22" i="13"/>
  <c r="G22" i="13"/>
  <c r="F22" i="13"/>
  <c r="E22" i="13"/>
  <c r="I21" i="13"/>
  <c r="H21" i="13"/>
  <c r="G21" i="13"/>
  <c r="F21" i="13"/>
  <c r="E21" i="13"/>
  <c r="H20" i="13"/>
  <c r="G20" i="13"/>
  <c r="F20" i="13"/>
  <c r="E20" i="13"/>
  <c r="D24" i="13"/>
  <c r="D25" i="13"/>
  <c r="D22" i="13"/>
  <c r="D21" i="13"/>
  <c r="D20" i="13"/>
  <c r="I14" i="13"/>
  <c r="H14" i="13"/>
  <c r="G14" i="13"/>
  <c r="F14" i="13"/>
  <c r="E14" i="13"/>
  <c r="D14" i="13"/>
  <c r="E10" i="13"/>
  <c r="F10" i="13" s="1"/>
  <c r="G10" i="13" s="1"/>
  <c r="H10" i="13" s="1"/>
  <c r="I10" i="13" s="1"/>
  <c r="J10" i="13" s="1"/>
  <c r="K10" i="13" s="1"/>
  <c r="L10" i="13" s="1"/>
  <c r="M10" i="13" s="1"/>
  <c r="N10" i="13" s="1"/>
  <c r="O10" i="13" s="1"/>
  <c r="P10" i="13" s="1"/>
  <c r="Q10" i="13" s="1"/>
  <c r="R10" i="13" s="1"/>
  <c r="H33" i="12"/>
  <c r="G33" i="12"/>
  <c r="F33" i="12"/>
  <c r="E33" i="12"/>
  <c r="I38" i="12"/>
  <c r="H38" i="12"/>
  <c r="G38" i="12"/>
  <c r="F38" i="12"/>
  <c r="D33" i="12"/>
  <c r="H15" i="12"/>
  <c r="I15" i="12" s="1"/>
  <c r="H24" i="12"/>
  <c r="G24" i="12"/>
  <c r="F24" i="12"/>
  <c r="E24" i="12"/>
  <c r="H23" i="12"/>
  <c r="G23" i="12"/>
  <c r="F23" i="12"/>
  <c r="E23" i="12"/>
  <c r="H22" i="12"/>
  <c r="G22" i="12"/>
  <c r="F22" i="12"/>
  <c r="E22" i="12"/>
  <c r="H21" i="12"/>
  <c r="G21" i="12"/>
  <c r="F21" i="12"/>
  <c r="E21" i="12"/>
  <c r="D22" i="12"/>
  <c r="D21" i="12"/>
  <c r="D24" i="12"/>
  <c r="D23" i="12"/>
  <c r="G15" i="12"/>
  <c r="F15" i="12"/>
  <c r="E15" i="12"/>
  <c r="H14" i="12"/>
  <c r="G14" i="12"/>
  <c r="F14" i="12"/>
  <c r="E14" i="12"/>
  <c r="D15" i="12"/>
  <c r="D14" i="12"/>
  <c r="E10" i="12"/>
  <c r="F10" i="12" s="1"/>
  <c r="G10" i="12" s="1"/>
  <c r="H10" i="12" s="1"/>
  <c r="I10" i="12" s="1"/>
  <c r="J10" i="12" s="1"/>
  <c r="K10" i="12" s="1"/>
  <c r="L10" i="12" s="1"/>
  <c r="M10" i="12" s="1"/>
  <c r="N10" i="12" s="1"/>
  <c r="O10" i="12" s="1"/>
  <c r="P10" i="12" s="1"/>
  <c r="Q10" i="12" s="1"/>
  <c r="R10" i="12" s="1"/>
  <c r="H33" i="11"/>
  <c r="H46" i="12" s="1"/>
  <c r="G33" i="11"/>
  <c r="G46" i="12" s="1"/>
  <c r="F33" i="11"/>
  <c r="F46" i="12" s="1"/>
  <c r="E33" i="11"/>
  <c r="E46" i="12" s="1"/>
  <c r="H32" i="11"/>
  <c r="I32" i="11" s="1"/>
  <c r="I45" i="12" s="1"/>
  <c r="G32" i="11"/>
  <c r="G45" i="12" s="1"/>
  <c r="G47" i="12" s="1"/>
  <c r="F32" i="11"/>
  <c r="F34" i="11" s="1"/>
  <c r="E32" i="11"/>
  <c r="E34" i="11" s="1"/>
  <c r="H35" i="11"/>
  <c r="I35" i="11" s="1"/>
  <c r="G35" i="11"/>
  <c r="G48" i="12" s="1"/>
  <c r="F35" i="11"/>
  <c r="F48" i="12" s="1"/>
  <c r="E35" i="11"/>
  <c r="E48" i="12" s="1"/>
  <c r="D35" i="11"/>
  <c r="D48" i="12" s="1"/>
  <c r="D33" i="11"/>
  <c r="D46" i="12" s="1"/>
  <c r="D32" i="11"/>
  <c r="D45" i="12" s="1"/>
  <c r="H51" i="11"/>
  <c r="G51" i="11"/>
  <c r="F51" i="11"/>
  <c r="E51" i="11"/>
  <c r="H50" i="11"/>
  <c r="I50" i="11" s="1"/>
  <c r="G50" i="11"/>
  <c r="F50" i="11"/>
  <c r="E50" i="11"/>
  <c r="H49" i="11"/>
  <c r="I49" i="11" s="1"/>
  <c r="J49" i="11" s="1"/>
  <c r="G49" i="11"/>
  <c r="F49" i="11"/>
  <c r="E49" i="11"/>
  <c r="H48" i="11"/>
  <c r="I48" i="11" s="1"/>
  <c r="J48" i="11" s="1"/>
  <c r="K48" i="11" s="1"/>
  <c r="L48" i="11" s="1"/>
  <c r="M48" i="11" s="1"/>
  <c r="N48" i="11" s="1"/>
  <c r="O48" i="11" s="1"/>
  <c r="P48" i="11" s="1"/>
  <c r="Q48" i="11" s="1"/>
  <c r="R48" i="11" s="1"/>
  <c r="G48" i="11"/>
  <c r="F48" i="11"/>
  <c r="E48" i="11"/>
  <c r="H47" i="11"/>
  <c r="I47" i="11" s="1"/>
  <c r="J47" i="11" s="1"/>
  <c r="K47" i="11" s="1"/>
  <c r="G47" i="11"/>
  <c r="F47" i="11"/>
  <c r="E47" i="11"/>
  <c r="D51" i="11"/>
  <c r="D50" i="11"/>
  <c r="D49" i="11"/>
  <c r="D48" i="11"/>
  <c r="D47" i="11"/>
  <c r="H44" i="11"/>
  <c r="I44" i="11" s="1"/>
  <c r="J44" i="11" s="1"/>
  <c r="K44" i="11" s="1"/>
  <c r="L44" i="11" s="1"/>
  <c r="M44" i="11" s="1"/>
  <c r="N44" i="11" s="1"/>
  <c r="O44" i="11" s="1"/>
  <c r="P44" i="11" s="1"/>
  <c r="Q44" i="11" s="1"/>
  <c r="R44" i="11" s="1"/>
  <c r="G44" i="11"/>
  <c r="F44" i="11"/>
  <c r="E44" i="11"/>
  <c r="H43" i="11"/>
  <c r="I43" i="11" s="1"/>
  <c r="J43" i="11" s="1"/>
  <c r="K43" i="11" s="1"/>
  <c r="L43" i="11" s="1"/>
  <c r="M43" i="11" s="1"/>
  <c r="N43" i="11" s="1"/>
  <c r="O43" i="11" s="1"/>
  <c r="P43" i="11" s="1"/>
  <c r="Q43" i="11" s="1"/>
  <c r="R43" i="11" s="1"/>
  <c r="G43" i="11"/>
  <c r="F43" i="11"/>
  <c r="E43" i="11"/>
  <c r="H42" i="11"/>
  <c r="I42" i="11" s="1"/>
  <c r="J42" i="11" s="1"/>
  <c r="K42" i="11" s="1"/>
  <c r="L42" i="11" s="1"/>
  <c r="M42" i="11" s="1"/>
  <c r="N42" i="11" s="1"/>
  <c r="O42" i="11" s="1"/>
  <c r="P42" i="11" s="1"/>
  <c r="Q42" i="11" s="1"/>
  <c r="R42" i="11" s="1"/>
  <c r="G42" i="11"/>
  <c r="F42" i="11"/>
  <c r="E42" i="11"/>
  <c r="H41" i="11"/>
  <c r="I41" i="11" s="1"/>
  <c r="J41" i="11" s="1"/>
  <c r="K41" i="11" s="1"/>
  <c r="L41" i="11" s="1"/>
  <c r="M41" i="11" s="1"/>
  <c r="N41" i="11" s="1"/>
  <c r="O41" i="11" s="1"/>
  <c r="P41" i="11" s="1"/>
  <c r="Q41" i="11" s="1"/>
  <c r="R41" i="11" s="1"/>
  <c r="G41" i="11"/>
  <c r="F41" i="11"/>
  <c r="E41" i="11"/>
  <c r="H40" i="11"/>
  <c r="I40" i="11" s="1"/>
  <c r="J40" i="11" s="1"/>
  <c r="G40" i="11"/>
  <c r="F40" i="11"/>
  <c r="E40" i="11"/>
  <c r="D44" i="11"/>
  <c r="D43" i="11"/>
  <c r="D42" i="11"/>
  <c r="D41" i="11"/>
  <c r="D40" i="11"/>
  <c r="H28" i="11"/>
  <c r="I28" i="11" s="1"/>
  <c r="G28" i="11"/>
  <c r="G25" i="12" s="1"/>
  <c r="F28" i="11"/>
  <c r="F25" i="12" s="1"/>
  <c r="E28" i="11"/>
  <c r="E25" i="12" s="1"/>
  <c r="H27" i="11"/>
  <c r="I27" i="11" s="1"/>
  <c r="J27" i="11" s="1"/>
  <c r="K27" i="11" s="1"/>
  <c r="L27" i="11" s="1"/>
  <c r="M27" i="11" s="1"/>
  <c r="N27" i="11" s="1"/>
  <c r="O27" i="11" s="1"/>
  <c r="P27" i="11" s="1"/>
  <c r="Q27" i="11" s="1"/>
  <c r="R27" i="11" s="1"/>
  <c r="G27" i="11"/>
  <c r="F27" i="11"/>
  <c r="E27" i="11"/>
  <c r="H26" i="11"/>
  <c r="I26" i="11" s="1"/>
  <c r="J26" i="11" s="1"/>
  <c r="K26" i="11" s="1"/>
  <c r="L26" i="11" s="1"/>
  <c r="M26" i="11" s="1"/>
  <c r="N26" i="11" s="1"/>
  <c r="O26" i="11" s="1"/>
  <c r="P26" i="11" s="1"/>
  <c r="Q26" i="11" s="1"/>
  <c r="R26" i="11" s="1"/>
  <c r="G26" i="11"/>
  <c r="F26" i="11"/>
  <c r="E26" i="11"/>
  <c r="H25" i="11"/>
  <c r="I25" i="11" s="1"/>
  <c r="J25" i="11" s="1"/>
  <c r="K25" i="11" s="1"/>
  <c r="L25" i="11" s="1"/>
  <c r="M25" i="11" s="1"/>
  <c r="N25" i="11" s="1"/>
  <c r="O25" i="11" s="1"/>
  <c r="P25" i="11" s="1"/>
  <c r="Q25" i="11" s="1"/>
  <c r="R25" i="11" s="1"/>
  <c r="G25" i="11"/>
  <c r="F25" i="11"/>
  <c r="E25" i="11"/>
  <c r="H24" i="11"/>
  <c r="I24" i="11" s="1"/>
  <c r="J24" i="11" s="1"/>
  <c r="K24" i="11" s="1"/>
  <c r="L24" i="11" s="1"/>
  <c r="M24" i="11" s="1"/>
  <c r="N24" i="11" s="1"/>
  <c r="O24" i="11" s="1"/>
  <c r="P24" i="11" s="1"/>
  <c r="Q24" i="11" s="1"/>
  <c r="R24" i="11" s="1"/>
  <c r="G24" i="11"/>
  <c r="F24" i="11"/>
  <c r="E24" i="11"/>
  <c r="D28" i="11"/>
  <c r="D25" i="12" s="1"/>
  <c r="D27" i="11"/>
  <c r="D26" i="11"/>
  <c r="D25" i="11"/>
  <c r="D24" i="11"/>
  <c r="H21" i="11"/>
  <c r="I21" i="11" s="1"/>
  <c r="J21" i="11" s="1"/>
  <c r="K21" i="11" s="1"/>
  <c r="L21" i="11" s="1"/>
  <c r="M21" i="11" s="1"/>
  <c r="N21" i="11" s="1"/>
  <c r="O21" i="11" s="1"/>
  <c r="P21" i="11" s="1"/>
  <c r="Q21" i="11" s="1"/>
  <c r="R21" i="11" s="1"/>
  <c r="G21" i="11"/>
  <c r="F21" i="11"/>
  <c r="E21" i="11"/>
  <c r="D21" i="11"/>
  <c r="H20" i="11"/>
  <c r="I20" i="11" s="1"/>
  <c r="G20" i="11"/>
  <c r="F20" i="11"/>
  <c r="E20" i="11"/>
  <c r="D20" i="11"/>
  <c r="H19" i="11"/>
  <c r="I19" i="11" s="1"/>
  <c r="J19" i="11" s="1"/>
  <c r="K19" i="11" s="1"/>
  <c r="L19" i="11" s="1"/>
  <c r="M19" i="11" s="1"/>
  <c r="N19" i="11" s="1"/>
  <c r="O19" i="11" s="1"/>
  <c r="P19" i="11" s="1"/>
  <c r="Q19" i="11" s="1"/>
  <c r="R19" i="11" s="1"/>
  <c r="G19" i="11"/>
  <c r="F19" i="11"/>
  <c r="E19" i="11"/>
  <c r="D19" i="11"/>
  <c r="H18" i="11"/>
  <c r="I18" i="11" s="1"/>
  <c r="J18" i="11" s="1"/>
  <c r="G18" i="11"/>
  <c r="F18" i="11"/>
  <c r="E18" i="11"/>
  <c r="D18" i="11"/>
  <c r="H17" i="11"/>
  <c r="I17" i="11" s="1"/>
  <c r="J17" i="11" s="1"/>
  <c r="K17" i="11" s="1"/>
  <c r="L17" i="11" s="1"/>
  <c r="M17" i="11" s="1"/>
  <c r="N17" i="11" s="1"/>
  <c r="O17" i="11" s="1"/>
  <c r="P17" i="11" s="1"/>
  <c r="Q17" i="11" s="1"/>
  <c r="R17" i="11" s="1"/>
  <c r="G17" i="11"/>
  <c r="F17" i="11"/>
  <c r="E17" i="11"/>
  <c r="D17" i="11"/>
  <c r="H16" i="11"/>
  <c r="I16" i="11" s="1"/>
  <c r="J16" i="11" s="1"/>
  <c r="G16" i="11"/>
  <c r="F16" i="11"/>
  <c r="E16" i="11"/>
  <c r="D16" i="11"/>
  <c r="H15" i="11"/>
  <c r="I15" i="11" s="1"/>
  <c r="G15" i="11"/>
  <c r="F15" i="11"/>
  <c r="E15" i="11"/>
  <c r="D15" i="11"/>
  <c r="E10" i="11"/>
  <c r="F10" i="11" s="1"/>
  <c r="G10" i="11" s="1"/>
  <c r="H10" i="11" s="1"/>
  <c r="I10" i="11" s="1"/>
  <c r="J10" i="11" s="1"/>
  <c r="K10" i="11" s="1"/>
  <c r="L10" i="11" s="1"/>
  <c r="M10" i="11" s="1"/>
  <c r="N10" i="11" s="1"/>
  <c r="O10" i="11" s="1"/>
  <c r="P10" i="11" s="1"/>
  <c r="Q10" i="11" s="1"/>
  <c r="R10" i="11" s="1"/>
  <c r="H34" i="9"/>
  <c r="G34" i="9"/>
  <c r="F34" i="9"/>
  <c r="E34" i="9"/>
  <c r="D34" i="9"/>
  <c r="H13" i="9"/>
  <c r="G13" i="9"/>
  <c r="F13" i="9"/>
  <c r="E13" i="9"/>
  <c r="H30" i="9"/>
  <c r="G30" i="9"/>
  <c r="F30" i="9"/>
  <c r="E30" i="9"/>
  <c r="D30" i="9"/>
  <c r="O13" i="19" l="1"/>
  <c r="G39" i="12"/>
  <c r="G40" i="12" s="1"/>
  <c r="E39" i="12"/>
  <c r="G34" i="12"/>
  <c r="G35" i="12" s="1"/>
  <c r="H45" i="12"/>
  <c r="H47" i="12" s="1"/>
  <c r="D17" i="12"/>
  <c r="D34" i="12"/>
  <c r="E36" i="11"/>
  <c r="E16" i="12"/>
  <c r="F39" i="12"/>
  <c r="F40" i="12" s="1"/>
  <c r="E34" i="12"/>
  <c r="E35" i="12" s="1"/>
  <c r="H34" i="12"/>
  <c r="I51" i="11"/>
  <c r="J51" i="11" s="1"/>
  <c r="K51" i="11" s="1"/>
  <c r="L51" i="11" s="1"/>
  <c r="M51" i="11" s="1"/>
  <c r="N51" i="11" s="1"/>
  <c r="O51" i="11" s="1"/>
  <c r="P51" i="11" s="1"/>
  <c r="Q51" i="11" s="1"/>
  <c r="R51" i="11" s="1"/>
  <c r="E17" i="12"/>
  <c r="G16" i="12"/>
  <c r="F36" i="11"/>
  <c r="F17" i="12"/>
  <c r="F34" i="12"/>
  <c r="F35" i="12" s="1"/>
  <c r="E26" i="12"/>
  <c r="H48" i="12"/>
  <c r="F16" i="12"/>
  <c r="F18" i="12" s="1"/>
  <c r="D39" i="12"/>
  <c r="D16" i="12"/>
  <c r="G17" i="12"/>
  <c r="H39" i="12"/>
  <c r="H40" i="12" s="1"/>
  <c r="H17" i="12"/>
  <c r="J20" i="11"/>
  <c r="K20" i="11" s="1"/>
  <c r="L20" i="11" s="1"/>
  <c r="M20" i="11" s="1"/>
  <c r="N20" i="11" s="1"/>
  <c r="O20" i="11" s="1"/>
  <c r="P20" i="11" s="1"/>
  <c r="Q20" i="11" s="1"/>
  <c r="R20" i="11" s="1"/>
  <c r="I17" i="12"/>
  <c r="J28" i="11"/>
  <c r="K28" i="11" s="1"/>
  <c r="I25" i="12"/>
  <c r="G49" i="12"/>
  <c r="J15" i="11"/>
  <c r="K15" i="11" s="1"/>
  <c r="I16" i="12"/>
  <c r="I48" i="12"/>
  <c r="J35" i="11"/>
  <c r="J48" i="12" s="1"/>
  <c r="H34" i="11"/>
  <c r="H36" i="11" s="1"/>
  <c r="F26" i="12"/>
  <c r="H16" i="12"/>
  <c r="H18" i="12" s="1"/>
  <c r="D35" i="12"/>
  <c r="E45" i="12"/>
  <c r="E47" i="12" s="1"/>
  <c r="E49" i="12" s="1"/>
  <c r="D34" i="11"/>
  <c r="D36" i="11" s="1"/>
  <c r="G26" i="12"/>
  <c r="F45" i="12"/>
  <c r="F47" i="12" s="1"/>
  <c r="F49" i="12" s="1"/>
  <c r="G34" i="11"/>
  <c r="G36" i="11" s="1"/>
  <c r="D26" i="12"/>
  <c r="H25" i="12"/>
  <c r="H26" i="12" s="1"/>
  <c r="H35" i="12"/>
  <c r="D47" i="12"/>
  <c r="D49" i="12" s="1"/>
  <c r="J32" i="11"/>
  <c r="J50" i="11"/>
  <c r="K50" i="11" s="1"/>
  <c r="L50" i="11" s="1"/>
  <c r="M50" i="11" s="1"/>
  <c r="N50" i="11" s="1"/>
  <c r="O50" i="11" s="1"/>
  <c r="P50" i="11" s="1"/>
  <c r="Q50" i="11" s="1"/>
  <c r="R50" i="11" s="1"/>
  <c r="K49" i="11"/>
  <c r="I39" i="12"/>
  <c r="I40" i="12" s="1"/>
  <c r="K40" i="11"/>
  <c r="L40" i="11" s="1"/>
  <c r="M40" i="11" s="1"/>
  <c r="N40" i="11" s="1"/>
  <c r="O40" i="11" s="1"/>
  <c r="P40" i="11" s="1"/>
  <c r="Q40" i="11" s="1"/>
  <c r="J39" i="12"/>
  <c r="J40" i="12" s="1"/>
  <c r="K18" i="11"/>
  <c r="K16" i="11"/>
  <c r="L16" i="11" s="1"/>
  <c r="M16" i="11" s="1"/>
  <c r="N16" i="11" s="1"/>
  <c r="O16" i="11" s="1"/>
  <c r="P16" i="11" s="1"/>
  <c r="Q16" i="11" s="1"/>
  <c r="R16" i="11" s="1"/>
  <c r="L47" i="11"/>
  <c r="O22" i="12"/>
  <c r="P22" i="12" s="1"/>
  <c r="E26" i="13"/>
  <c r="F26" i="13"/>
  <c r="G26" i="13"/>
  <c r="H26" i="13"/>
  <c r="D26" i="13"/>
  <c r="D33" i="13"/>
  <c r="G42" i="12" l="1"/>
  <c r="G18" i="12"/>
  <c r="J25" i="12"/>
  <c r="H42" i="12"/>
  <c r="D18" i="12"/>
  <c r="D28" i="12" s="1"/>
  <c r="G28" i="12"/>
  <c r="F28" i="12"/>
  <c r="F42" i="12"/>
  <c r="F51" i="12" s="1"/>
  <c r="E18" i="12"/>
  <c r="E28" i="12" s="1"/>
  <c r="J34" i="12"/>
  <c r="H49" i="12"/>
  <c r="K16" i="12"/>
  <c r="I34" i="12"/>
  <c r="J16" i="12"/>
  <c r="H28" i="12"/>
  <c r="G51" i="12"/>
  <c r="L15" i="11"/>
  <c r="L16" i="12" s="1"/>
  <c r="J17" i="12"/>
  <c r="K35" i="11"/>
  <c r="R40" i="11"/>
  <c r="K39" i="12"/>
  <c r="K40" i="12" s="1"/>
  <c r="J45" i="12"/>
  <c r="K32" i="11"/>
  <c r="L49" i="11"/>
  <c r="K34" i="12"/>
  <c r="L28" i="11"/>
  <c r="K25" i="12"/>
  <c r="L18" i="11"/>
  <c r="K17" i="12"/>
  <c r="L39" i="12"/>
  <c r="L40" i="12" s="1"/>
  <c r="M47" i="11"/>
  <c r="H51" i="12" l="1"/>
  <c r="H53" i="12" s="1"/>
  <c r="G53" i="12"/>
  <c r="M15" i="11"/>
  <c r="M16" i="12" s="1"/>
  <c r="F53" i="12"/>
  <c r="K48" i="12"/>
  <c r="L35" i="11"/>
  <c r="K45" i="12"/>
  <c r="L32" i="11"/>
  <c r="M49" i="11"/>
  <c r="L34" i="12"/>
  <c r="M28" i="11"/>
  <c r="L25" i="12"/>
  <c r="M18" i="11"/>
  <c r="L17" i="12"/>
  <c r="N47" i="11"/>
  <c r="M39" i="12"/>
  <c r="M40" i="12" s="1"/>
  <c r="N15" i="11" l="1"/>
  <c r="N16" i="12" s="1"/>
  <c r="L48" i="12"/>
  <c r="M35" i="11"/>
  <c r="L45" i="12"/>
  <c r="M32" i="11"/>
  <c r="N49" i="11"/>
  <c r="M34" i="12"/>
  <c r="N28" i="11"/>
  <c r="M25" i="12"/>
  <c r="N18" i="11"/>
  <c r="M17" i="12"/>
  <c r="N39" i="12"/>
  <c r="N40" i="12" s="1"/>
  <c r="O47" i="11"/>
  <c r="O15" i="11" l="1"/>
  <c r="O16" i="12" s="1"/>
  <c r="N35" i="11"/>
  <c r="M48" i="12"/>
  <c r="M45" i="12"/>
  <c r="N32" i="11"/>
  <c r="N34" i="12"/>
  <c r="O49" i="11"/>
  <c r="N25" i="12"/>
  <c r="O28" i="11"/>
  <c r="O18" i="11"/>
  <c r="N17" i="12"/>
  <c r="P15" i="11"/>
  <c r="P47" i="11"/>
  <c r="O39" i="12"/>
  <c r="O40" i="12" s="1"/>
  <c r="N48" i="12" l="1"/>
  <c r="O35" i="11"/>
  <c r="N45" i="12"/>
  <c r="O32" i="11"/>
  <c r="O34" i="12"/>
  <c r="P49" i="11"/>
  <c r="P28" i="11"/>
  <c r="O25" i="12"/>
  <c r="P18" i="11"/>
  <c r="O17" i="12"/>
  <c r="Q15" i="11"/>
  <c r="P16" i="12"/>
  <c r="P39" i="12"/>
  <c r="P40" i="12" s="1"/>
  <c r="Q47" i="11"/>
  <c r="O48" i="12" l="1"/>
  <c r="P35" i="11"/>
  <c r="R15" i="11"/>
  <c r="R16" i="12" s="1"/>
  <c r="Q16" i="12"/>
  <c r="R47" i="11"/>
  <c r="R39" i="12" s="1"/>
  <c r="R40" i="12" s="1"/>
  <c r="Q39" i="12"/>
  <c r="Q40" i="12" s="1"/>
  <c r="P32" i="11"/>
  <c r="O45" i="12"/>
  <c r="P34" i="12"/>
  <c r="Q49" i="11"/>
  <c r="Q28" i="11"/>
  <c r="P25" i="12"/>
  <c r="Q18" i="11"/>
  <c r="P17" i="12"/>
  <c r="Q35" i="11" l="1"/>
  <c r="P48" i="12"/>
  <c r="R49" i="11"/>
  <c r="R34" i="12" s="1"/>
  <c r="Q34" i="12"/>
  <c r="Q32" i="11"/>
  <c r="P45" i="12"/>
  <c r="R28" i="11"/>
  <c r="R25" i="12" s="1"/>
  <c r="Q25" i="12"/>
  <c r="R18" i="11"/>
  <c r="R17" i="12" s="1"/>
  <c r="Q17" i="12"/>
  <c r="R35" i="11" l="1"/>
  <c r="R48" i="12" s="1"/>
  <c r="Q48" i="12"/>
  <c r="R32" i="11"/>
  <c r="R45" i="12" s="1"/>
  <c r="Q45" i="12"/>
  <c r="H62" i="4" l="1"/>
  <c r="H26" i="9" s="1"/>
  <c r="G62" i="4"/>
  <c r="G26" i="9" s="1"/>
  <c r="F62" i="4"/>
  <c r="F26" i="9" s="1"/>
  <c r="E62" i="4"/>
  <c r="E26" i="9" s="1"/>
  <c r="D62" i="4"/>
  <c r="D26" i="9" s="1"/>
  <c r="G60" i="4"/>
  <c r="E60" i="4"/>
  <c r="H58" i="4"/>
  <c r="H31" i="9" s="1"/>
  <c r="G58" i="4"/>
  <c r="G31" i="9" s="1"/>
  <c r="F58" i="4"/>
  <c r="F31" i="9" s="1"/>
  <c r="E58" i="4"/>
  <c r="E31" i="9" s="1"/>
  <c r="D58" i="4"/>
  <c r="D31" i="9" s="1"/>
  <c r="G27" i="9"/>
  <c r="H25" i="9"/>
  <c r="G25" i="9"/>
  <c r="F25" i="9"/>
  <c r="E25" i="9"/>
  <c r="D27" i="9"/>
  <c r="H51" i="4"/>
  <c r="F51" i="4"/>
  <c r="H49" i="4"/>
  <c r="H50" i="4" s="1"/>
  <c r="G49" i="4"/>
  <c r="G51" i="4" s="1"/>
  <c r="F49" i="4"/>
  <c r="F27" i="9" s="1"/>
  <c r="E49" i="4"/>
  <c r="E27" i="9" s="1"/>
  <c r="D25" i="9"/>
  <c r="I22" i="9"/>
  <c r="H22" i="9"/>
  <c r="G22" i="9"/>
  <c r="F22" i="9"/>
  <c r="E22" i="9"/>
  <c r="D22" i="9"/>
  <c r="H19" i="9"/>
  <c r="H18" i="9"/>
  <c r="E10" i="9"/>
  <c r="F10" i="9" s="1"/>
  <c r="G10" i="9" s="1"/>
  <c r="H10" i="9" s="1"/>
  <c r="I10" i="9" s="1"/>
  <c r="J10" i="9" s="1"/>
  <c r="K10" i="9" s="1"/>
  <c r="L10" i="9" s="1"/>
  <c r="M10" i="9" s="1"/>
  <c r="N10" i="9" s="1"/>
  <c r="O10" i="9" s="1"/>
  <c r="P10" i="9" s="1"/>
  <c r="Q10" i="9" s="1"/>
  <c r="R10" i="9" s="1"/>
  <c r="H31" i="8"/>
  <c r="G31" i="8"/>
  <c r="F31" i="8"/>
  <c r="E31" i="8"/>
  <c r="D31" i="8"/>
  <c r="H30" i="8"/>
  <c r="G30" i="8"/>
  <c r="F30" i="8"/>
  <c r="E30" i="8"/>
  <c r="H29" i="8"/>
  <c r="G29" i="8"/>
  <c r="F29" i="8"/>
  <c r="E29" i="8"/>
  <c r="H28" i="8"/>
  <c r="H32" i="8" s="1"/>
  <c r="H16" i="13" s="1"/>
  <c r="G28" i="8"/>
  <c r="G32" i="8" s="1"/>
  <c r="G16" i="13" s="1"/>
  <c r="F28" i="8"/>
  <c r="F32" i="8" s="1"/>
  <c r="F16" i="13" s="1"/>
  <c r="E28" i="8"/>
  <c r="E32" i="8" s="1"/>
  <c r="E16" i="13" s="1"/>
  <c r="D30" i="8"/>
  <c r="D29" i="8"/>
  <c r="D28" i="8"/>
  <c r="D32" i="8" s="1"/>
  <c r="D16" i="13" s="1"/>
  <c r="H17" i="8"/>
  <c r="G17" i="8"/>
  <c r="F17" i="8"/>
  <c r="E17" i="8"/>
  <c r="D17" i="8"/>
  <c r="F23" i="8"/>
  <c r="G21" i="8"/>
  <c r="H16" i="8"/>
  <c r="G16" i="8"/>
  <c r="F16" i="8"/>
  <c r="E16" i="8"/>
  <c r="H15" i="8"/>
  <c r="G15" i="8"/>
  <c r="F15" i="8"/>
  <c r="E15" i="8"/>
  <c r="H14" i="8"/>
  <c r="G14" i="8"/>
  <c r="F14" i="8"/>
  <c r="E14" i="8"/>
  <c r="D16" i="8"/>
  <c r="D15" i="8"/>
  <c r="D14" i="8"/>
  <c r="E12" i="8"/>
  <c r="F12" i="8" s="1"/>
  <c r="G12" i="8" s="1"/>
  <c r="H12" i="8" s="1"/>
  <c r="I12" i="8" s="1"/>
  <c r="J12" i="8" s="1"/>
  <c r="K12" i="8" s="1"/>
  <c r="L12" i="8" s="1"/>
  <c r="M12" i="8" s="1"/>
  <c r="N12" i="8" s="1"/>
  <c r="O12" i="8" s="1"/>
  <c r="P12" i="8" s="1"/>
  <c r="Q12" i="8" s="1"/>
  <c r="R12" i="8" s="1"/>
  <c r="F10" i="8"/>
  <c r="G10" i="8" s="1"/>
  <c r="H10" i="8" s="1"/>
  <c r="I10" i="8" s="1"/>
  <c r="J10" i="8" s="1"/>
  <c r="K10" i="8" s="1"/>
  <c r="L10" i="8" s="1"/>
  <c r="M10" i="8" s="1"/>
  <c r="N10" i="8" s="1"/>
  <c r="O10" i="8" s="1"/>
  <c r="P10" i="8" s="1"/>
  <c r="Q10" i="8" s="1"/>
  <c r="R10" i="8" s="1"/>
  <c r="E10" i="8"/>
  <c r="G21" i="7"/>
  <c r="G26" i="7" s="1"/>
  <c r="H24" i="7"/>
  <c r="G24" i="7"/>
  <c r="F24" i="7"/>
  <c r="E24" i="7"/>
  <c r="H23" i="7"/>
  <c r="I21" i="7" s="1"/>
  <c r="G23" i="7"/>
  <c r="G22" i="7" s="1"/>
  <c r="F23" i="7"/>
  <c r="E23" i="7"/>
  <c r="D23" i="7"/>
  <c r="D24" i="7"/>
  <c r="E30" i="7"/>
  <c r="H16" i="7"/>
  <c r="G16" i="7"/>
  <c r="F16" i="7"/>
  <c r="E16" i="7"/>
  <c r="F14" i="7"/>
  <c r="F28" i="7" s="1"/>
  <c r="H17" i="7"/>
  <c r="G17" i="7"/>
  <c r="G30" i="7" s="1"/>
  <c r="F17" i="7"/>
  <c r="F30" i="7" s="1"/>
  <c r="E17" i="7"/>
  <c r="D17" i="7"/>
  <c r="E10" i="7"/>
  <c r="F10" i="7" s="1"/>
  <c r="G10" i="7" s="1"/>
  <c r="H10" i="7" s="1"/>
  <c r="I10" i="7" s="1"/>
  <c r="J10" i="7" s="1"/>
  <c r="K10" i="7" s="1"/>
  <c r="L10" i="7" s="1"/>
  <c r="M10" i="7" s="1"/>
  <c r="N10" i="7" s="1"/>
  <c r="O10" i="7" s="1"/>
  <c r="P10" i="7" s="1"/>
  <c r="Q10" i="7" s="1"/>
  <c r="R10" i="7" s="1"/>
  <c r="H35" i="6"/>
  <c r="G35" i="6"/>
  <c r="F35" i="6"/>
  <c r="E35" i="6"/>
  <c r="D35" i="6"/>
  <c r="H32" i="6"/>
  <c r="G32" i="6"/>
  <c r="E30" i="6"/>
  <c r="H29" i="6"/>
  <c r="G29" i="6"/>
  <c r="G19" i="9" s="1"/>
  <c r="F29" i="6"/>
  <c r="F32" i="6" s="1"/>
  <c r="E29" i="6"/>
  <c r="E32" i="6" s="1"/>
  <c r="H27" i="6"/>
  <c r="G27" i="6"/>
  <c r="G18" i="9" s="1"/>
  <c r="F27" i="6"/>
  <c r="F18" i="9" s="1"/>
  <c r="E27" i="6"/>
  <c r="E28" i="6" s="1"/>
  <c r="D29" i="6"/>
  <c r="D19" i="9" s="1"/>
  <c r="D27" i="6"/>
  <c r="D18" i="9" s="1"/>
  <c r="P19" i="6"/>
  <c r="Q19" i="6" s="1"/>
  <c r="R19" i="6" s="1"/>
  <c r="Q17" i="6"/>
  <c r="R17" i="6" s="1"/>
  <c r="P17" i="6"/>
  <c r="O19" i="6"/>
  <c r="O17" i="6"/>
  <c r="N19" i="6"/>
  <c r="N17" i="6"/>
  <c r="H21" i="6"/>
  <c r="E19" i="6"/>
  <c r="N22" i="4"/>
  <c r="N20" i="4"/>
  <c r="N21" i="4"/>
  <c r="H18" i="6"/>
  <c r="G18" i="6"/>
  <c r="F18" i="6"/>
  <c r="E18" i="6"/>
  <c r="D18" i="6"/>
  <c r="H16" i="6"/>
  <c r="G16" i="6"/>
  <c r="G22" i="6" s="1"/>
  <c r="G14" i="9" s="1"/>
  <c r="F16" i="6"/>
  <c r="F22" i="6" s="1"/>
  <c r="F21" i="8" s="1"/>
  <c r="E16" i="6"/>
  <c r="E22" i="6" s="1"/>
  <c r="E23" i="8" s="1"/>
  <c r="D16" i="6"/>
  <c r="H13" i="6"/>
  <c r="H30" i="6" s="1"/>
  <c r="G13" i="6"/>
  <c r="G21" i="6" s="1"/>
  <c r="F13" i="6"/>
  <c r="F17" i="6" s="1"/>
  <c r="E13" i="6"/>
  <c r="E22" i="8" s="1"/>
  <c r="E10" i="6"/>
  <c r="F10" i="6" s="1"/>
  <c r="G10" i="6" s="1"/>
  <c r="H10" i="6" s="1"/>
  <c r="I10" i="6" s="1"/>
  <c r="J10" i="6" s="1"/>
  <c r="K10" i="6" s="1"/>
  <c r="L10" i="6" s="1"/>
  <c r="M10" i="6" s="1"/>
  <c r="N10" i="6" s="1"/>
  <c r="O10" i="6" s="1"/>
  <c r="P10" i="6" s="1"/>
  <c r="Q10" i="6" s="1"/>
  <c r="R10" i="6" s="1"/>
  <c r="C11" i="5"/>
  <c r="D32" i="6" l="1"/>
  <c r="H33" i="6"/>
  <c r="G23" i="8"/>
  <c r="E14" i="9"/>
  <c r="E15" i="9" s="1"/>
  <c r="E16" i="9" s="1"/>
  <c r="E18" i="9"/>
  <c r="E19" i="9"/>
  <c r="E21" i="8"/>
  <c r="F22" i="8"/>
  <c r="F24" i="8" s="1"/>
  <c r="F14" i="9"/>
  <c r="F15" i="9" s="1"/>
  <c r="F16" i="9" s="1"/>
  <c r="F19" i="9"/>
  <c r="D22" i="6"/>
  <c r="H22" i="6"/>
  <c r="H17" i="6"/>
  <c r="F19" i="6"/>
  <c r="F24" i="6" s="1"/>
  <c r="F25" i="6" s="1"/>
  <c r="E21" i="6"/>
  <c r="F28" i="6"/>
  <c r="F30" i="6"/>
  <c r="E33" i="6"/>
  <c r="G33" i="6"/>
  <c r="G22" i="8"/>
  <c r="G24" i="8" s="1"/>
  <c r="F50" i="4"/>
  <c r="E51" i="4"/>
  <c r="H27" i="9"/>
  <c r="G59" i="4"/>
  <c r="F60" i="4"/>
  <c r="I62" i="4"/>
  <c r="G17" i="6"/>
  <c r="E50" i="4"/>
  <c r="I54" i="4" s="1"/>
  <c r="E17" i="6"/>
  <c r="G19" i="6"/>
  <c r="F21" i="6"/>
  <c r="G28" i="6"/>
  <c r="G30" i="6"/>
  <c r="F33" i="6"/>
  <c r="H22" i="8"/>
  <c r="G50" i="4"/>
  <c r="H59" i="4"/>
  <c r="G24" i="6"/>
  <c r="G25" i="6" s="1"/>
  <c r="F59" i="4"/>
  <c r="H19" i="6"/>
  <c r="H28" i="6"/>
  <c r="E24" i="8"/>
  <c r="E59" i="4"/>
  <c r="H60" i="4"/>
  <c r="F21" i="7"/>
  <c r="F26" i="7" s="1"/>
  <c r="E38" i="12"/>
  <c r="E40" i="12" s="1"/>
  <c r="E42" i="12" s="1"/>
  <c r="E51" i="12" s="1"/>
  <c r="E53" i="12" s="1"/>
  <c r="E21" i="7"/>
  <c r="E26" i="7" s="1"/>
  <c r="D38" i="12"/>
  <c r="D40" i="12" s="1"/>
  <c r="D42" i="12" s="1"/>
  <c r="D51" i="12" s="1"/>
  <c r="D53" i="12" s="1"/>
  <c r="G15" i="9"/>
  <c r="F20" i="9"/>
  <c r="F22" i="7"/>
  <c r="H15" i="7"/>
  <c r="I23" i="7"/>
  <c r="J21" i="7" s="1"/>
  <c r="F15" i="7"/>
  <c r="G14" i="7"/>
  <c r="G28" i="7" s="1"/>
  <c r="G15" i="7"/>
  <c r="H21" i="7"/>
  <c r="H26" i="7" s="1"/>
  <c r="I26" i="7" s="1"/>
  <c r="H22" i="7"/>
  <c r="H14" i="7"/>
  <c r="H28" i="7" s="1"/>
  <c r="I14" i="7"/>
  <c r="E22" i="7"/>
  <c r="E14" i="7"/>
  <c r="E28" i="7" s="1"/>
  <c r="I28" i="7" s="1"/>
  <c r="I16" i="7" s="1"/>
  <c r="H30" i="7"/>
  <c r="I30" i="7" s="1"/>
  <c r="E24" i="6"/>
  <c r="E25" i="6" s="1"/>
  <c r="J46" i="4"/>
  <c r="K46" i="4" s="1"/>
  <c r="L46" i="4" s="1"/>
  <c r="M46" i="4" s="1"/>
  <c r="N46" i="4" s="1"/>
  <c r="J45" i="4"/>
  <c r="K45" i="4" s="1"/>
  <c r="L45" i="4" s="1"/>
  <c r="M45" i="4" s="1"/>
  <c r="N45" i="4" s="1"/>
  <c r="J44" i="4"/>
  <c r="K44" i="4" s="1"/>
  <c r="L44" i="4" s="1"/>
  <c r="M44" i="4" s="1"/>
  <c r="J38" i="4"/>
  <c r="K38" i="4" s="1"/>
  <c r="L38" i="4" s="1"/>
  <c r="M38" i="4" s="1"/>
  <c r="J37" i="4"/>
  <c r="J36" i="4"/>
  <c r="K36" i="4" s="1"/>
  <c r="L36" i="4" s="1"/>
  <c r="M36" i="4" s="1"/>
  <c r="J30" i="4"/>
  <c r="K30" i="4" s="1"/>
  <c r="L30" i="4" s="1"/>
  <c r="M30" i="4" s="1"/>
  <c r="J29" i="4"/>
  <c r="J28" i="4"/>
  <c r="K28" i="4" s="1"/>
  <c r="L28" i="4" s="1"/>
  <c r="M28" i="4" s="1"/>
  <c r="D13" i="4"/>
  <c r="E20" i="9" l="1"/>
  <c r="D14" i="9"/>
  <c r="D23" i="8"/>
  <c r="I23" i="8" s="1"/>
  <c r="J23" i="8" s="1"/>
  <c r="K23" i="8" s="1"/>
  <c r="L23" i="8" s="1"/>
  <c r="M23" i="8" s="1"/>
  <c r="N23" i="8" s="1"/>
  <c r="O23" i="8" s="1"/>
  <c r="P23" i="8" s="1"/>
  <c r="Q23" i="8" s="1"/>
  <c r="R23" i="8" s="1"/>
  <c r="D21" i="8"/>
  <c r="I21" i="8" s="1"/>
  <c r="J21" i="8" s="1"/>
  <c r="K21" i="8" s="1"/>
  <c r="L21" i="8" s="1"/>
  <c r="M21" i="8" s="1"/>
  <c r="N21" i="8" s="1"/>
  <c r="O21" i="8" s="1"/>
  <c r="P21" i="8" s="1"/>
  <c r="Q21" i="8" s="1"/>
  <c r="R21" i="8" s="1"/>
  <c r="H23" i="8"/>
  <c r="H14" i="9"/>
  <c r="H15" i="9" s="1"/>
  <c r="H21" i="8"/>
  <c r="H24" i="8"/>
  <c r="H24" i="6"/>
  <c r="H25" i="6" s="1"/>
  <c r="I53" i="4"/>
  <c r="J53" i="4" s="1"/>
  <c r="K53" i="4" s="1"/>
  <c r="L53" i="4" s="1"/>
  <c r="M53" i="4" s="1"/>
  <c r="N53" i="4" s="1"/>
  <c r="O53" i="4" s="1"/>
  <c r="P53" i="4" s="1"/>
  <c r="Q53" i="4" s="1"/>
  <c r="R53" i="4" s="1"/>
  <c r="J54" i="4"/>
  <c r="K54" i="4" s="1"/>
  <c r="L54" i="4" s="1"/>
  <c r="M54" i="4" s="1"/>
  <c r="N54" i="4" s="1"/>
  <c r="O54" i="4" s="1"/>
  <c r="P54" i="4" s="1"/>
  <c r="Q54" i="4" s="1"/>
  <c r="R54" i="4" s="1"/>
  <c r="I55" i="4"/>
  <c r="J55" i="4" s="1"/>
  <c r="K55" i="4" s="1"/>
  <c r="L55" i="4" s="1"/>
  <c r="M55" i="4" s="1"/>
  <c r="N55" i="4" s="1"/>
  <c r="O55" i="4" s="1"/>
  <c r="P55" i="4" s="1"/>
  <c r="Q55" i="4" s="1"/>
  <c r="R55" i="4" s="1"/>
  <c r="D13" i="9"/>
  <c r="D13" i="6"/>
  <c r="D51" i="4"/>
  <c r="D30" i="7"/>
  <c r="D60" i="4"/>
  <c r="I60" i="4" s="1"/>
  <c r="J60" i="4" s="1"/>
  <c r="K60" i="4" s="1"/>
  <c r="L60" i="4" s="1"/>
  <c r="M60" i="4" s="1"/>
  <c r="N60" i="4" s="1"/>
  <c r="O60" i="4" s="1"/>
  <c r="P60" i="4" s="1"/>
  <c r="Q60" i="4" s="1"/>
  <c r="R60" i="4" s="1"/>
  <c r="I26" i="9"/>
  <c r="J62" i="4"/>
  <c r="I50" i="4" a="1"/>
  <c r="L50" i="4" s="1"/>
  <c r="N44" i="4"/>
  <c r="O44" i="4" s="1"/>
  <c r="P44" i="4" s="1"/>
  <c r="Q44" i="4" s="1"/>
  <c r="R44" i="4" s="1"/>
  <c r="N36" i="4"/>
  <c r="O36" i="4" s="1"/>
  <c r="P36" i="4" s="1"/>
  <c r="Q36" i="4" s="1"/>
  <c r="R36" i="4" s="1"/>
  <c r="N38" i="4"/>
  <c r="O38" i="4" s="1"/>
  <c r="P38" i="4" s="1"/>
  <c r="Q38" i="4" s="1"/>
  <c r="R38" i="4" s="1"/>
  <c r="N30" i="4"/>
  <c r="O30" i="4" s="1"/>
  <c r="P30" i="4" s="1"/>
  <c r="Q30" i="4" s="1"/>
  <c r="R30" i="4" s="1"/>
  <c r="N28" i="4"/>
  <c r="O28" i="4" s="1"/>
  <c r="P28" i="4" s="1"/>
  <c r="Q28" i="4" s="1"/>
  <c r="R28" i="4" s="1"/>
  <c r="E21" i="9"/>
  <c r="E23" i="9"/>
  <c r="E28" i="9" s="1"/>
  <c r="E32" i="9" s="1"/>
  <c r="E35" i="9" s="1"/>
  <c r="F21" i="9"/>
  <c r="F23" i="9"/>
  <c r="F28" i="9" s="1"/>
  <c r="F32" i="9" s="1"/>
  <c r="F35" i="9" s="1"/>
  <c r="H16" i="9"/>
  <c r="H20" i="9"/>
  <c r="G16" i="9"/>
  <c r="G20" i="9"/>
  <c r="J26" i="7"/>
  <c r="K26" i="7" s="1"/>
  <c r="I24" i="7"/>
  <c r="J28" i="7"/>
  <c r="J23" i="7"/>
  <c r="K21" i="7" s="1"/>
  <c r="K23" i="7" s="1"/>
  <c r="L21" i="7" s="1"/>
  <c r="L23" i="7" s="1"/>
  <c r="M21" i="7" s="1"/>
  <c r="M23" i="7" s="1"/>
  <c r="N21" i="7" s="1"/>
  <c r="N23" i="7" s="1"/>
  <c r="O21" i="7" s="1"/>
  <c r="O23" i="7" s="1"/>
  <c r="P21" i="7" s="1"/>
  <c r="P23" i="7" s="1"/>
  <c r="Q21" i="7" s="1"/>
  <c r="Q23" i="7" s="1"/>
  <c r="R21" i="7" s="1"/>
  <c r="R23" i="7" s="1"/>
  <c r="J24" i="7"/>
  <c r="E15" i="7"/>
  <c r="J30" i="7"/>
  <c r="K28" i="7"/>
  <c r="O46" i="4"/>
  <c r="P46" i="4" s="1"/>
  <c r="Q46" i="4" s="1"/>
  <c r="R46" i="4" s="1"/>
  <c r="K37" i="4"/>
  <c r="L37" i="4" s="1"/>
  <c r="M37" i="4" s="1"/>
  <c r="K29" i="4"/>
  <c r="L29" i="4" s="1"/>
  <c r="M29" i="4" s="1"/>
  <c r="N29" i="4" s="1"/>
  <c r="H41" i="4"/>
  <c r="G41" i="4"/>
  <c r="F41" i="4"/>
  <c r="E41" i="4"/>
  <c r="H33" i="4"/>
  <c r="G33" i="4"/>
  <c r="F33" i="4"/>
  <c r="E33" i="4"/>
  <c r="H25" i="4"/>
  <c r="G25" i="4"/>
  <c r="F25" i="4"/>
  <c r="E25" i="4"/>
  <c r="H17" i="4"/>
  <c r="G17" i="4"/>
  <c r="F17" i="4"/>
  <c r="E17" i="4"/>
  <c r="H42" i="4"/>
  <c r="G42" i="4"/>
  <c r="F42" i="4"/>
  <c r="E42" i="4"/>
  <c r="H34" i="4"/>
  <c r="G34" i="4"/>
  <c r="F34" i="4"/>
  <c r="E34" i="4"/>
  <c r="H26" i="4"/>
  <c r="G26" i="4"/>
  <c r="F26" i="4"/>
  <c r="E26" i="4"/>
  <c r="H18" i="4"/>
  <c r="G18" i="4"/>
  <c r="F18" i="4"/>
  <c r="E18" i="4"/>
  <c r="H14" i="4"/>
  <c r="G14" i="4"/>
  <c r="F14" i="4"/>
  <c r="E14" i="4"/>
  <c r="E10" i="4"/>
  <c r="F10" i="4" s="1"/>
  <c r="G10" i="4" s="1"/>
  <c r="H10" i="4" s="1"/>
  <c r="I10" i="4" s="1"/>
  <c r="J10" i="4" s="1"/>
  <c r="K10" i="4" s="1"/>
  <c r="L10" i="4" s="1"/>
  <c r="M10" i="4" s="1"/>
  <c r="N10" i="4" s="1"/>
  <c r="O10" i="4" s="1"/>
  <c r="P10" i="4" s="1"/>
  <c r="Q10" i="4" s="1"/>
  <c r="R10" i="4" s="1"/>
  <c r="H54" i="1"/>
  <c r="G54" i="1"/>
  <c r="F54" i="1"/>
  <c r="E54" i="1"/>
  <c r="D54" i="1"/>
  <c r="E47" i="1"/>
  <c r="F47" i="1" s="1"/>
  <c r="G47" i="1" s="1"/>
  <c r="H47" i="1" s="1"/>
  <c r="H42" i="1"/>
  <c r="G42" i="1"/>
  <c r="F42" i="1"/>
  <c r="G44" i="1"/>
  <c r="G40" i="1"/>
  <c r="F40" i="1"/>
  <c r="E40" i="1"/>
  <c r="E42" i="1" s="1"/>
  <c r="E44" i="1" s="1"/>
  <c r="D40" i="1"/>
  <c r="D42" i="1" s="1"/>
  <c r="D44" i="1" s="1"/>
  <c r="H44" i="1"/>
  <c r="H40" i="1"/>
  <c r="E35" i="1"/>
  <c r="F35" i="1" s="1"/>
  <c r="G35" i="1" s="1"/>
  <c r="H35" i="1" s="1"/>
  <c r="H41" i="3"/>
  <c r="G41" i="3"/>
  <c r="F41" i="3"/>
  <c r="E41" i="3"/>
  <c r="H62" i="3"/>
  <c r="G62" i="3"/>
  <c r="F62" i="3"/>
  <c r="H73" i="3"/>
  <c r="G73" i="3"/>
  <c r="F73" i="3"/>
  <c r="E73" i="3"/>
  <c r="E62" i="3"/>
  <c r="D73" i="3"/>
  <c r="D62" i="3"/>
  <c r="H22" i="3"/>
  <c r="G22" i="3"/>
  <c r="F22" i="3"/>
  <c r="E22" i="3"/>
  <c r="D22" i="3"/>
  <c r="H16" i="3"/>
  <c r="G16" i="3"/>
  <c r="F16" i="3"/>
  <c r="E16" i="3"/>
  <c r="H15" i="3"/>
  <c r="G15" i="3"/>
  <c r="F15" i="3"/>
  <c r="E15" i="3"/>
  <c r="E26" i="3" s="1"/>
  <c r="D41" i="3"/>
  <c r="D15" i="3"/>
  <c r="D16" i="3"/>
  <c r="H13" i="3"/>
  <c r="H13" i="13" s="1"/>
  <c r="G13" i="3"/>
  <c r="G13" i="13" s="1"/>
  <c r="F13" i="3"/>
  <c r="F13" i="13" s="1"/>
  <c r="E13" i="3"/>
  <c r="E13" i="13" s="1"/>
  <c r="D13" i="3"/>
  <c r="D13" i="13" s="1"/>
  <c r="E10" i="3"/>
  <c r="F10" i="3" s="1"/>
  <c r="G10" i="3" s="1"/>
  <c r="H10" i="3" s="1"/>
  <c r="D15" i="9" l="1"/>
  <c r="J26" i="9"/>
  <c r="K62" i="4"/>
  <c r="D30" i="6"/>
  <c r="I30" i="6" s="1"/>
  <c r="J30" i="6" s="1"/>
  <c r="K30" i="6" s="1"/>
  <c r="L30" i="6" s="1"/>
  <c r="M30" i="6" s="1"/>
  <c r="N30" i="6" s="1"/>
  <c r="O30" i="6" s="1"/>
  <c r="P30" i="6" s="1"/>
  <c r="Q30" i="6" s="1"/>
  <c r="R30" i="6" s="1"/>
  <c r="D19" i="6"/>
  <c r="D28" i="6"/>
  <c r="I28" i="6" s="1"/>
  <c r="J28" i="6" s="1"/>
  <c r="K28" i="6" s="1"/>
  <c r="L28" i="6" s="1"/>
  <c r="M28" i="6" s="1"/>
  <c r="N28" i="6" s="1"/>
  <c r="O28" i="6" s="1"/>
  <c r="P28" i="6" s="1"/>
  <c r="Q28" i="6" s="1"/>
  <c r="R28" i="6" s="1"/>
  <c r="D24" i="6"/>
  <c r="D25" i="6" s="1"/>
  <c r="D21" i="6"/>
  <c r="D22" i="8"/>
  <c r="D17" i="6"/>
  <c r="D33" i="6"/>
  <c r="O50" i="4"/>
  <c r="R50" i="4"/>
  <c r="J50" i="4"/>
  <c r="Q50" i="4"/>
  <c r="I50" i="4"/>
  <c r="I49" i="4" s="1"/>
  <c r="I27" i="9" s="1"/>
  <c r="I24" i="13" s="1"/>
  <c r="P50" i="4"/>
  <c r="M50" i="4"/>
  <c r="K50" i="4"/>
  <c r="N50" i="4"/>
  <c r="I32" i="13"/>
  <c r="I25" i="9"/>
  <c r="J32" i="13"/>
  <c r="J25" i="9"/>
  <c r="N37" i="4"/>
  <c r="E42" i="3"/>
  <c r="E44" i="3" s="1"/>
  <c r="E75" i="3" s="1"/>
  <c r="E15" i="13"/>
  <c r="E17" i="13"/>
  <c r="E35" i="13" s="1"/>
  <c r="E24" i="9"/>
  <c r="E29" i="9"/>
  <c r="G21" i="9"/>
  <c r="G23" i="9"/>
  <c r="G28" i="9" s="1"/>
  <c r="G32" i="9" s="1"/>
  <c r="G35" i="9" s="1"/>
  <c r="F29" i="9"/>
  <c r="F24" i="9"/>
  <c r="H21" i="9"/>
  <c r="H23" i="9"/>
  <c r="H28" i="9" s="1"/>
  <c r="H32" i="9" s="1"/>
  <c r="H35" i="9" s="1"/>
  <c r="I35" i="9" s="1"/>
  <c r="J35" i="9" s="1"/>
  <c r="K35" i="9" s="1"/>
  <c r="L35" i="9" s="1"/>
  <c r="M35" i="9" s="1"/>
  <c r="N35" i="9" s="1"/>
  <c r="O35" i="9" s="1"/>
  <c r="P35" i="9" s="1"/>
  <c r="Q35" i="9" s="1"/>
  <c r="R35" i="9" s="1"/>
  <c r="M28" i="7"/>
  <c r="L28" i="7"/>
  <c r="K30" i="7"/>
  <c r="N28" i="7"/>
  <c r="O28" i="7" s="1"/>
  <c r="P28" i="7" s="1"/>
  <c r="Q28" i="7" s="1"/>
  <c r="K24" i="7"/>
  <c r="L26" i="7"/>
  <c r="O45" i="4"/>
  <c r="P45" i="4" s="1"/>
  <c r="Q45" i="4" s="1"/>
  <c r="R45" i="4" s="1"/>
  <c r="O29" i="4"/>
  <c r="P29" i="4" s="1"/>
  <c r="Q29" i="4" s="1"/>
  <c r="R29" i="4" s="1"/>
  <c r="J22" i="4"/>
  <c r="K22" i="4" s="1"/>
  <c r="L22" i="4" s="1"/>
  <c r="M22" i="4" s="1"/>
  <c r="O22" i="4" s="1"/>
  <c r="P22" i="4" s="1"/>
  <c r="Q22" i="4" s="1"/>
  <c r="R22" i="4" s="1"/>
  <c r="J21" i="4"/>
  <c r="J20" i="4"/>
  <c r="K20" i="4" s="1"/>
  <c r="L20" i="4" s="1"/>
  <c r="M20" i="4" s="1"/>
  <c r="O20" i="4" s="1"/>
  <c r="P20" i="4" s="1"/>
  <c r="Q20" i="4" s="1"/>
  <c r="R20" i="4" s="1"/>
  <c r="D34" i="4"/>
  <c r="D42" i="4"/>
  <c r="D18" i="4"/>
  <c r="D26" i="4"/>
  <c r="F44" i="1"/>
  <c r="G26" i="3"/>
  <c r="G15" i="13" s="1"/>
  <c r="G17" i="13" s="1"/>
  <c r="G35" i="13" s="1"/>
  <c r="F26" i="3"/>
  <c r="H26" i="3"/>
  <c r="D26" i="3"/>
  <c r="G42" i="3"/>
  <c r="G44" i="3" s="1"/>
  <c r="G75" i="3" s="1"/>
  <c r="I15" i="13" l="1"/>
  <c r="D16" i="9"/>
  <c r="D20" i="9"/>
  <c r="I22" i="8"/>
  <c r="D24" i="8"/>
  <c r="L62" i="4"/>
  <c r="K26" i="9"/>
  <c r="J49" i="4"/>
  <c r="J27" i="9" s="1"/>
  <c r="K32" i="13"/>
  <c r="K25" i="9"/>
  <c r="O37" i="4"/>
  <c r="P37" i="4" s="1"/>
  <c r="Q37" i="4" s="1"/>
  <c r="R37" i="4" s="1"/>
  <c r="F42" i="3"/>
  <c r="F44" i="3" s="1"/>
  <c r="F75" i="3" s="1"/>
  <c r="F15" i="13"/>
  <c r="F17" i="13" s="1"/>
  <c r="F35" i="13" s="1"/>
  <c r="H42" i="3"/>
  <c r="H44" i="3" s="1"/>
  <c r="H75" i="3" s="1"/>
  <c r="H15" i="13"/>
  <c r="H17" i="13" s="1"/>
  <c r="H35" i="13" s="1"/>
  <c r="D42" i="3"/>
  <c r="D44" i="3" s="1"/>
  <c r="D75" i="3" s="1"/>
  <c r="D79" i="3" s="1"/>
  <c r="D81" i="3" s="1"/>
  <c r="D15" i="13"/>
  <c r="D17" i="13" s="1"/>
  <c r="D35" i="13" s="1"/>
  <c r="G29" i="9"/>
  <c r="G24" i="9"/>
  <c r="H24" i="9"/>
  <c r="H29" i="9"/>
  <c r="M26" i="7"/>
  <c r="L24" i="7"/>
  <c r="L30" i="7"/>
  <c r="R28" i="7"/>
  <c r="I25" i="4" a="1"/>
  <c r="L25" i="4" s="1"/>
  <c r="I41" i="4" a="1"/>
  <c r="K21" i="4"/>
  <c r="L21" i="4" s="1"/>
  <c r="M21" i="4" s="1"/>
  <c r="O21" i="4" s="1"/>
  <c r="P21" i="4" s="1"/>
  <c r="Q21" i="4" s="1"/>
  <c r="R21" i="4" s="1"/>
  <c r="I33" i="4" l="1" a="1"/>
  <c r="N33" i="4" s="1"/>
  <c r="K49" i="4"/>
  <c r="L49" i="4" s="1"/>
  <c r="L27" i="9" s="1"/>
  <c r="D23" i="9"/>
  <c r="D21" i="9"/>
  <c r="M62" i="4"/>
  <c r="L26" i="9"/>
  <c r="J22" i="8"/>
  <c r="I24" i="8"/>
  <c r="J24" i="13"/>
  <c r="J15" i="13"/>
  <c r="L32" i="13"/>
  <c r="L25" i="9"/>
  <c r="M49" i="4"/>
  <c r="E36" i="13"/>
  <c r="D39" i="13"/>
  <c r="E77" i="3"/>
  <c r="F77" i="3" s="1"/>
  <c r="N26" i="7"/>
  <c r="M24" i="7"/>
  <c r="M30" i="7"/>
  <c r="P25" i="4"/>
  <c r="O25" i="4"/>
  <c r="N25" i="4"/>
  <c r="J25" i="4"/>
  <c r="Q25" i="4"/>
  <c r="R25" i="4"/>
  <c r="K25" i="4"/>
  <c r="I25" i="4"/>
  <c r="I24" i="4" s="1"/>
  <c r="J24" i="4" s="1"/>
  <c r="M25" i="4"/>
  <c r="R41" i="4"/>
  <c r="N41" i="4"/>
  <c r="L41" i="4"/>
  <c r="I41" i="4"/>
  <c r="I40" i="4" s="1"/>
  <c r="P41" i="4"/>
  <c r="K41" i="4"/>
  <c r="O41" i="4"/>
  <c r="M41" i="4"/>
  <c r="Q41" i="4"/>
  <c r="J41" i="4"/>
  <c r="I17" i="4" a="1"/>
  <c r="Q33" i="4" l="1"/>
  <c r="O33" i="4"/>
  <c r="P33" i="4"/>
  <c r="M33" i="4"/>
  <c r="L33" i="4"/>
  <c r="I33" i="4"/>
  <c r="I32" i="4" s="1"/>
  <c r="J32" i="4" s="1"/>
  <c r="K33" i="4"/>
  <c r="R33" i="4"/>
  <c r="J33" i="4"/>
  <c r="K27" i="9"/>
  <c r="K15" i="13" s="1"/>
  <c r="D28" i="9"/>
  <c r="D24" i="9"/>
  <c r="K22" i="8"/>
  <c r="J24" i="8"/>
  <c r="K24" i="4"/>
  <c r="L24" i="4" s="1"/>
  <c r="M24" i="4" s="1"/>
  <c r="N24" i="4" s="1"/>
  <c r="O24" i="4" s="1"/>
  <c r="P24" i="4" s="1"/>
  <c r="Q24" i="4" s="1"/>
  <c r="R24" i="4" s="1"/>
  <c r="N62" i="4"/>
  <c r="M26" i="9"/>
  <c r="M32" i="13"/>
  <c r="M25" i="9"/>
  <c r="L24" i="13"/>
  <c r="L15" i="13"/>
  <c r="N49" i="4"/>
  <c r="M27" i="9"/>
  <c r="E79" i="3"/>
  <c r="E81" i="3" s="1"/>
  <c r="F36" i="13"/>
  <c r="E39" i="13"/>
  <c r="N24" i="7"/>
  <c r="O26" i="7"/>
  <c r="N30" i="7"/>
  <c r="J40" i="4"/>
  <c r="K40" i="4" s="1"/>
  <c r="L40" i="4" s="1"/>
  <c r="M40" i="4" s="1"/>
  <c r="N40" i="4" s="1"/>
  <c r="O40" i="4" s="1"/>
  <c r="P40" i="4" s="1"/>
  <c r="Q40" i="4" s="1"/>
  <c r="R40" i="4" s="1"/>
  <c r="I17" i="4"/>
  <c r="I16" i="4" s="1"/>
  <c r="L17" i="4"/>
  <c r="N17" i="4"/>
  <c r="O17" i="4"/>
  <c r="J17" i="4"/>
  <c r="Q17" i="4"/>
  <c r="P17" i="4"/>
  <c r="M17" i="4"/>
  <c r="K17" i="4"/>
  <c r="R17" i="4"/>
  <c r="G77" i="3"/>
  <c r="F79" i="3"/>
  <c r="F81" i="3" s="1"/>
  <c r="K32" i="4" l="1"/>
  <c r="L32" i="4" s="1"/>
  <c r="M32" i="4" s="1"/>
  <c r="N32" i="4" s="1"/>
  <c r="O32" i="4" s="1"/>
  <c r="P32" i="4" s="1"/>
  <c r="Q32" i="4" s="1"/>
  <c r="R32" i="4" s="1"/>
  <c r="K24" i="13"/>
  <c r="D32" i="9"/>
  <c r="D35" i="9" s="1"/>
  <c r="D29" i="9"/>
  <c r="O62" i="4"/>
  <c r="N26" i="9"/>
  <c r="L22" i="8"/>
  <c r="K24" i="8"/>
  <c r="N32" i="13"/>
  <c r="N25" i="9"/>
  <c r="M15" i="13"/>
  <c r="M24" i="13"/>
  <c r="O49" i="4"/>
  <c r="N27" i="9"/>
  <c r="G36" i="13"/>
  <c r="F39" i="13"/>
  <c r="O24" i="7"/>
  <c r="P26" i="7"/>
  <c r="O30" i="7"/>
  <c r="I13" i="4"/>
  <c r="J16" i="4"/>
  <c r="H77" i="3"/>
  <c r="G79" i="3"/>
  <c r="M22" i="8" l="1"/>
  <c r="L24" i="8"/>
  <c r="P62" i="4"/>
  <c r="O26" i="9"/>
  <c r="O32" i="13"/>
  <c r="O25" i="9"/>
  <c r="N24" i="13"/>
  <c r="N15" i="13"/>
  <c r="P49" i="4"/>
  <c r="O27" i="9"/>
  <c r="I13" i="6"/>
  <c r="I20" i="6" s="1"/>
  <c r="I13" i="9"/>
  <c r="I58" i="4"/>
  <c r="I51" i="4"/>
  <c r="I15" i="7"/>
  <c r="F20" i="19" s="1"/>
  <c r="H36" i="13"/>
  <c r="G39" i="13"/>
  <c r="P30" i="7"/>
  <c r="Q26" i="7"/>
  <c r="P24" i="7"/>
  <c r="I14" i="4"/>
  <c r="I34" i="4"/>
  <c r="I42" i="4"/>
  <c r="I26" i="4"/>
  <c r="I18" i="4"/>
  <c r="K16" i="4"/>
  <c r="J13" i="4"/>
  <c r="H79" i="3"/>
  <c r="H81" i="3" s="1"/>
  <c r="G81" i="3"/>
  <c r="I40" i="25" l="1"/>
  <c r="I23" i="23"/>
  <c r="I27" i="23" s="1"/>
  <c r="I26" i="21"/>
  <c r="I13" i="21"/>
  <c r="Q62" i="4"/>
  <c r="P26" i="9"/>
  <c r="N22" i="8"/>
  <c r="M24" i="8"/>
  <c r="P32" i="13"/>
  <c r="P25" i="9"/>
  <c r="O15" i="13"/>
  <c r="O24" i="13"/>
  <c r="Q49" i="4"/>
  <c r="P27" i="9"/>
  <c r="I31" i="9"/>
  <c r="I59" i="4"/>
  <c r="J13" i="9"/>
  <c r="J58" i="4"/>
  <c r="J51" i="4"/>
  <c r="J15" i="7"/>
  <c r="G20" i="19" s="1"/>
  <c r="I17" i="7"/>
  <c r="I20" i="13"/>
  <c r="I26" i="13" s="1"/>
  <c r="I27" i="6"/>
  <c r="I18" i="9" s="1"/>
  <c r="I15" i="8"/>
  <c r="I35" i="21" s="1"/>
  <c r="I18" i="6"/>
  <c r="I29" i="6"/>
  <c r="I16" i="6"/>
  <c r="I36" i="13"/>
  <c r="H39" i="13"/>
  <c r="Q30" i="7"/>
  <c r="R26" i="7"/>
  <c r="R24" i="7" s="1"/>
  <c r="Q24" i="7"/>
  <c r="J18" i="4"/>
  <c r="J13" i="6"/>
  <c r="J20" i="6" s="1"/>
  <c r="J34" i="4"/>
  <c r="J42" i="4"/>
  <c r="J26" i="4"/>
  <c r="J14" i="4"/>
  <c r="L16" i="4"/>
  <c r="K13" i="4"/>
  <c r="H45" i="2"/>
  <c r="H29" i="2"/>
  <c r="H53" i="2"/>
  <c r="G53" i="2"/>
  <c r="H51" i="2"/>
  <c r="G51" i="2"/>
  <c r="H79" i="2"/>
  <c r="G79" i="2"/>
  <c r="F79" i="2"/>
  <c r="E79" i="2"/>
  <c r="E80" i="2" s="1"/>
  <c r="H66" i="2"/>
  <c r="G66" i="2"/>
  <c r="F66" i="2"/>
  <c r="D66" i="2"/>
  <c r="E66" i="2"/>
  <c r="E53" i="2"/>
  <c r="F51" i="2"/>
  <c r="F53" i="2" s="1"/>
  <c r="E51" i="2"/>
  <c r="E45" i="2"/>
  <c r="H43" i="2"/>
  <c r="G43" i="2"/>
  <c r="F43" i="2"/>
  <c r="E43" i="2"/>
  <c r="G29" i="2"/>
  <c r="F29" i="2"/>
  <c r="E29" i="2"/>
  <c r="D79" i="2"/>
  <c r="D51" i="2"/>
  <c r="D53" i="2" s="1"/>
  <c r="D45" i="2"/>
  <c r="D43" i="2"/>
  <c r="D29" i="2"/>
  <c r="E10" i="2"/>
  <c r="F10" i="2" s="1"/>
  <c r="G10" i="2" s="1"/>
  <c r="H10" i="2" s="1"/>
  <c r="H29" i="1"/>
  <c r="H31" i="1" s="1"/>
  <c r="G29" i="1"/>
  <c r="G31" i="1" s="1"/>
  <c r="H27" i="1"/>
  <c r="G27" i="1"/>
  <c r="H25" i="1"/>
  <c r="G25" i="1"/>
  <c r="H23" i="1"/>
  <c r="G23" i="1"/>
  <c r="F23" i="1"/>
  <c r="E23" i="1"/>
  <c r="H14" i="1"/>
  <c r="G14" i="1"/>
  <c r="F14" i="1"/>
  <c r="F25" i="1" s="1"/>
  <c r="F27" i="1" s="1"/>
  <c r="F29" i="1" s="1"/>
  <c r="F31" i="1" s="1"/>
  <c r="E14" i="1"/>
  <c r="D25" i="1"/>
  <c r="D27" i="1" s="1"/>
  <c r="D29" i="1" s="1"/>
  <c r="D31" i="1" s="1"/>
  <c r="D23" i="1"/>
  <c r="D14" i="1"/>
  <c r="F10" i="1"/>
  <c r="G10" i="1" s="1"/>
  <c r="H10" i="1" s="1"/>
  <c r="E10" i="1"/>
  <c r="J40" i="25" l="1"/>
  <c r="J23" i="23"/>
  <c r="J27" i="23" s="1"/>
  <c r="I49" i="23"/>
  <c r="I53" i="23" s="1"/>
  <c r="J13" i="21"/>
  <c r="O22" i="8"/>
  <c r="N24" i="8"/>
  <c r="R62" i="4"/>
  <c r="R26" i="9" s="1"/>
  <c r="Q26" i="9"/>
  <c r="Q32" i="13"/>
  <c r="Q25" i="9"/>
  <c r="R32" i="13"/>
  <c r="R25" i="9"/>
  <c r="P24" i="13"/>
  <c r="P15" i="13"/>
  <c r="R49" i="4"/>
  <c r="R27" i="9" s="1"/>
  <c r="Q27" i="9"/>
  <c r="K13" i="6"/>
  <c r="K20" i="6" s="1"/>
  <c r="K58" i="4"/>
  <c r="K51" i="4"/>
  <c r="K13" i="9"/>
  <c r="K15" i="7"/>
  <c r="H20" i="19" s="1"/>
  <c r="I22" i="6"/>
  <c r="J20" i="13"/>
  <c r="J26" i="13" s="1"/>
  <c r="I19" i="9"/>
  <c r="I25" i="21" s="1"/>
  <c r="I32" i="6"/>
  <c r="I33" i="6" s="1"/>
  <c r="J14" i="7"/>
  <c r="J16" i="7" s="1"/>
  <c r="J22" i="9" s="1"/>
  <c r="J26" i="21" s="1"/>
  <c r="I14" i="12"/>
  <c r="I23" i="12"/>
  <c r="I29" i="8"/>
  <c r="J15" i="8"/>
  <c r="J29" i="8" s="1"/>
  <c r="J18" i="6"/>
  <c r="J27" i="6"/>
  <c r="J18" i="9" s="1"/>
  <c r="J16" i="6"/>
  <c r="J29" i="6"/>
  <c r="J31" i="9"/>
  <c r="J59" i="4"/>
  <c r="R30" i="7"/>
  <c r="K42" i="4"/>
  <c r="K26" i="4"/>
  <c r="K14" i="4"/>
  <c r="K34" i="4"/>
  <c r="K18" i="4"/>
  <c r="M16" i="4"/>
  <c r="L13" i="4"/>
  <c r="E82" i="2"/>
  <c r="E84" i="2" s="1"/>
  <c r="H80" i="2"/>
  <c r="F80" i="2"/>
  <c r="F82" i="2" s="1"/>
  <c r="F84" i="2" s="1"/>
  <c r="G80" i="2"/>
  <c r="G82" i="2"/>
  <c r="H82" i="2"/>
  <c r="H84" i="2" s="1"/>
  <c r="G45" i="2"/>
  <c r="F45" i="2"/>
  <c r="D80" i="2"/>
  <c r="D82" i="2" s="1"/>
  <c r="D84" i="2" s="1"/>
  <c r="E25" i="1"/>
  <c r="E27" i="1" s="1"/>
  <c r="E29" i="1" s="1"/>
  <c r="E31" i="1" s="1"/>
  <c r="K40" i="25" l="1"/>
  <c r="K23" i="23"/>
  <c r="K27" i="23" s="1"/>
  <c r="J49" i="23"/>
  <c r="J53" i="23" s="1"/>
  <c r="K13" i="21"/>
  <c r="I18" i="12"/>
  <c r="I38" i="21"/>
  <c r="J35" i="21"/>
  <c r="P22" i="8"/>
  <c r="O24" i="8"/>
  <c r="J14" i="13"/>
  <c r="G19" i="19"/>
  <c r="Q15" i="13"/>
  <c r="Q24" i="13"/>
  <c r="R15" i="13"/>
  <c r="R24" i="13"/>
  <c r="J17" i="7"/>
  <c r="L13" i="6"/>
  <c r="L20" i="6" s="1"/>
  <c r="L58" i="4"/>
  <c r="L51" i="4"/>
  <c r="L13" i="9"/>
  <c r="L15" i="7"/>
  <c r="I20" i="19" s="1"/>
  <c r="I14" i="9"/>
  <c r="I16" i="8"/>
  <c r="I14" i="8"/>
  <c r="I24" i="6"/>
  <c r="I25" i="6" s="1"/>
  <c r="K31" i="9"/>
  <c r="K59" i="4"/>
  <c r="J19" i="9"/>
  <c r="J25" i="21" s="1"/>
  <c r="J32" i="6"/>
  <c r="J33" i="6" s="1"/>
  <c r="J23" i="12"/>
  <c r="J22" i="6"/>
  <c r="K20" i="13"/>
  <c r="K26" i="13" s="1"/>
  <c r="K15" i="8"/>
  <c r="K35" i="21" s="1"/>
  <c r="K27" i="6"/>
  <c r="K18" i="9" s="1"/>
  <c r="K16" i="6"/>
  <c r="K29" i="6"/>
  <c r="K18" i="6"/>
  <c r="L42" i="4"/>
  <c r="L26" i="4"/>
  <c r="L14" i="4"/>
  <c r="L34" i="4"/>
  <c r="L18" i="4"/>
  <c r="N16" i="4"/>
  <c r="M13" i="4"/>
  <c r="G84" i="2"/>
  <c r="L40" i="25" l="1"/>
  <c r="L23" i="23"/>
  <c r="L27" i="23" s="1"/>
  <c r="K49" i="23"/>
  <c r="K53" i="23" s="1"/>
  <c r="I15" i="9"/>
  <c r="I16" i="9" s="1"/>
  <c r="I19" i="21" s="1"/>
  <c r="I37" i="21"/>
  <c r="I36" i="21"/>
  <c r="L13" i="21"/>
  <c r="Q22" i="8"/>
  <c r="P24" i="8"/>
  <c r="J16" i="8"/>
  <c r="J14" i="9"/>
  <c r="J14" i="8"/>
  <c r="J28" i="8" s="1"/>
  <c r="J24" i="6"/>
  <c r="J25" i="6" s="1"/>
  <c r="I28" i="8"/>
  <c r="I17" i="8"/>
  <c r="I24" i="12"/>
  <c r="L20" i="13"/>
  <c r="L26" i="13" s="1"/>
  <c r="L15" i="8"/>
  <c r="L35" i="21" s="1"/>
  <c r="L29" i="6"/>
  <c r="L18" i="6"/>
  <c r="L27" i="6"/>
  <c r="L18" i="9" s="1"/>
  <c r="L16" i="6"/>
  <c r="L31" i="9"/>
  <c r="L59" i="4"/>
  <c r="K22" i="6"/>
  <c r="K23" i="12"/>
  <c r="K29" i="8"/>
  <c r="I33" i="12"/>
  <c r="I35" i="12" s="1"/>
  <c r="I42" i="12" s="1"/>
  <c r="I30" i="8"/>
  <c r="K14" i="7"/>
  <c r="J14" i="12"/>
  <c r="M13" i="6"/>
  <c r="M20" i="6" s="1"/>
  <c r="M13" i="9"/>
  <c r="M58" i="4"/>
  <c r="M51" i="4"/>
  <c r="M15" i="7"/>
  <c r="J20" i="19" s="1"/>
  <c r="K32" i="6"/>
  <c r="K33" i="6" s="1"/>
  <c r="K19" i="9"/>
  <c r="K25" i="21" s="1"/>
  <c r="M26" i="4"/>
  <c r="M34" i="4"/>
  <c r="M14" i="4"/>
  <c r="M42" i="4"/>
  <c r="M18" i="4"/>
  <c r="O16" i="4"/>
  <c r="N13" i="4"/>
  <c r="I20" i="9" l="1"/>
  <c r="I14" i="21" s="1"/>
  <c r="L49" i="23"/>
  <c r="L53" i="23" s="1"/>
  <c r="M40" i="25"/>
  <c r="M23" i="23"/>
  <c r="M27" i="23" s="1"/>
  <c r="J18" i="12"/>
  <c r="J38" i="21"/>
  <c r="J15" i="9"/>
  <c r="J16" i="9" s="1"/>
  <c r="J19" i="21" s="1"/>
  <c r="J37" i="21"/>
  <c r="J36" i="21"/>
  <c r="M13" i="21"/>
  <c r="R22" i="8"/>
  <c r="R24" i="8" s="1"/>
  <c r="Q24" i="8"/>
  <c r="I32" i="8"/>
  <c r="L22" i="6"/>
  <c r="L14" i="8" s="1"/>
  <c r="M15" i="8"/>
  <c r="M29" i="8" s="1"/>
  <c r="M18" i="6"/>
  <c r="M27" i="6"/>
  <c r="M18" i="9" s="1"/>
  <c r="M16" i="6"/>
  <c r="M29" i="6"/>
  <c r="K14" i="9"/>
  <c r="K16" i="8"/>
  <c r="K14" i="8"/>
  <c r="K24" i="6"/>
  <c r="K25" i="6" s="1"/>
  <c r="L32" i="6"/>
  <c r="L33" i="6" s="1"/>
  <c r="L19" i="9"/>
  <c r="L25" i="21" s="1"/>
  <c r="L23" i="12"/>
  <c r="J24" i="12"/>
  <c r="J17" i="8"/>
  <c r="M31" i="9"/>
  <c r="M59" i="4"/>
  <c r="K16" i="7"/>
  <c r="K22" i="9" s="1"/>
  <c r="K26" i="21" s="1"/>
  <c r="L29" i="8"/>
  <c r="J20" i="9"/>
  <c r="M20" i="13"/>
  <c r="M26" i="13" s="1"/>
  <c r="N13" i="6"/>
  <c r="N20" i="6" s="1"/>
  <c r="N13" i="9"/>
  <c r="N58" i="4"/>
  <c r="N51" i="4"/>
  <c r="N15" i="7"/>
  <c r="K20" i="19" s="1"/>
  <c r="J33" i="12"/>
  <c r="J35" i="12" s="1"/>
  <c r="J42" i="12" s="1"/>
  <c r="J30" i="8"/>
  <c r="J32" i="8" s="1"/>
  <c r="N34" i="4"/>
  <c r="N42" i="4"/>
  <c r="N26" i="4"/>
  <c r="N14" i="4"/>
  <c r="N18" i="4"/>
  <c r="P16" i="4"/>
  <c r="O13" i="4"/>
  <c r="J14" i="21" l="1"/>
  <c r="I21" i="9"/>
  <c r="I20" i="21" s="1"/>
  <c r="I23" i="9"/>
  <c r="I28" i="25" s="1"/>
  <c r="M49" i="23"/>
  <c r="M53" i="23" s="1"/>
  <c r="N40" i="25"/>
  <c r="N23" i="23"/>
  <c r="N27" i="23" s="1"/>
  <c r="K17" i="7"/>
  <c r="L14" i="7" s="1"/>
  <c r="K15" i="9"/>
  <c r="K20" i="9" s="1"/>
  <c r="K14" i="21" s="1"/>
  <c r="K36" i="21"/>
  <c r="K37" i="21"/>
  <c r="M35" i="21"/>
  <c r="N13" i="21"/>
  <c r="L24" i="6"/>
  <c r="L25" i="6" s="1"/>
  <c r="L16" i="8"/>
  <c r="L33" i="12" s="1"/>
  <c r="L35" i="12" s="1"/>
  <c r="L42" i="12" s="1"/>
  <c r="L14" i="9"/>
  <c r="K14" i="13"/>
  <c r="H19" i="19"/>
  <c r="J16" i="13"/>
  <c r="G21" i="19"/>
  <c r="I16" i="13"/>
  <c r="F21" i="19"/>
  <c r="M23" i="12"/>
  <c r="O13" i="6"/>
  <c r="O20" i="6" s="1"/>
  <c r="O58" i="4"/>
  <c r="O51" i="4"/>
  <c r="O13" i="9"/>
  <c r="O15" i="7"/>
  <c r="L20" i="19" s="1"/>
  <c r="K24" i="12"/>
  <c r="L28" i="8"/>
  <c r="K17" i="8"/>
  <c r="N31" i="9"/>
  <c r="N59" i="4"/>
  <c r="L24" i="12"/>
  <c r="J23" i="9"/>
  <c r="J28" i="25" s="1"/>
  <c r="J21" i="9"/>
  <c r="J20" i="21" s="1"/>
  <c r="K33" i="12"/>
  <c r="K35" i="12" s="1"/>
  <c r="K42" i="12" s="1"/>
  <c r="K30" i="8"/>
  <c r="N20" i="13"/>
  <c r="N26" i="13" s="1"/>
  <c r="N15" i="8"/>
  <c r="N35" i="21" s="1"/>
  <c r="N18" i="6"/>
  <c r="N27" i="6"/>
  <c r="N18" i="9" s="1"/>
  <c r="N16" i="6"/>
  <c r="N29" i="6"/>
  <c r="M19" i="9"/>
  <c r="M25" i="21" s="1"/>
  <c r="M32" i="6"/>
  <c r="M33" i="6" s="1"/>
  <c r="K28" i="8"/>
  <c r="K16" i="9"/>
  <c r="K19" i="21" s="1"/>
  <c r="M22" i="6"/>
  <c r="O42" i="4"/>
  <c r="O26" i="4"/>
  <c r="O14" i="4"/>
  <c r="O34" i="4"/>
  <c r="O18" i="4"/>
  <c r="Q16" i="4"/>
  <c r="P13" i="4"/>
  <c r="I28" i="9" l="1"/>
  <c r="F16" i="19" s="1"/>
  <c r="I33" i="21"/>
  <c r="L30" i="8"/>
  <c r="L32" i="8" s="1"/>
  <c r="I24" i="9"/>
  <c r="I21" i="21" s="1"/>
  <c r="I27" i="21" s="1"/>
  <c r="I15" i="21"/>
  <c r="K14" i="12"/>
  <c r="K18" i="12" s="1"/>
  <c r="O40" i="25"/>
  <c r="O23" i="23"/>
  <c r="O27" i="23" s="1"/>
  <c r="N49" i="23"/>
  <c r="N53" i="23" s="1"/>
  <c r="J15" i="21"/>
  <c r="J33" i="21"/>
  <c r="L15" i="9"/>
  <c r="L36" i="21"/>
  <c r="L37" i="21"/>
  <c r="O13" i="21"/>
  <c r="L17" i="8"/>
  <c r="F17" i="19"/>
  <c r="F18" i="19" s="1"/>
  <c r="F22" i="19" s="1"/>
  <c r="F24" i="19" s="1"/>
  <c r="I30" i="9"/>
  <c r="I32" i="9" s="1"/>
  <c r="I16" i="23" s="1"/>
  <c r="I29" i="9"/>
  <c r="I22" i="21" s="1"/>
  <c r="K32" i="8"/>
  <c r="O20" i="13"/>
  <c r="O26" i="13" s="1"/>
  <c r="O15" i="8"/>
  <c r="O29" i="8" s="1"/>
  <c r="O27" i="6"/>
  <c r="O18" i="9" s="1"/>
  <c r="O16" i="6"/>
  <c r="O29" i="6"/>
  <c r="O18" i="6"/>
  <c r="N23" i="12"/>
  <c r="J28" i="9"/>
  <c r="G16" i="19" s="1"/>
  <c r="G17" i="19" s="1"/>
  <c r="G18" i="19" s="1"/>
  <c r="G22" i="19" s="1"/>
  <c r="G24" i="19" s="1"/>
  <c r="J24" i="9"/>
  <c r="J21" i="21" s="1"/>
  <c r="J27" i="21" s="1"/>
  <c r="M24" i="6"/>
  <c r="M25" i="6" s="1"/>
  <c r="M14" i="8"/>
  <c r="M16" i="8"/>
  <c r="M14" i="9"/>
  <c r="L16" i="7"/>
  <c r="L22" i="9" s="1"/>
  <c r="L26" i="21" s="1"/>
  <c r="N29" i="8"/>
  <c r="N19" i="9"/>
  <c r="N25" i="21" s="1"/>
  <c r="N32" i="6"/>
  <c r="N33" i="6" s="1"/>
  <c r="O31" i="9"/>
  <c r="O59" i="4"/>
  <c r="P13" i="6"/>
  <c r="P20" i="6" s="1"/>
  <c r="P58" i="4"/>
  <c r="P31" i="9" s="1"/>
  <c r="P51" i="4"/>
  <c r="P13" i="9"/>
  <c r="P15" i="7"/>
  <c r="M20" i="19" s="1"/>
  <c r="K23" i="9"/>
  <c r="K28" i="25" s="1"/>
  <c r="K21" i="9"/>
  <c r="K20" i="21" s="1"/>
  <c r="N22" i="6"/>
  <c r="P42" i="4"/>
  <c r="P26" i="4"/>
  <c r="P14" i="4"/>
  <c r="P34" i="4"/>
  <c r="P18" i="4"/>
  <c r="R16" i="4"/>
  <c r="Q13" i="4"/>
  <c r="K38" i="21" l="1"/>
  <c r="O49" i="23"/>
  <c r="O53" i="23" s="1"/>
  <c r="P40" i="25"/>
  <c r="P23" i="23"/>
  <c r="P27" i="23" s="1"/>
  <c r="I22" i="23"/>
  <c r="P13" i="21"/>
  <c r="O35" i="21"/>
  <c r="L20" i="9"/>
  <c r="L16" i="9"/>
  <c r="L19" i="21" s="1"/>
  <c r="I23" i="21"/>
  <c r="I16" i="21"/>
  <c r="K33" i="21"/>
  <c r="K15" i="21"/>
  <c r="M15" i="9"/>
  <c r="M16" i="9" s="1"/>
  <c r="M19" i="21" s="1"/>
  <c r="M37" i="21"/>
  <c r="M36" i="21"/>
  <c r="L16" i="13"/>
  <c r="I21" i="19"/>
  <c r="O22" i="6"/>
  <c r="O24" i="6" s="1"/>
  <c r="O25" i="6" s="1"/>
  <c r="K16" i="13"/>
  <c r="H21" i="19"/>
  <c r="L14" i="13"/>
  <c r="I19" i="19"/>
  <c r="L23" i="9"/>
  <c r="Q13" i="6"/>
  <c r="Q20" i="6" s="1"/>
  <c r="Q13" i="9"/>
  <c r="Q58" i="4"/>
  <c r="Q51" i="4"/>
  <c r="Q15" i="7"/>
  <c r="N20" i="19" s="1"/>
  <c r="J29" i="9"/>
  <c r="J22" i="21" s="1"/>
  <c r="J30" i="9"/>
  <c r="J32" i="9" s="1"/>
  <c r="J16" i="23" s="1"/>
  <c r="M33" i="12"/>
  <c r="M35" i="12" s="1"/>
  <c r="M42" i="12" s="1"/>
  <c r="M30" i="8"/>
  <c r="K28" i="9"/>
  <c r="H16" i="19" s="1"/>
  <c r="K24" i="9"/>
  <c r="K21" i="21" s="1"/>
  <c r="K27" i="21" s="1"/>
  <c r="P59" i="4"/>
  <c r="L17" i="7"/>
  <c r="M24" i="12"/>
  <c r="M17" i="8"/>
  <c r="M28" i="8"/>
  <c r="O23" i="12"/>
  <c r="N14" i="9"/>
  <c r="N16" i="8"/>
  <c r="N14" i="8"/>
  <c r="N28" i="8" s="1"/>
  <c r="N24" i="6"/>
  <c r="N25" i="6" s="1"/>
  <c r="P20" i="13"/>
  <c r="P26" i="13" s="1"/>
  <c r="P15" i="8"/>
  <c r="P29" i="8" s="1"/>
  <c r="P29" i="6"/>
  <c r="P27" i="6"/>
  <c r="P18" i="9" s="1"/>
  <c r="P16" i="6"/>
  <c r="P18" i="6"/>
  <c r="O32" i="6"/>
  <c r="O33" i="6" s="1"/>
  <c r="O19" i="9"/>
  <c r="O25" i="21" s="1"/>
  <c r="I34" i="9"/>
  <c r="I37" i="9" s="1"/>
  <c r="I13" i="13"/>
  <c r="I17" i="13" s="1"/>
  <c r="Q14" i="4"/>
  <c r="Q34" i="4"/>
  <c r="Q26" i="4"/>
  <c r="Q42" i="4"/>
  <c r="R13" i="4"/>
  <c r="Q18" i="4"/>
  <c r="I30" i="21" l="1"/>
  <c r="I22" i="25"/>
  <c r="J22" i="23"/>
  <c r="I24" i="23"/>
  <c r="I42" i="23"/>
  <c r="Q40" i="25"/>
  <c r="Q23" i="23"/>
  <c r="Q27" i="23" s="1"/>
  <c r="M20" i="9"/>
  <c r="M14" i="21" s="1"/>
  <c r="L28" i="9"/>
  <c r="I16" i="19" s="1"/>
  <c r="I17" i="19" s="1"/>
  <c r="I18" i="19" s="1"/>
  <c r="L28" i="25"/>
  <c r="P49" i="23"/>
  <c r="P53" i="23" s="1"/>
  <c r="I48" i="21"/>
  <c r="I46" i="21"/>
  <c r="Q13" i="21"/>
  <c r="I31" i="13"/>
  <c r="I33" i="13" s="1"/>
  <c r="I35" i="13" s="1"/>
  <c r="I39" i="13" s="1"/>
  <c r="I21" i="12" s="1"/>
  <c r="I26" i="12" s="1"/>
  <c r="I17" i="21"/>
  <c r="N15" i="9"/>
  <c r="N16" i="9" s="1"/>
  <c r="N19" i="21" s="1"/>
  <c r="N37" i="21"/>
  <c r="N36" i="21"/>
  <c r="L14" i="21"/>
  <c r="L21" i="9"/>
  <c r="L20" i="21" s="1"/>
  <c r="P35" i="21"/>
  <c r="L24" i="9"/>
  <c r="L21" i="21" s="1"/>
  <c r="L27" i="21" s="1"/>
  <c r="L15" i="21"/>
  <c r="L33" i="21"/>
  <c r="J16" i="21"/>
  <c r="J23" i="21"/>
  <c r="O16" i="8"/>
  <c r="O30" i="8" s="1"/>
  <c r="I46" i="12"/>
  <c r="I47" i="12" s="1"/>
  <c r="I49" i="12" s="1"/>
  <c r="I17" i="23" s="1"/>
  <c r="M32" i="8"/>
  <c r="J21" i="19" s="1"/>
  <c r="H17" i="19"/>
  <c r="H18" i="19" s="1"/>
  <c r="H22" i="19" s="1"/>
  <c r="H24" i="19" s="1"/>
  <c r="O14" i="9"/>
  <c r="O14" i="8"/>
  <c r="I22" i="19"/>
  <c r="I24" i="19" s="1"/>
  <c r="Q31" i="9"/>
  <c r="Q59" i="4"/>
  <c r="L29" i="9"/>
  <c r="L22" i="21" s="1"/>
  <c r="L30" i="9"/>
  <c r="L32" i="9" s="1"/>
  <c r="L16" i="23" s="1"/>
  <c r="P22" i="6"/>
  <c r="P32" i="6"/>
  <c r="P33" i="6" s="1"/>
  <c r="P19" i="9"/>
  <c r="P25" i="21" s="1"/>
  <c r="N24" i="12"/>
  <c r="N17" i="8"/>
  <c r="K29" i="9"/>
  <c r="K22" i="21" s="1"/>
  <c r="K30" i="9"/>
  <c r="K32" i="9" s="1"/>
  <c r="K16" i="23" s="1"/>
  <c r="N20" i="9"/>
  <c r="R13" i="9"/>
  <c r="R58" i="4"/>
  <c r="R31" i="9" s="1"/>
  <c r="R51" i="4"/>
  <c r="R15" i="7"/>
  <c r="J34" i="9"/>
  <c r="J13" i="13"/>
  <c r="J17" i="13" s="1"/>
  <c r="P23" i="12"/>
  <c r="N33" i="12"/>
  <c r="N35" i="12" s="1"/>
  <c r="N42" i="12" s="1"/>
  <c r="N30" i="8"/>
  <c r="N32" i="8" s="1"/>
  <c r="M14" i="7"/>
  <c r="L14" i="12"/>
  <c r="Q20" i="13"/>
  <c r="Q26" i="13" s="1"/>
  <c r="Q15" i="8"/>
  <c r="Q29" i="8" s="1"/>
  <c r="Q27" i="6"/>
  <c r="Q18" i="9" s="1"/>
  <c r="Q16" i="6"/>
  <c r="Q29" i="6"/>
  <c r="Q18" i="6"/>
  <c r="R18" i="4"/>
  <c r="R13" i="6"/>
  <c r="R20" i="6" s="1"/>
  <c r="R34" i="4"/>
  <c r="R42" i="4"/>
  <c r="R26" i="4"/>
  <c r="R14" i="4"/>
  <c r="O33" i="12" l="1"/>
  <c r="O35" i="12" s="1"/>
  <c r="O42" i="12" s="1"/>
  <c r="R40" i="25"/>
  <c r="R23" i="23"/>
  <c r="R27" i="23" s="1"/>
  <c r="K22" i="23"/>
  <c r="I28" i="12"/>
  <c r="I16" i="25"/>
  <c r="M21" i="9"/>
  <c r="M20" i="21" s="1"/>
  <c r="L22" i="23"/>
  <c r="J42" i="23"/>
  <c r="J24" i="23"/>
  <c r="N14" i="21"/>
  <c r="I33" i="23"/>
  <c r="I18" i="23"/>
  <c r="I48" i="23"/>
  <c r="I50" i="23" s="1"/>
  <c r="Q49" i="23"/>
  <c r="Q53" i="23" s="1"/>
  <c r="J31" i="13"/>
  <c r="J33" i="13" s="1"/>
  <c r="J35" i="13" s="1"/>
  <c r="J17" i="21"/>
  <c r="R13" i="21"/>
  <c r="K16" i="21"/>
  <c r="K23" i="21"/>
  <c r="J37" i="9"/>
  <c r="Q35" i="21"/>
  <c r="L18" i="12"/>
  <c r="L38" i="21"/>
  <c r="L23" i="21"/>
  <c r="L16" i="21"/>
  <c r="O17" i="8"/>
  <c r="I51" i="12"/>
  <c r="I53" i="12" s="1"/>
  <c r="I39" i="21"/>
  <c r="I29" i="21"/>
  <c r="I31" i="21"/>
  <c r="J48" i="21"/>
  <c r="J46" i="21"/>
  <c r="O15" i="9"/>
  <c r="O36" i="21"/>
  <c r="O37" i="21"/>
  <c r="J36" i="13"/>
  <c r="M16" i="13"/>
  <c r="O24" i="12"/>
  <c r="O28" i="8"/>
  <c r="O32" i="8" s="1"/>
  <c r="N16" i="13"/>
  <c r="K21" i="19"/>
  <c r="Q22" i="6"/>
  <c r="Q24" i="6" s="1"/>
  <c r="Q25" i="6" s="1"/>
  <c r="R20" i="13"/>
  <c r="R26" i="13" s="1"/>
  <c r="O20" i="19"/>
  <c r="Q19" i="9"/>
  <c r="Q25" i="21" s="1"/>
  <c r="Q32" i="6"/>
  <c r="Q33" i="6" s="1"/>
  <c r="R15" i="8"/>
  <c r="R23" i="12" s="1"/>
  <c r="R27" i="6"/>
  <c r="R18" i="9" s="1"/>
  <c r="R16" i="6"/>
  <c r="R29" i="6"/>
  <c r="R18" i="6"/>
  <c r="I33" i="11"/>
  <c r="J46" i="12"/>
  <c r="P16" i="8"/>
  <c r="P14" i="9"/>
  <c r="P14" i="8"/>
  <c r="P24" i="6"/>
  <c r="P25" i="6" s="1"/>
  <c r="Q23" i="12"/>
  <c r="M16" i="7"/>
  <c r="M22" i="9" s="1"/>
  <c r="N21" i="9"/>
  <c r="N20" i="21" s="1"/>
  <c r="K34" i="9"/>
  <c r="K13" i="13"/>
  <c r="K17" i="13" s="1"/>
  <c r="L13" i="13"/>
  <c r="L17" i="13" s="1"/>
  <c r="L34" i="9"/>
  <c r="R59" i="4"/>
  <c r="J39" i="13" l="1"/>
  <c r="J21" i="12" s="1"/>
  <c r="J26" i="12" s="1"/>
  <c r="J28" i="12" s="1"/>
  <c r="K42" i="23"/>
  <c r="K24" i="23"/>
  <c r="J16" i="25"/>
  <c r="J30" i="21"/>
  <c r="J22" i="25"/>
  <c r="L24" i="23"/>
  <c r="L42" i="23"/>
  <c r="I47" i="21"/>
  <c r="I17" i="25"/>
  <c r="I23" i="25" s="1"/>
  <c r="I28" i="23"/>
  <c r="I52" i="21"/>
  <c r="R49" i="23"/>
  <c r="R53" i="23" s="1"/>
  <c r="J48" i="23"/>
  <c r="J50" i="23" s="1"/>
  <c r="J19" i="19"/>
  <c r="M26" i="21"/>
  <c r="P15" i="9"/>
  <c r="P36" i="21"/>
  <c r="P37" i="21"/>
  <c r="K31" i="13"/>
  <c r="K33" i="13" s="1"/>
  <c r="K17" i="21"/>
  <c r="L31" i="13"/>
  <c r="L33" i="13" s="1"/>
  <c r="L35" i="13" s="1"/>
  <c r="L17" i="21"/>
  <c r="O20" i="9"/>
  <c r="O16" i="9"/>
  <c r="O19" i="21" s="1"/>
  <c r="I32" i="21"/>
  <c r="L48" i="21"/>
  <c r="L46" i="21"/>
  <c r="L37" i="9"/>
  <c r="K37" i="9"/>
  <c r="R35" i="21"/>
  <c r="K48" i="21"/>
  <c r="K46" i="21"/>
  <c r="T13" i="21"/>
  <c r="U13" i="21"/>
  <c r="R29" i="8"/>
  <c r="Q16" i="8"/>
  <c r="Q30" i="8" s="1"/>
  <c r="Q14" i="9"/>
  <c r="O16" i="13"/>
  <c r="L21" i="19"/>
  <c r="Q14" i="8"/>
  <c r="Q28" i="8" s="1"/>
  <c r="M17" i="7"/>
  <c r="N14" i="7" s="1"/>
  <c r="K36" i="13"/>
  <c r="K35" i="13"/>
  <c r="R22" i="6"/>
  <c r="R24" i="6" s="1"/>
  <c r="R25" i="6" s="1"/>
  <c r="I34" i="11"/>
  <c r="I36" i="11" s="1"/>
  <c r="J33" i="11"/>
  <c r="M14" i="13"/>
  <c r="M23" i="9"/>
  <c r="M28" i="25" s="1"/>
  <c r="P24" i="12"/>
  <c r="P17" i="8"/>
  <c r="P28" i="8"/>
  <c r="P33" i="12"/>
  <c r="P35" i="12" s="1"/>
  <c r="P42" i="12" s="1"/>
  <c r="P30" i="8"/>
  <c r="P16" i="9"/>
  <c r="P19" i="21" s="1"/>
  <c r="P20" i="9"/>
  <c r="K46" i="12"/>
  <c r="J47" i="12"/>
  <c r="J49" i="12" s="1"/>
  <c r="J17" i="23" s="1"/>
  <c r="R19" i="9"/>
  <c r="R25" i="21" s="1"/>
  <c r="R32" i="6"/>
  <c r="R33" i="6" s="1"/>
  <c r="I18" i="25" l="1"/>
  <c r="K30" i="21"/>
  <c r="K22" i="25"/>
  <c r="L30" i="21"/>
  <c r="L22" i="25"/>
  <c r="L48" i="23"/>
  <c r="L50" i="23" s="1"/>
  <c r="J47" i="21"/>
  <c r="J17" i="25"/>
  <c r="J23" i="25" s="1"/>
  <c r="J28" i="23"/>
  <c r="J52" i="21"/>
  <c r="J33" i="23"/>
  <c r="J18" i="23"/>
  <c r="Q33" i="12"/>
  <c r="Q35" i="12" s="1"/>
  <c r="Q42" i="12" s="1"/>
  <c r="I32" i="23"/>
  <c r="I34" i="23" s="1"/>
  <c r="I43" i="23"/>
  <c r="I29" i="23"/>
  <c r="I37" i="23" s="1"/>
  <c r="I29" i="25"/>
  <c r="I24" i="25"/>
  <c r="K48" i="23"/>
  <c r="K50" i="23" s="1"/>
  <c r="P14" i="21"/>
  <c r="O14" i="21"/>
  <c r="O21" i="9"/>
  <c r="O20" i="21" s="1"/>
  <c r="U35" i="21"/>
  <c r="T35" i="21"/>
  <c r="U25" i="21"/>
  <c r="T25" i="21"/>
  <c r="J51" i="12"/>
  <c r="J53" i="12" s="1"/>
  <c r="J39" i="21"/>
  <c r="J29" i="21"/>
  <c r="J31" i="21"/>
  <c r="M15" i="21"/>
  <c r="M33" i="21"/>
  <c r="Q15" i="9"/>
  <c r="Q37" i="21"/>
  <c r="Q36" i="21"/>
  <c r="M14" i="12"/>
  <c r="Q17" i="8"/>
  <c r="Q24" i="12"/>
  <c r="Q32" i="8"/>
  <c r="L36" i="13"/>
  <c r="M36" i="13" s="1"/>
  <c r="K39" i="13"/>
  <c r="K21" i="12" s="1"/>
  <c r="K26" i="12" s="1"/>
  <c r="R14" i="8"/>
  <c r="R28" i="8" s="1"/>
  <c r="R16" i="8"/>
  <c r="R33" i="12" s="1"/>
  <c r="R35" i="12" s="1"/>
  <c r="R42" i="12" s="1"/>
  <c r="R14" i="9"/>
  <c r="M28" i="9"/>
  <c r="J16" i="19" s="1"/>
  <c r="J17" i="19" s="1"/>
  <c r="J18" i="19" s="1"/>
  <c r="J22" i="19" s="1"/>
  <c r="J24" i="19" s="1"/>
  <c r="M24" i="9"/>
  <c r="M21" i="21" s="1"/>
  <c r="N16" i="7"/>
  <c r="N22" i="9" s="1"/>
  <c r="P21" i="9"/>
  <c r="P20" i="21" s="1"/>
  <c r="K33" i="11"/>
  <c r="J34" i="11"/>
  <c r="J36" i="11" s="1"/>
  <c r="L46" i="12"/>
  <c r="K47" i="12"/>
  <c r="K49" i="12" s="1"/>
  <c r="K17" i="23" s="1"/>
  <c r="P32" i="8"/>
  <c r="K33" i="23" l="1"/>
  <c r="K18" i="23"/>
  <c r="I41" i="25"/>
  <c r="I42" i="25" s="1"/>
  <c r="I30" i="25"/>
  <c r="I46" i="25" s="1"/>
  <c r="I47" i="25" s="1"/>
  <c r="J43" i="23"/>
  <c r="J32" i="23"/>
  <c r="J34" i="23" s="1"/>
  <c r="J29" i="23"/>
  <c r="I54" i="23"/>
  <c r="I55" i="23" s="1"/>
  <c r="I57" i="23" s="1"/>
  <c r="I44" i="23"/>
  <c r="J24" i="25"/>
  <c r="J29" i="25"/>
  <c r="K28" i="12"/>
  <c r="K53" i="12" s="1"/>
  <c r="K16" i="25"/>
  <c r="J18" i="25"/>
  <c r="K51" i="12"/>
  <c r="K39" i="21"/>
  <c r="K29" i="21"/>
  <c r="K31" i="21"/>
  <c r="K32" i="21" s="1"/>
  <c r="R15" i="9"/>
  <c r="R16" i="9" s="1"/>
  <c r="R19" i="21" s="1"/>
  <c r="R37" i="21"/>
  <c r="R36" i="21"/>
  <c r="M18" i="12"/>
  <c r="M38" i="21"/>
  <c r="K19" i="19"/>
  <c r="N26" i="21"/>
  <c r="M27" i="21"/>
  <c r="Q16" i="9"/>
  <c r="Q19" i="21" s="1"/>
  <c r="Q20" i="9"/>
  <c r="J32" i="21"/>
  <c r="L39" i="13"/>
  <c r="L21" i="12" s="1"/>
  <c r="L26" i="12" s="1"/>
  <c r="Q16" i="13"/>
  <c r="N21" i="19"/>
  <c r="P16" i="13"/>
  <c r="M21" i="19"/>
  <c r="R24" i="12"/>
  <c r="R17" i="8"/>
  <c r="R30" i="8"/>
  <c r="R32" i="8" s="1"/>
  <c r="M30" i="9"/>
  <c r="M32" i="9" s="1"/>
  <c r="M16" i="23" s="1"/>
  <c r="M29" i="9"/>
  <c r="M22" i="21" s="1"/>
  <c r="K34" i="11"/>
  <c r="K36" i="11" s="1"/>
  <c r="N17" i="7"/>
  <c r="L47" i="12"/>
  <c r="L49" i="12" s="1"/>
  <c r="L17" i="23" s="1"/>
  <c r="N14" i="13"/>
  <c r="N23" i="9"/>
  <c r="N28" i="25" s="1"/>
  <c r="J37" i="23" l="1"/>
  <c r="M22" i="23"/>
  <c r="J41" i="25"/>
  <c r="J42" i="25" s="1"/>
  <c r="J30" i="25"/>
  <c r="K47" i="21"/>
  <c r="K17" i="25"/>
  <c r="K23" i="25" s="1"/>
  <c r="K28" i="23"/>
  <c r="K52" i="21"/>
  <c r="L33" i="23"/>
  <c r="L18" i="23"/>
  <c r="R20" i="9"/>
  <c r="R14" i="21" s="1"/>
  <c r="L28" i="12"/>
  <c r="L16" i="25"/>
  <c r="J54" i="23"/>
  <c r="J55" i="23" s="1"/>
  <c r="J57" i="23" s="1"/>
  <c r="J44" i="23"/>
  <c r="N15" i="21"/>
  <c r="N33" i="21"/>
  <c r="L51" i="12"/>
  <c r="L39" i="21"/>
  <c r="L29" i="21"/>
  <c r="L31" i="21"/>
  <c r="U36" i="21"/>
  <c r="T36" i="21"/>
  <c r="M23" i="21"/>
  <c r="M16" i="21"/>
  <c r="U37" i="21"/>
  <c r="T37" i="21"/>
  <c r="R21" i="9"/>
  <c r="R20" i="21" s="1"/>
  <c r="Q14" i="21"/>
  <c r="Q21" i="9"/>
  <c r="Q20" i="21" s="1"/>
  <c r="U19" i="21"/>
  <c r="T19" i="21"/>
  <c r="R16" i="13"/>
  <c r="O21" i="19"/>
  <c r="M13" i="13"/>
  <c r="M17" i="13" s="1"/>
  <c r="M34" i="9"/>
  <c r="N28" i="9"/>
  <c r="K16" i="19" s="1"/>
  <c r="K17" i="19" s="1"/>
  <c r="K18" i="19" s="1"/>
  <c r="K22" i="19" s="1"/>
  <c r="K24" i="19" s="1"/>
  <c r="N24" i="9"/>
  <c r="N21" i="21" s="1"/>
  <c r="O14" i="7"/>
  <c r="N14" i="12"/>
  <c r="L53" i="12" l="1"/>
  <c r="J46" i="25"/>
  <c r="J47" i="25" s="1"/>
  <c r="K43" i="23"/>
  <c r="K32" i="23"/>
  <c r="K34" i="23" s="1"/>
  <c r="K29" i="23"/>
  <c r="K29" i="25"/>
  <c r="K24" i="25"/>
  <c r="K18" i="25"/>
  <c r="L47" i="21"/>
  <c r="L17" i="25"/>
  <c r="L23" i="25" s="1"/>
  <c r="L28" i="23"/>
  <c r="L52" i="21"/>
  <c r="M42" i="23"/>
  <c r="M24" i="23"/>
  <c r="N18" i="12"/>
  <c r="N38" i="21"/>
  <c r="M31" i="13"/>
  <c r="M33" i="13" s="1"/>
  <c r="M17" i="21"/>
  <c r="T20" i="21"/>
  <c r="U20" i="21"/>
  <c r="M37" i="9"/>
  <c r="M48" i="21"/>
  <c r="M46" i="21"/>
  <c r="N27" i="21"/>
  <c r="U14" i="21"/>
  <c r="T14" i="21"/>
  <c r="L32" i="21"/>
  <c r="L33" i="11"/>
  <c r="L34" i="11" s="1"/>
  <c r="L36" i="11" s="1"/>
  <c r="M46" i="12"/>
  <c r="M47" i="12" s="1"/>
  <c r="M49" i="12" s="1"/>
  <c r="M17" i="23" s="1"/>
  <c r="N29" i="9"/>
  <c r="N22" i="21" s="1"/>
  <c r="N30" i="9"/>
  <c r="N32" i="9" s="1"/>
  <c r="N16" i="23" s="1"/>
  <c r="O16" i="7"/>
  <c r="O22" i="9" s="1"/>
  <c r="M35" i="13"/>
  <c r="K37" i="23" l="1"/>
  <c r="L18" i="25"/>
  <c r="M48" i="23"/>
  <c r="M50" i="23" s="1"/>
  <c r="M33" i="23"/>
  <c r="M18" i="23"/>
  <c r="M30" i="21"/>
  <c r="M22" i="25"/>
  <c r="N22" i="23"/>
  <c r="L32" i="23"/>
  <c r="L34" i="23" s="1"/>
  <c r="L43" i="23"/>
  <c r="L29" i="23"/>
  <c r="L29" i="25"/>
  <c r="L24" i="25"/>
  <c r="K41" i="25"/>
  <c r="K42" i="25" s="1"/>
  <c r="K30" i="25"/>
  <c r="K54" i="23"/>
  <c r="K55" i="23" s="1"/>
  <c r="K57" i="23" s="1"/>
  <c r="K44" i="23"/>
  <c r="N23" i="21"/>
  <c r="N16" i="21"/>
  <c r="M51" i="12"/>
  <c r="M39" i="21"/>
  <c r="M29" i="21"/>
  <c r="M31" i="21"/>
  <c r="L19" i="19"/>
  <c r="O26" i="21"/>
  <c r="O17" i="7"/>
  <c r="P14" i="7" s="1"/>
  <c r="N13" i="13"/>
  <c r="N17" i="13" s="1"/>
  <c r="N34" i="9"/>
  <c r="M39" i="13"/>
  <c r="M21" i="12" s="1"/>
  <c r="M26" i="12" s="1"/>
  <c r="N36" i="13"/>
  <c r="O14" i="13"/>
  <c r="O23" i="9"/>
  <c r="O28" i="25" s="1"/>
  <c r="M32" i="21" l="1"/>
  <c r="L37" i="23"/>
  <c r="M28" i="12"/>
  <c r="M47" i="21" s="1"/>
  <c r="M16" i="25"/>
  <c r="K46" i="25"/>
  <c r="K47" i="25" s="1"/>
  <c r="N24" i="23"/>
  <c r="N42" i="23"/>
  <c r="L54" i="23"/>
  <c r="L55" i="23" s="1"/>
  <c r="L57" i="23" s="1"/>
  <c r="L44" i="23"/>
  <c r="L41" i="25"/>
  <c r="L42" i="25" s="1"/>
  <c r="L30" i="25"/>
  <c r="O14" i="12"/>
  <c r="O18" i="12" s="1"/>
  <c r="N31" i="13"/>
  <c r="N33" i="13" s="1"/>
  <c r="N35" i="13" s="1"/>
  <c r="N39" i="13" s="1"/>
  <c r="N21" i="12" s="1"/>
  <c r="N26" i="12" s="1"/>
  <c r="N17" i="21"/>
  <c r="N48" i="21"/>
  <c r="N46" i="21"/>
  <c r="O33" i="21"/>
  <c r="O15" i="21"/>
  <c r="N37" i="9"/>
  <c r="N46" i="12"/>
  <c r="N47" i="12" s="1"/>
  <c r="N49" i="12" s="1"/>
  <c r="N17" i="23" s="1"/>
  <c r="M33" i="11"/>
  <c r="M34" i="11" s="1"/>
  <c r="M36" i="11" s="1"/>
  <c r="P16" i="7"/>
  <c r="P22" i="9" s="1"/>
  <c r="O28" i="9"/>
  <c r="L16" i="19" s="1"/>
  <c r="O24" i="9"/>
  <c r="O21" i="21" s="1"/>
  <c r="O27" i="21" s="1"/>
  <c r="M53" i="12" l="1"/>
  <c r="N33" i="23"/>
  <c r="N18" i="23"/>
  <c r="N30" i="21"/>
  <c r="N22" i="25"/>
  <c r="N28" i="12"/>
  <c r="N16" i="25"/>
  <c r="N48" i="23"/>
  <c r="N50" i="23" s="1"/>
  <c r="O38" i="21"/>
  <c r="L46" i="25"/>
  <c r="L47" i="25" s="1"/>
  <c r="M17" i="25"/>
  <c r="M23" i="25" s="1"/>
  <c r="M28" i="23"/>
  <c r="M52" i="21"/>
  <c r="P17" i="7"/>
  <c r="P14" i="12" s="1"/>
  <c r="M19" i="19"/>
  <c r="P26" i="21"/>
  <c r="N51" i="12"/>
  <c r="N39" i="21"/>
  <c r="N29" i="21"/>
  <c r="N31" i="21"/>
  <c r="L17" i="19"/>
  <c r="L18" i="19" s="1"/>
  <c r="L22" i="19" s="1"/>
  <c r="L24" i="19" s="1"/>
  <c r="Q14" i="7"/>
  <c r="O29" i="9"/>
  <c r="O22" i="21" s="1"/>
  <c r="O30" i="9"/>
  <c r="O32" i="9" s="1"/>
  <c r="O16" i="23" s="1"/>
  <c r="P14" i="13"/>
  <c r="P23" i="9"/>
  <c r="P28" i="25" s="1"/>
  <c r="O36" i="13"/>
  <c r="N53" i="12" l="1"/>
  <c r="M18" i="25"/>
  <c r="O22" i="23"/>
  <c r="M43" i="23"/>
  <c r="M32" i="23"/>
  <c r="M34" i="23" s="1"/>
  <c r="M29" i="23"/>
  <c r="M29" i="25"/>
  <c r="M24" i="25"/>
  <c r="N47" i="21"/>
  <c r="N17" i="25"/>
  <c r="N28" i="23"/>
  <c r="N52" i="21"/>
  <c r="P18" i="12"/>
  <c r="P38" i="21"/>
  <c r="O16" i="21"/>
  <c r="O23" i="21"/>
  <c r="N32" i="21"/>
  <c r="P15" i="21"/>
  <c r="P33" i="21"/>
  <c r="P28" i="9"/>
  <c r="M16" i="19" s="1"/>
  <c r="M17" i="19" s="1"/>
  <c r="M18" i="19" s="1"/>
  <c r="M22" i="19" s="1"/>
  <c r="M24" i="19" s="1"/>
  <c r="P24" i="9"/>
  <c r="P21" i="21" s="1"/>
  <c r="P27" i="21" s="1"/>
  <c r="O34" i="9"/>
  <c r="O13" i="13"/>
  <c r="O17" i="13" s="1"/>
  <c r="Q16" i="7"/>
  <c r="Q22" i="9" s="1"/>
  <c r="M37" i="23" l="1"/>
  <c r="M41" i="25"/>
  <c r="M42" i="25" s="1"/>
  <c r="M30" i="25"/>
  <c r="N43" i="23"/>
  <c r="N32" i="23"/>
  <c r="N34" i="23" s="1"/>
  <c r="N29" i="23"/>
  <c r="M54" i="23"/>
  <c r="M55" i="23" s="1"/>
  <c r="M57" i="23" s="1"/>
  <c r="M44" i="23"/>
  <c r="N18" i="25"/>
  <c r="N23" i="25"/>
  <c r="O42" i="23"/>
  <c r="O24" i="23"/>
  <c r="O48" i="21"/>
  <c r="O46" i="21"/>
  <c r="N19" i="19"/>
  <c r="Q26" i="21"/>
  <c r="O31" i="13"/>
  <c r="O33" i="13" s="1"/>
  <c r="O35" i="13" s="1"/>
  <c r="O17" i="21"/>
  <c r="O37" i="9"/>
  <c r="O46" i="12"/>
  <c r="Q14" i="13"/>
  <c r="Q23" i="9"/>
  <c r="Q28" i="25" s="1"/>
  <c r="N33" i="11"/>
  <c r="Q17" i="7"/>
  <c r="P30" i="9"/>
  <c r="P32" i="9" s="1"/>
  <c r="P16" i="23" s="1"/>
  <c r="P29" i="9"/>
  <c r="P22" i="21" s="1"/>
  <c r="N54" i="23" l="1"/>
  <c r="N55" i="23" s="1"/>
  <c r="N57" i="23" s="1"/>
  <c r="N44" i="23"/>
  <c r="O30" i="21"/>
  <c r="O22" i="25"/>
  <c r="O48" i="23"/>
  <c r="O50" i="23" s="1"/>
  <c r="P22" i="23"/>
  <c r="N24" i="25"/>
  <c r="N29" i="25"/>
  <c r="N37" i="23"/>
  <c r="M46" i="25"/>
  <c r="M47" i="25" s="1"/>
  <c r="P23" i="21"/>
  <c r="P16" i="21"/>
  <c r="Q15" i="21"/>
  <c r="Q33" i="21"/>
  <c r="N34" i="11"/>
  <c r="N36" i="11" s="1"/>
  <c r="Q28" i="9"/>
  <c r="N16" i="19" s="1"/>
  <c r="Q24" i="9"/>
  <c r="Q21" i="21" s="1"/>
  <c r="Q27" i="21" s="1"/>
  <c r="O39" i="13"/>
  <c r="O21" i="12" s="1"/>
  <c r="O26" i="12" s="1"/>
  <c r="P36" i="13"/>
  <c r="P34" i="9"/>
  <c r="P37" i="9" s="1"/>
  <c r="P13" i="13"/>
  <c r="P17" i="13" s="1"/>
  <c r="R14" i="7"/>
  <c r="Q14" i="12"/>
  <c r="P46" i="12"/>
  <c r="O47" i="12"/>
  <c r="O49" i="12" s="1"/>
  <c r="O17" i="23" s="1"/>
  <c r="O33" i="23" l="1"/>
  <c r="O18" i="23"/>
  <c r="O28" i="12"/>
  <c r="O16" i="25"/>
  <c r="P42" i="23"/>
  <c r="P24" i="23"/>
  <c r="P30" i="21"/>
  <c r="P22" i="25"/>
  <c r="N41" i="25"/>
  <c r="N42" i="25" s="1"/>
  <c r="N30" i="25"/>
  <c r="Q18" i="12"/>
  <c r="Q38" i="21"/>
  <c r="P31" i="13"/>
  <c r="P33" i="13" s="1"/>
  <c r="P35" i="13" s="1"/>
  <c r="P39" i="13" s="1"/>
  <c r="P21" i="12" s="1"/>
  <c r="P26" i="12" s="1"/>
  <c r="P17" i="21"/>
  <c r="O51" i="12"/>
  <c r="O53" i="12" s="1"/>
  <c r="O39" i="21"/>
  <c r="O29" i="21"/>
  <c r="O31" i="21"/>
  <c r="O32" i="21" s="1"/>
  <c r="P48" i="21"/>
  <c r="P46" i="21"/>
  <c r="N17" i="19"/>
  <c r="N18" i="19" s="1"/>
  <c r="N22" i="19" s="1"/>
  <c r="N24" i="19" s="1"/>
  <c r="P47" i="12"/>
  <c r="P49" i="12" s="1"/>
  <c r="P17" i="23" s="1"/>
  <c r="Q30" i="9"/>
  <c r="Q32" i="9" s="1"/>
  <c r="Q16" i="23" s="1"/>
  <c r="Q29" i="9"/>
  <c r="Q22" i="21" s="1"/>
  <c r="R16" i="7"/>
  <c r="R22" i="9" s="1"/>
  <c r="O33" i="11"/>
  <c r="N46" i="25" l="1"/>
  <c r="N47" i="25" s="1"/>
  <c r="P28" i="12"/>
  <c r="P16" i="25"/>
  <c r="P48" i="23"/>
  <c r="P50" i="23" s="1"/>
  <c r="Q22" i="23"/>
  <c r="O47" i="21"/>
  <c r="O17" i="25"/>
  <c r="O23" i="25" s="1"/>
  <c r="O28" i="23"/>
  <c r="O52" i="21"/>
  <c r="P33" i="23"/>
  <c r="P18" i="23"/>
  <c r="Q23" i="21"/>
  <c r="Q16" i="21"/>
  <c r="P51" i="12"/>
  <c r="P53" i="12" s="1"/>
  <c r="P39" i="21"/>
  <c r="P29" i="21"/>
  <c r="P31" i="21"/>
  <c r="P32" i="21" s="1"/>
  <c r="O19" i="19"/>
  <c r="R26" i="21"/>
  <c r="Q36" i="13"/>
  <c r="R17" i="7"/>
  <c r="R14" i="12" s="1"/>
  <c r="R14" i="13"/>
  <c r="R23" i="9"/>
  <c r="R28" i="25" s="1"/>
  <c r="O34" i="11"/>
  <c r="O36" i="11" s="1"/>
  <c r="Q13" i="13"/>
  <c r="Q17" i="13" s="1"/>
  <c r="Q34" i="9"/>
  <c r="Q37" i="9" s="1"/>
  <c r="O18" i="25" l="1"/>
  <c r="O43" i="23"/>
  <c r="O32" i="23"/>
  <c r="O34" i="23" s="1"/>
  <c r="O29" i="23"/>
  <c r="O37" i="23" s="1"/>
  <c r="Q30" i="21"/>
  <c r="Q22" i="25"/>
  <c r="Q42" i="23"/>
  <c r="Q24" i="23"/>
  <c r="O29" i="25"/>
  <c r="O24" i="25"/>
  <c r="P47" i="21"/>
  <c r="P17" i="25"/>
  <c r="P23" i="25" s="1"/>
  <c r="P28" i="23"/>
  <c r="P52" i="21"/>
  <c r="R15" i="21"/>
  <c r="R33" i="21"/>
  <c r="U26" i="21"/>
  <c r="T26" i="21"/>
  <c r="Q31" i="13"/>
  <c r="Q33" i="13" s="1"/>
  <c r="Q17" i="21"/>
  <c r="Q48" i="21"/>
  <c r="Q46" i="21"/>
  <c r="R18" i="12"/>
  <c r="R38" i="21"/>
  <c r="P33" i="11"/>
  <c r="P34" i="11" s="1"/>
  <c r="P36" i="11" s="1"/>
  <c r="R28" i="9"/>
  <c r="O16" i="19" s="1"/>
  <c r="R24" i="9"/>
  <c r="R21" i="21" s="1"/>
  <c r="Q35" i="13"/>
  <c r="Q46" i="12"/>
  <c r="O41" i="25" l="1"/>
  <c r="O42" i="25" s="1"/>
  <c r="O30" i="25"/>
  <c r="O46" i="25" s="1"/>
  <c r="O47" i="25" s="1"/>
  <c r="P32" i="23"/>
  <c r="P34" i="23" s="1"/>
  <c r="P43" i="23"/>
  <c r="P29" i="23"/>
  <c r="P29" i="25"/>
  <c r="P24" i="25"/>
  <c r="O54" i="23"/>
  <c r="O55" i="23" s="1"/>
  <c r="O57" i="23" s="1"/>
  <c r="O44" i="23"/>
  <c r="Q48" i="23"/>
  <c r="Q50" i="23" s="1"/>
  <c r="P18" i="25"/>
  <c r="U38" i="21"/>
  <c r="T38" i="21"/>
  <c r="R27" i="21"/>
  <c r="T21" i="21"/>
  <c r="U21" i="21"/>
  <c r="T33" i="21"/>
  <c r="U33" i="21"/>
  <c r="U15" i="21"/>
  <c r="T15" i="21"/>
  <c r="C31" i="19"/>
  <c r="O17" i="19"/>
  <c r="O18" i="19" s="1"/>
  <c r="O22" i="19" s="1"/>
  <c r="R30" i="9"/>
  <c r="R32" i="9" s="1"/>
  <c r="R16" i="23" s="1"/>
  <c r="R29" i="9"/>
  <c r="R22" i="21" s="1"/>
  <c r="Q47" i="12"/>
  <c r="Q49" i="12" s="1"/>
  <c r="Q17" i="23" s="1"/>
  <c r="Q39" i="13"/>
  <c r="Q21" i="12" s="1"/>
  <c r="Q26" i="12" s="1"/>
  <c r="R36" i="13"/>
  <c r="P37" i="23" l="1"/>
  <c r="R22" i="23"/>
  <c r="P54" i="23"/>
  <c r="P55" i="23" s="1"/>
  <c r="P57" i="23" s="1"/>
  <c r="P44" i="23"/>
  <c r="Q28" i="12"/>
  <c r="Q16" i="25"/>
  <c r="Q33" i="23"/>
  <c r="Q18" i="23"/>
  <c r="P41" i="25"/>
  <c r="P42" i="25" s="1"/>
  <c r="P30" i="25"/>
  <c r="U22" i="21"/>
  <c r="T22" i="21"/>
  <c r="T27" i="21"/>
  <c r="U27" i="21"/>
  <c r="R23" i="21"/>
  <c r="R16" i="21"/>
  <c r="Q51" i="12"/>
  <c r="Q53" i="12" s="1"/>
  <c r="Q39" i="21"/>
  <c r="Q29" i="21"/>
  <c r="Q31" i="21"/>
  <c r="Q32" i="21" s="1"/>
  <c r="C32" i="19"/>
  <c r="P24" i="19" s="1"/>
  <c r="O24" i="19"/>
  <c r="R34" i="9"/>
  <c r="R37" i="9" s="1"/>
  <c r="R13" i="13"/>
  <c r="R17" i="13" s="1"/>
  <c r="P46" i="25" l="1"/>
  <c r="P47" i="25" s="1"/>
  <c r="R30" i="21"/>
  <c r="R22" i="25"/>
  <c r="Q47" i="21"/>
  <c r="Q17" i="25"/>
  <c r="Q23" i="25" s="1"/>
  <c r="Q28" i="23"/>
  <c r="Q52" i="21"/>
  <c r="R42" i="23"/>
  <c r="R24" i="23"/>
  <c r="T30" i="21"/>
  <c r="U30" i="21"/>
  <c r="Q33" i="11"/>
  <c r="Q34" i="11" s="1"/>
  <c r="Q36" i="11" s="1"/>
  <c r="R17" i="21"/>
  <c r="T16" i="21"/>
  <c r="U16" i="21"/>
  <c r="U23" i="21"/>
  <c r="T23" i="21"/>
  <c r="R48" i="21"/>
  <c r="R46" i="21"/>
  <c r="C33" i="19"/>
  <c r="C38" i="19"/>
  <c r="C42" i="19" s="1"/>
  <c r="C44" i="19" s="1"/>
  <c r="R31" i="13"/>
  <c r="R33" i="13" s="1"/>
  <c r="R35" i="13" s="1"/>
  <c r="R39" i="13" s="1"/>
  <c r="R21" i="12" s="1"/>
  <c r="R26" i="12" s="1"/>
  <c r="R46" i="12"/>
  <c r="R47" i="12" s="1"/>
  <c r="R49" i="12" s="1"/>
  <c r="R17" i="23" s="1"/>
  <c r="Q18" i="25" l="1"/>
  <c r="R48" i="23"/>
  <c r="R50" i="23" s="1"/>
  <c r="R33" i="23"/>
  <c r="R18" i="23"/>
  <c r="R28" i="12"/>
  <c r="R16" i="25"/>
  <c r="R33" i="11"/>
  <c r="R34" i="11" s="1"/>
  <c r="R36" i="11" s="1"/>
  <c r="Q43" i="23"/>
  <c r="Q32" i="23"/>
  <c r="Q34" i="23" s="1"/>
  <c r="Q29" i="23"/>
  <c r="Q29" i="25"/>
  <c r="Q24" i="25"/>
  <c r="U46" i="21"/>
  <c r="T46" i="21"/>
  <c r="R51" i="12"/>
  <c r="R39" i="21"/>
  <c r="R29" i="21"/>
  <c r="R31" i="21"/>
  <c r="T48" i="21"/>
  <c r="U48" i="21"/>
  <c r="U17" i="21"/>
  <c r="T17" i="21"/>
  <c r="I39" i="19"/>
  <c r="I31" i="19"/>
  <c r="F32" i="19"/>
  <c r="F33" i="19" s="1"/>
  <c r="R53" i="12" l="1"/>
  <c r="Q37" i="23"/>
  <c r="Q41" i="25"/>
  <c r="Q42" i="25" s="1"/>
  <c r="Q30" i="25"/>
  <c r="Q46" i="25" s="1"/>
  <c r="Q47" i="25" s="1"/>
  <c r="Q54" i="23"/>
  <c r="Q55" i="23" s="1"/>
  <c r="Q57" i="23" s="1"/>
  <c r="Q44" i="23"/>
  <c r="R47" i="21"/>
  <c r="R17" i="25"/>
  <c r="R23" i="25" s="1"/>
  <c r="R28" i="23"/>
  <c r="R52" i="21"/>
  <c r="T29" i="21"/>
  <c r="U29" i="21"/>
  <c r="T31" i="21"/>
  <c r="U31" i="21"/>
  <c r="R32" i="21"/>
  <c r="T39" i="21"/>
  <c r="U39" i="21"/>
  <c r="R43" i="23" l="1"/>
  <c r="R32" i="23"/>
  <c r="R34" i="23" s="1"/>
  <c r="R29" i="23"/>
  <c r="R24" i="25"/>
  <c r="R29" i="25"/>
  <c r="T47" i="21"/>
  <c r="U47" i="21"/>
  <c r="R18" i="25"/>
  <c r="U32" i="21"/>
  <c r="T32" i="21"/>
  <c r="R37" i="23" l="1"/>
  <c r="R41" i="25"/>
  <c r="R42" i="25" s="1"/>
  <c r="R30" i="25"/>
  <c r="R54" i="23"/>
  <c r="R55" i="23" s="1"/>
  <c r="R57" i="23" s="1"/>
  <c r="R44" i="23"/>
  <c r="R46" i="25" l="1"/>
  <c r="R47" i="25" s="1"/>
</calcChain>
</file>

<file path=xl/sharedStrings.xml><?xml version="1.0" encoding="utf-8"?>
<sst xmlns="http://schemas.openxmlformats.org/spreadsheetml/2006/main" count="996" uniqueCount="515">
  <si>
    <t>Revenue from operations</t>
  </si>
  <si>
    <t>Income</t>
  </si>
  <si>
    <t>Other Income</t>
  </si>
  <si>
    <t>Total Income</t>
  </si>
  <si>
    <t>Expenses</t>
  </si>
  <si>
    <t>Consumption of materials, cost of jobs and services</t>
  </si>
  <si>
    <t>Purchases of stock-in-trade</t>
  </si>
  <si>
    <t>Changes in inventories of finished goods, stock-in-trade and work-in-progress</t>
  </si>
  <si>
    <t>Employee benefits expenses</t>
  </si>
  <si>
    <t>Finance costs</t>
  </si>
  <si>
    <t>Depreciation and amortisation expense</t>
  </si>
  <si>
    <t>Other expenses</t>
  </si>
  <si>
    <t>Total Expenses</t>
  </si>
  <si>
    <t>Particulars</t>
  </si>
  <si>
    <t>Exceptional Items</t>
  </si>
  <si>
    <t>Profit before exceptional items and tax</t>
  </si>
  <si>
    <t>Pro t before tax</t>
  </si>
  <si>
    <t>Tax</t>
  </si>
  <si>
    <t>Net Profit</t>
  </si>
  <si>
    <t>Share of profit / (loss) of joint ventures and associates</t>
  </si>
  <si>
    <t>Profit before share of profit / (loss) of joint ventures and associates, exceptional items and tax</t>
  </si>
  <si>
    <t>#</t>
  </si>
  <si>
    <t>Balance Sheet</t>
  </si>
  <si>
    <t>Assets</t>
  </si>
  <si>
    <t>Non Current Assets</t>
  </si>
  <si>
    <t>Property, plant and equipment</t>
  </si>
  <si>
    <t>Capital work-in-progress</t>
  </si>
  <si>
    <t>Investment property</t>
  </si>
  <si>
    <t>Goodwill</t>
  </si>
  <si>
    <t>Right-of-use assets</t>
  </si>
  <si>
    <t>Other intangible assets</t>
  </si>
  <si>
    <t>Investments in joint ventures and associates</t>
  </si>
  <si>
    <t>Financial assets</t>
  </si>
  <si>
    <t>Investments</t>
  </si>
  <si>
    <t>Trade receivable</t>
  </si>
  <si>
    <t>Loans</t>
  </si>
  <si>
    <t>Other financial assets</t>
  </si>
  <si>
    <t>Income tax assets (net)</t>
  </si>
  <si>
    <t>Deferred tax assets (net)</t>
  </si>
  <si>
    <t>Other non-current assets</t>
  </si>
  <si>
    <t>Total Non- Current Assets</t>
  </si>
  <si>
    <t>Current Assets</t>
  </si>
  <si>
    <t>Inventories</t>
  </si>
  <si>
    <t>Contract assets</t>
  </si>
  <si>
    <t>Trade receivables</t>
  </si>
  <si>
    <t>Cash and cash equivalents</t>
  </si>
  <si>
    <t>Other balances with banks</t>
  </si>
  <si>
    <t>Other current assets</t>
  </si>
  <si>
    <t>Total Current Asets</t>
  </si>
  <si>
    <t>Total Assets</t>
  </si>
  <si>
    <t>EQUITY AND LIABILITIES</t>
  </si>
  <si>
    <t>Equity</t>
  </si>
  <si>
    <t>Equity share capital</t>
  </si>
  <si>
    <t>Other equity</t>
  </si>
  <si>
    <t>Equity attributable to owners of the Company</t>
  </si>
  <si>
    <t>Non - Controlling Interest</t>
  </si>
  <si>
    <t>Total Equity</t>
  </si>
  <si>
    <t>Liabilities</t>
  </si>
  <si>
    <t>Non-current liabilities</t>
  </si>
  <si>
    <t>Contract liabilities</t>
  </si>
  <si>
    <t>Financial liabilities</t>
  </si>
  <si>
    <t>Borrowings</t>
  </si>
  <si>
    <t>Other financial liabilities</t>
  </si>
  <si>
    <t>Provisions</t>
  </si>
  <si>
    <t>Deferred tax liabilities (net)</t>
  </si>
  <si>
    <t>Other non-current liabilities</t>
  </si>
  <si>
    <t>Total No-Current Liabilities</t>
  </si>
  <si>
    <t>Current Liabilities</t>
  </si>
  <si>
    <t>Trade payables</t>
  </si>
  <si>
    <t>Income tax liabilities (net)</t>
  </si>
  <si>
    <t>Other current liabilities</t>
  </si>
  <si>
    <t>Total Current Liabilities</t>
  </si>
  <si>
    <t>Total Liabilities</t>
  </si>
  <si>
    <t>Total Equity and Liabiliies</t>
  </si>
  <si>
    <t>Check</t>
  </si>
  <si>
    <t>Lease Liabilities</t>
  </si>
  <si>
    <t>Cashflow Statement</t>
  </si>
  <si>
    <t>CASH FLOW FROM OPERATING ACTIVITIES</t>
  </si>
  <si>
    <t>Profit before tax</t>
  </si>
  <si>
    <t>Adjustments for :</t>
  </si>
  <si>
    <t>Share of (profit) / loss of joint ventures and associates</t>
  </si>
  <si>
    <t>Depreciation and amortisation expenses</t>
  </si>
  <si>
    <t>Allowance for doubtful debts and advances</t>
  </si>
  <si>
    <t>Unrealised foreign exchange (gain) / loss (net)</t>
  </si>
  <si>
    <t>Interest income</t>
  </si>
  <si>
    <t>Dividend income</t>
  </si>
  <si>
    <t>(Gain) / loss arising on financial assets measured at Fair Value through Profit or Loss (FVTPL) (net)</t>
  </si>
  <si>
    <t>Liabilities/provisions no longer required written back</t>
  </si>
  <si>
    <t>Gain) / loss on disposal of property, plant and equipment</t>
  </si>
  <si>
    <t>Rental income</t>
  </si>
  <si>
    <t>Changes in Working Capital:</t>
  </si>
  <si>
    <t>Adjustments for (increase) / decrease in operating assets:</t>
  </si>
  <si>
    <t>Contract asset</t>
  </si>
  <si>
    <t>Other non-financial assets</t>
  </si>
  <si>
    <t>Adjustments for increase / (decrease) in operating liabilities:</t>
  </si>
  <si>
    <t>Contract liabilitie</t>
  </si>
  <si>
    <t>Other non-financial liabilities</t>
  </si>
  <si>
    <t>Provision</t>
  </si>
  <si>
    <t>Cash generated from operations</t>
  </si>
  <si>
    <t>NET CASH FLOW FROM OPERATING ACTIVITIES A</t>
  </si>
  <si>
    <t>income tax paid (Net of refunds)</t>
  </si>
  <si>
    <t>CASH FLOW FROM INVESTING ACTIVITIES</t>
  </si>
  <si>
    <t>Purchase of property, plant and equipment and intangible assets</t>
  </si>
  <si>
    <t>Proceeds from disposal of property, plant and equipment</t>
  </si>
  <si>
    <t>(Investment in)/proceeds from fixed deposits</t>
  </si>
  <si>
    <t>Purchase of investments</t>
  </si>
  <si>
    <t>Proceeds from sale of investments</t>
  </si>
  <si>
    <t>Interest received</t>
  </si>
  <si>
    <t>Dividend received:</t>
  </si>
  <si>
    <t>– joint ventures and associates</t>
  </si>
  <si>
    <t>– others</t>
  </si>
  <si>
    <t>Rent received</t>
  </si>
  <si>
    <t>Rental deposits (repaid) / received</t>
  </si>
  <si>
    <t>NET CASH FLOW USED IN INVESTING ACTIVITIES (B)</t>
  </si>
  <si>
    <t>CASH FLOW FROM FINANCING ACTIVITIES</t>
  </si>
  <si>
    <t>Proceeds from issue of equity instruments of the Company (Calls-in-Arrears and security premium)</t>
  </si>
  <si>
    <t>Share issue expenses</t>
  </si>
  <si>
    <t>Repayment of loans during the year</t>
  </si>
  <si>
    <t>Proceeds from loans taken during the year</t>
  </si>
  <si>
    <t>Interest paid</t>
  </si>
  <si>
    <t>Payment of lease liability</t>
  </si>
  <si>
    <t>NET CASH FLOW USED IN FINANCING ACTIVITIES (C)</t>
  </si>
  <si>
    <t>NET INCREASE / (DECREASE) IN CASH AND CASH EQUIVALENTS (A+B+C)</t>
  </si>
  <si>
    <t>CASH AND CASH EQUIVALENTS AT THE BEGINNING OF THE YEAR</t>
  </si>
  <si>
    <t>CASH AND CASH EQUIVALENTS AT THE END OF THE YEAR</t>
  </si>
  <si>
    <t>Effect of exchange difference on restatement of foreign currency Cash and cash equivalents</t>
  </si>
  <si>
    <t xml:space="preserve">Dividend paid </t>
  </si>
  <si>
    <t>Proceeds from maturity of fixed deposits</t>
  </si>
  <si>
    <t>Investment in inter corporate deposits</t>
  </si>
  <si>
    <t>Investment in equity shares of joint venture</t>
  </si>
  <si>
    <t>Proceeds from maturity of inter corporate deposits</t>
  </si>
  <si>
    <t>Segment Revenue</t>
  </si>
  <si>
    <t>Segment - A (Unitary Cooling Products)</t>
  </si>
  <si>
    <t>Segment - B (Electro - Mechanical Projects and Services)</t>
  </si>
  <si>
    <t>Segment - C (Engineering Products and Services)</t>
  </si>
  <si>
    <t>Gross Turnover</t>
  </si>
  <si>
    <t>Less: Inter segment revenue</t>
  </si>
  <si>
    <t>Segment Total</t>
  </si>
  <si>
    <t>Add: Other operating income</t>
  </si>
  <si>
    <t>Revenue by Geographical Market</t>
  </si>
  <si>
    <t>India</t>
  </si>
  <si>
    <t>Middle East</t>
  </si>
  <si>
    <t>Africa</t>
  </si>
  <si>
    <t>Singapore</t>
  </si>
  <si>
    <t>Others</t>
  </si>
  <si>
    <t>Revenue</t>
  </si>
  <si>
    <t>All Figure In INR Cr.</t>
  </si>
  <si>
    <t>Scenario</t>
  </si>
  <si>
    <t>Best Case</t>
  </si>
  <si>
    <t>Base Case</t>
  </si>
  <si>
    <t>Worst Case</t>
  </si>
  <si>
    <t>Scenario Manager</t>
  </si>
  <si>
    <t>COGS</t>
  </si>
  <si>
    <t>Total COGS</t>
  </si>
  <si>
    <t>Gross Profit</t>
  </si>
  <si>
    <t>COGS %</t>
  </si>
  <si>
    <t>EBITDA</t>
  </si>
  <si>
    <t>EBIT</t>
  </si>
  <si>
    <t>Opex</t>
  </si>
  <si>
    <t xml:space="preserve">Effective Tax rate </t>
  </si>
  <si>
    <t>Interest</t>
  </si>
  <si>
    <t>Deperciation schedules</t>
  </si>
  <si>
    <t>PPE Opening</t>
  </si>
  <si>
    <t>Plus -Capex</t>
  </si>
  <si>
    <t>Less-Dep</t>
  </si>
  <si>
    <t>PPE Closing</t>
  </si>
  <si>
    <t>Opening Debt</t>
  </si>
  <si>
    <t>Issuance (Repayment)</t>
  </si>
  <si>
    <t>Debt Closing</t>
  </si>
  <si>
    <t>Interest Expenses</t>
  </si>
  <si>
    <t>Debt &amp; Interest Schedules</t>
  </si>
  <si>
    <t>Dep  % Of PPE</t>
  </si>
  <si>
    <t>Capital Assets Turnover ratio</t>
  </si>
  <si>
    <t>Interest % as Debt</t>
  </si>
  <si>
    <t>Days of operation</t>
  </si>
  <si>
    <t>Inventores</t>
  </si>
  <si>
    <t>Recievables</t>
  </si>
  <si>
    <t>New Working Capital</t>
  </si>
  <si>
    <t>KPIs</t>
  </si>
  <si>
    <t>DIO</t>
  </si>
  <si>
    <t>DSO</t>
  </si>
  <si>
    <t>DPO</t>
  </si>
  <si>
    <t>Net Trade Cycle</t>
  </si>
  <si>
    <t>Change in Working Capital</t>
  </si>
  <si>
    <t>Operating profit before working capital changes</t>
  </si>
  <si>
    <t>Total</t>
  </si>
  <si>
    <t>Gross Margin</t>
  </si>
  <si>
    <t>Salaries and Benefits</t>
  </si>
  <si>
    <t>Others SG&amp;A Expenses</t>
  </si>
  <si>
    <t>EBITDA Margin</t>
  </si>
  <si>
    <t>Dep</t>
  </si>
  <si>
    <t>EBT</t>
  </si>
  <si>
    <t>EBIT Margin</t>
  </si>
  <si>
    <t>EBT Margin</t>
  </si>
  <si>
    <t>Share in Profit / (Loss) of Associate and Joint Venture</t>
  </si>
  <si>
    <t>Dividend Paid</t>
  </si>
  <si>
    <t>Dividend Payout Ratio</t>
  </si>
  <si>
    <t>BalanceSheet</t>
  </si>
  <si>
    <t>Non-Current Assets</t>
  </si>
  <si>
    <t>Laibilities</t>
  </si>
  <si>
    <t>Property, plant, equipment</t>
  </si>
  <si>
    <t>Financial Assets</t>
  </si>
  <si>
    <t>other Non-Current Assets</t>
  </si>
  <si>
    <t>Cash</t>
  </si>
  <si>
    <t>Bank Deposit</t>
  </si>
  <si>
    <t>Account Receivable</t>
  </si>
  <si>
    <t>other current assets</t>
  </si>
  <si>
    <t>Total Non Current Assets</t>
  </si>
  <si>
    <t>Total Current Assets</t>
  </si>
  <si>
    <t>Account Payables</t>
  </si>
  <si>
    <t>Non-Current Liabilities</t>
  </si>
  <si>
    <t>Debt</t>
  </si>
  <si>
    <t>Other Non current Liabilities</t>
  </si>
  <si>
    <t>other Current laibilities</t>
  </si>
  <si>
    <t>Total Non-Current Liabilities</t>
  </si>
  <si>
    <t>Total Laibilities</t>
  </si>
  <si>
    <t>Operating Cashflow</t>
  </si>
  <si>
    <t>Net Earning</t>
  </si>
  <si>
    <t>Plus- Dep &amp; Amotization</t>
  </si>
  <si>
    <t>Plus/Less- Adjustment for non-operating items</t>
  </si>
  <si>
    <t>Plus/less- adjustment For Operating Assets and Liabilities</t>
  </si>
  <si>
    <t>cashflow From Operation</t>
  </si>
  <si>
    <t>Investing cashflow</t>
  </si>
  <si>
    <t>Investment in Property and Equipment</t>
  </si>
  <si>
    <t>Sale OF property, Plant and Equipment</t>
  </si>
  <si>
    <t>Purchase/sales of Investment</t>
  </si>
  <si>
    <t>Dividend received</t>
  </si>
  <si>
    <t>CashFlow From Investing</t>
  </si>
  <si>
    <t>Financing CashFlow</t>
  </si>
  <si>
    <t>Issuance(Repayment) of Debt</t>
  </si>
  <si>
    <t>Issuance(Repayment) of Pref. shares (NCI)</t>
  </si>
  <si>
    <t>Dividends paid</t>
  </si>
  <si>
    <t>CashFlow From Financing</t>
  </si>
  <si>
    <t xml:space="preserve">Net Increase (Decrease) in Cash </t>
  </si>
  <si>
    <t>Opening Cash Balance</t>
  </si>
  <si>
    <t>Closing Cash Balance</t>
  </si>
  <si>
    <t>Total Liabilities &amp; Equity</t>
  </si>
  <si>
    <t>Revenue Growth (Y-O-Y)</t>
  </si>
  <si>
    <t>Other operating income</t>
  </si>
  <si>
    <t>Date</t>
  </si>
  <si>
    <t>Close Price</t>
  </si>
  <si>
    <t>BSE Sensex</t>
  </si>
  <si>
    <t>Year</t>
  </si>
  <si>
    <t>Return</t>
  </si>
  <si>
    <t>Month</t>
  </si>
  <si>
    <t>Closing Price Of Voltas</t>
  </si>
  <si>
    <t>Closing price of Sensex</t>
  </si>
  <si>
    <t>% Change Of Return</t>
  </si>
  <si>
    <t>Beta</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</si>
  <si>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</si>
  <si>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</si>
  <si>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</si>
  <si>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</si>
  <si>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</si>
  <si>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</si>
  <si>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</si>
  <si>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</si>
  <si>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</si>
  <si>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</si>
  <si>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</si>
  <si>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</si>
  <si>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</si>
  <si>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</si>
  <si>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</si>
  <si>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</si>
  <si>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</si>
  <si>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</si>
  <si>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</si>
  <si>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</si>
  <si>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</si>
  <si>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</si>
  <si>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</si>
  <si>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</si>
  <si>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Voltas Return</t>
  </si>
  <si>
    <t>BSE Sensex Return</t>
  </si>
  <si>
    <t>10 Year monthly Return</t>
  </si>
  <si>
    <t>10 Year Monthly Beta</t>
  </si>
  <si>
    <t>Voltas</t>
  </si>
  <si>
    <t>Blue Star</t>
  </si>
  <si>
    <t>Amber Enterp.</t>
  </si>
  <si>
    <t>Crompton Gr. Con</t>
  </si>
  <si>
    <t>Whirlpool India</t>
  </si>
  <si>
    <t>V-Guard Industri</t>
  </si>
  <si>
    <t>Eureka Forbes</t>
  </si>
  <si>
    <t>Company Name</t>
  </si>
  <si>
    <t>Ticker</t>
  </si>
  <si>
    <t>Cuurent Price</t>
  </si>
  <si>
    <t>Shares</t>
  </si>
  <si>
    <t>Net  Profit</t>
  </si>
  <si>
    <t>Sales</t>
  </si>
  <si>
    <t>All Figures in INR Cr.</t>
  </si>
  <si>
    <t>VOLTAS</t>
  </si>
  <si>
    <t>BLUESTARCO</t>
  </si>
  <si>
    <t>AMBER</t>
  </si>
  <si>
    <t>CROMPTON</t>
  </si>
  <si>
    <t>WHIRLPOOL</t>
  </si>
  <si>
    <t>VGUARD</t>
  </si>
  <si>
    <t>EUREKAFORB</t>
  </si>
  <si>
    <t>Market Data</t>
  </si>
  <si>
    <t>Price</t>
  </si>
  <si>
    <t>Share</t>
  </si>
  <si>
    <t>Market Cap</t>
  </si>
  <si>
    <t xml:space="preserve">Cash </t>
  </si>
  <si>
    <t>EV</t>
  </si>
  <si>
    <t>(/share)</t>
  </si>
  <si>
    <t>(Cr.)</t>
  </si>
  <si>
    <t>₹ Cr.</t>
  </si>
  <si>
    <t>Financial data</t>
  </si>
  <si>
    <t>Valution</t>
  </si>
  <si>
    <t>Earnings</t>
  </si>
  <si>
    <t>EV/Sales</t>
  </si>
  <si>
    <t>EV/EBITDA</t>
  </si>
  <si>
    <t>P/E</t>
  </si>
  <si>
    <t>x</t>
  </si>
  <si>
    <t>75th Percentile</t>
  </si>
  <si>
    <t>Average</t>
  </si>
  <si>
    <t>Median</t>
  </si>
  <si>
    <t>25th Percentile</t>
  </si>
  <si>
    <t>Low</t>
  </si>
  <si>
    <t>High</t>
  </si>
  <si>
    <t>Metric</t>
  </si>
  <si>
    <t>Comps</t>
  </si>
  <si>
    <t>Equity Value</t>
  </si>
  <si>
    <t xml:space="preserve">Share Price </t>
  </si>
  <si>
    <t>EV/REVENUE</t>
  </si>
  <si>
    <t>Net Debt (₹ Cr.)</t>
  </si>
  <si>
    <t>EV (₹ Cr.)</t>
  </si>
  <si>
    <t>Equity Value (₹ Cr.)</t>
  </si>
  <si>
    <t xml:space="preserve">Shares (Cr.) </t>
  </si>
  <si>
    <t>Stock Value</t>
  </si>
  <si>
    <t>Companies</t>
  </si>
  <si>
    <t>Comparables Companies Beta</t>
  </si>
  <si>
    <t>equity Value</t>
  </si>
  <si>
    <t>Total Debt</t>
  </si>
  <si>
    <t xml:space="preserve">Debt/Equity </t>
  </si>
  <si>
    <t>Debt/Capital</t>
  </si>
  <si>
    <t>Tax rate</t>
  </si>
  <si>
    <t>Levered Beta</t>
  </si>
  <si>
    <t>Unlevered Beta</t>
  </si>
  <si>
    <t>WACC Calculation</t>
  </si>
  <si>
    <t>Target Capital Structure</t>
  </si>
  <si>
    <t>Proportion of Debt</t>
  </si>
  <si>
    <t>Proportion of Equity</t>
  </si>
  <si>
    <t>Current Capital structure</t>
  </si>
  <si>
    <t>Market cap</t>
  </si>
  <si>
    <t>Debt/equity</t>
  </si>
  <si>
    <t>Cost of debt</t>
  </si>
  <si>
    <t>Pre-tax cost of debt</t>
  </si>
  <si>
    <t>tax rate</t>
  </si>
  <si>
    <t>After -Tax cost of debt</t>
  </si>
  <si>
    <t>Cost of equity</t>
  </si>
  <si>
    <t>Risk free Rate</t>
  </si>
  <si>
    <t>Equity Market Return</t>
  </si>
  <si>
    <t>Equity risk premium</t>
  </si>
  <si>
    <t>Levered Equity Beta</t>
  </si>
  <si>
    <t>WACC</t>
  </si>
  <si>
    <t>Risk Free Rate</t>
  </si>
  <si>
    <t>Beta By Using Current Market Data</t>
  </si>
  <si>
    <t>Assumptions</t>
  </si>
  <si>
    <t>Transaction Date</t>
  </si>
  <si>
    <t>Fiscal Year End</t>
  </si>
  <si>
    <t>Tax Rate</t>
  </si>
  <si>
    <t>EV/EBITDA Multiple</t>
  </si>
  <si>
    <t>Perpetual Growth Rate</t>
  </si>
  <si>
    <t>Discount Rate</t>
  </si>
  <si>
    <t>Shares Outstanding</t>
  </si>
  <si>
    <t>Current market price</t>
  </si>
  <si>
    <t>DCF</t>
  </si>
  <si>
    <t>DATE</t>
  </si>
  <si>
    <t>Time Periods</t>
  </si>
  <si>
    <t>Year Frac</t>
  </si>
  <si>
    <t>Entry</t>
  </si>
  <si>
    <t xml:space="preserve">Exit </t>
  </si>
  <si>
    <t>less- cash Taxes</t>
  </si>
  <si>
    <t>NOPAT</t>
  </si>
  <si>
    <t>Less - Capex</t>
  </si>
  <si>
    <t>Less- Change in NWC</t>
  </si>
  <si>
    <t>Unlevered FCFF</t>
  </si>
  <si>
    <t>Transaction FCFF</t>
  </si>
  <si>
    <t>Terminal Value</t>
  </si>
  <si>
    <t>Prep.Growth</t>
  </si>
  <si>
    <t>Intrinsic Value</t>
  </si>
  <si>
    <t>Enterpreise Value</t>
  </si>
  <si>
    <t>Plus: Cash &amp; Cash equivalent</t>
  </si>
  <si>
    <t>Less- Debt</t>
  </si>
  <si>
    <t>Less-non- controlling interest</t>
  </si>
  <si>
    <t>Market Value</t>
  </si>
  <si>
    <t>plus- Debt</t>
  </si>
  <si>
    <t>Plus - Non- controlling interest</t>
  </si>
  <si>
    <t>Less- cash &amp; cash Equivalent</t>
  </si>
  <si>
    <t>Equity value/share</t>
  </si>
  <si>
    <t>Rate of Return</t>
  </si>
  <si>
    <t>Current price</t>
  </si>
  <si>
    <t>Target Price</t>
  </si>
  <si>
    <t>Target Price Upside</t>
  </si>
  <si>
    <t>Discounted CashFlow</t>
  </si>
  <si>
    <t>Sensitivity - Intrinsic Value (Rs/share)</t>
  </si>
  <si>
    <t>Exit Multiple</t>
  </si>
  <si>
    <t>Aduited</t>
  </si>
  <si>
    <t>Projected</t>
  </si>
  <si>
    <t>Valuation Summary- Football Field</t>
  </si>
  <si>
    <t>Football Field Data</t>
  </si>
  <si>
    <t>Market Consenses</t>
  </si>
  <si>
    <t>Valuation Summary</t>
  </si>
  <si>
    <t>52-Week Hi/Lo</t>
  </si>
  <si>
    <t>Return on Equity</t>
  </si>
  <si>
    <t>Sales Growth</t>
  </si>
  <si>
    <t>EBITDA Growth</t>
  </si>
  <si>
    <t>EBIT Growth</t>
  </si>
  <si>
    <t>Net Profit Growth</t>
  </si>
  <si>
    <t>Dividend growth</t>
  </si>
  <si>
    <t xml:space="preserve">Gross Margin </t>
  </si>
  <si>
    <t>Net Profit Margin</t>
  </si>
  <si>
    <t>SalesExpenses% Sales</t>
  </si>
  <si>
    <t>Dep% Sales</t>
  </si>
  <si>
    <t>Operatinal Income% Sales</t>
  </si>
  <si>
    <t>Return on Capital Employee</t>
  </si>
  <si>
    <t>Retained Earning</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</si>
  <si>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</si>
  <si>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</si>
  <si>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</si>
  <si>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</si>
  <si>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</si>
  <si>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</si>
  <si>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</si>
  <si>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</si>
  <si>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</si>
  <si>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</si>
  <si>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CFO/Sales</t>
  </si>
  <si>
    <t>CFO/Total Assets</t>
  </si>
  <si>
    <t>CFO/Total Debts</t>
  </si>
  <si>
    <t>Cash Conversion Cycle</t>
  </si>
  <si>
    <t>Trends</t>
  </si>
  <si>
    <t>Mean</t>
  </si>
  <si>
    <t>Income Statement</t>
  </si>
  <si>
    <t>Comparable Valuation</t>
  </si>
  <si>
    <t>Ratios Analysis</t>
  </si>
  <si>
    <t>Colour Code</t>
  </si>
  <si>
    <t>Blue colour</t>
  </si>
  <si>
    <t>Hardcoded Figures</t>
  </si>
  <si>
    <t>Black colour</t>
  </si>
  <si>
    <t>Calculated Figures</t>
  </si>
  <si>
    <t>Green Colour</t>
  </si>
  <si>
    <t>Link Data figures</t>
  </si>
  <si>
    <t>ISIN Code</t>
  </si>
  <si>
    <t>Sector Name</t>
  </si>
  <si>
    <t>Industry</t>
  </si>
  <si>
    <t>Exchange Name</t>
  </si>
  <si>
    <t>Website</t>
  </si>
  <si>
    <t>Company Description</t>
  </si>
  <si>
    <t>INE226A01021</t>
  </si>
  <si>
    <t>Voltas Limited </t>
  </si>
  <si>
    <t>Household Appliances</t>
  </si>
  <si>
    <t xml:space="preserve">Consumer Durables </t>
  </si>
  <si>
    <t xml:space="preserve"> BSE: 500575 | NSE: VOLTAS</t>
  </si>
  <si>
    <t>www.voltas.com</t>
  </si>
  <si>
    <t>Voltas Limited established in 1954 is a listed or public company and part of the leading Indian multinational Tata group which has operations in over 100 countries across 6 continents and has more than a million employees. Voltas is India's largest air conditioning company and offers a comprehensive range of cooling &amp; home appliances including air conditioners, coolers, air purifiers, refrigerators, washing machines, water dispensers, water coolers, dishwashers, microwaves, Water heaters, Commercial Refrigerators and AC Stabilizers in its portfolio. The company has 5,000+ Customer sites actively managed across India</t>
  </si>
  <si>
    <t>Items</t>
  </si>
  <si>
    <t>Sheet</t>
  </si>
  <si>
    <t>Reference</t>
  </si>
  <si>
    <t>Revenue Buildup</t>
  </si>
  <si>
    <t>I16:R16</t>
  </si>
  <si>
    <t>The Forecasted Period of this segment is taken as the latest Growth rate of this segment (i.e 30%), for the Base Case, I take +/-  5% of the Base case for the Best and worst Case.(i.e 35% &amp; 25%), and after 5 year forcsted year, I drop the projection rate by 3% in all Case(i.e 27,32,22%)</t>
  </si>
  <si>
    <t>I24:R24</t>
  </si>
  <si>
    <t>The Forecasted Period of this segment is taken as the 10% Growth rate of this segment for the Base Case, I take 15% More of the Base case for the Best Case and 5% Less of the Base Case for worst Case.(i.e 25% &amp; 5%), and after 5 year forcsted year, I drop the projection rate by 3% in all Case. I take 25% for Best &amp;  5% for worst due to their high standard Deviation of past year</t>
  </si>
  <si>
    <t>Average ShareHolder</t>
  </si>
  <si>
    <t>ROE</t>
  </si>
  <si>
    <t>ROE - Dupont Equation</t>
  </si>
  <si>
    <t>Shareholders</t>
  </si>
  <si>
    <t>Net Profit Margin (A)</t>
  </si>
  <si>
    <t>Sales Turnover Ratio  (B)</t>
  </si>
  <si>
    <t>Equity Multipler ( C )</t>
  </si>
  <si>
    <t>Retun on Equity (A*B*C)</t>
  </si>
  <si>
    <t>Return on Assets</t>
  </si>
  <si>
    <t>Average Total Assets</t>
  </si>
  <si>
    <t>Retun on Assets</t>
  </si>
  <si>
    <t>ROA - DUPONT EQUATION</t>
  </si>
  <si>
    <t xml:space="preserve">Revenue </t>
  </si>
  <si>
    <t>Assets Turover Ratio (B)</t>
  </si>
  <si>
    <t>Return on Assets (A*B)</t>
  </si>
  <si>
    <t>Working Capital/ Total Assets</t>
  </si>
  <si>
    <t>Working Capital</t>
  </si>
  <si>
    <t>Retained Earning / Total Assets</t>
  </si>
  <si>
    <t>EBIT/ Total Assets</t>
  </si>
  <si>
    <t>Market Cap / Long Term Liabilities</t>
  </si>
  <si>
    <t>Long Term Liabilities</t>
  </si>
  <si>
    <t>Sales/ Total Assets</t>
  </si>
  <si>
    <t>ALTMAN'S  Z  SCORE</t>
  </si>
  <si>
    <t>Final Score</t>
  </si>
  <si>
    <t>Finanacial Stability</t>
  </si>
  <si>
    <t>ATLMAN'S Z SCORE</t>
  </si>
  <si>
    <t>DUPONT ANALYSIS</t>
  </si>
  <si>
    <t>I32:R32</t>
  </si>
  <si>
    <t>I40:R40</t>
  </si>
  <si>
    <t>Other income</t>
  </si>
  <si>
    <t>I49:R49</t>
  </si>
  <si>
    <t>The Forecasted Period of this segment is taken as the 1% Growth rate of this segment for the Base Case, I take 14% More of the Base case for the Best Case and 6% Less of the Base Case for worst Case.(i.e 15% &amp; -5%), and after 5 year forcsted year, I drop the projection rate by 3% in all Case. I take 15% for Best &amp;  -5% for worst due to their high standard Deviation of past year</t>
  </si>
  <si>
    <t>The Forecasted Period of this segment is taken as the 5% Growth rate of this segment for the Base Case, I take 10% More of the Base case for the Best Case and 15% Less of the Base Case for worst Case.(i.e 15% &amp; -10%), and after 5 year forcsted year, I drop the projection rate by 3% in all Case. I take 15% for Best &amp;  -10% for worst due to their high standard Deviation of past year</t>
  </si>
  <si>
    <t>The Forecasted Period of this segment is taken as the average Growth rate of past 5 year of this segment for the Base Case, I take 10% More of the Base case for the Best Case and 10% Less of the Base Case for worst Case.(i.e 27% &amp; 7%), and after 5 year forcsted year.</t>
  </si>
  <si>
    <t>I58:R58</t>
  </si>
  <si>
    <t>Cost Buildup</t>
  </si>
  <si>
    <t>I18:R18</t>
  </si>
  <si>
    <t>I20:R20</t>
  </si>
  <si>
    <t>I27:R27</t>
  </si>
  <si>
    <t>I29:R29</t>
  </si>
  <si>
    <t>I35:R35</t>
  </si>
  <si>
    <t>I21:R23</t>
  </si>
  <si>
    <t>DIP , DSO, DPO</t>
  </si>
  <si>
    <t xml:space="preserve">For the projected year, I take the average of the % compare with revenue change of last 5 year </t>
  </si>
  <si>
    <t>For the Projected Year , take the 50 % Growth rate  with compare  the revenue , afterfrom 2031, I decrease the 2% growth rate . Make it 48 % for future year</t>
  </si>
  <si>
    <t>For the Projected Year , take the 25 % Growth rate  with compare  the revenue , afterfrom 2031, I decrease the 2% growth rate . Make it 23 % for future year</t>
  </si>
  <si>
    <t>For the Projected Year , take the average  % Growth rate of the last 5 year for the 10 year future estimated</t>
  </si>
  <si>
    <t>For the Projected Year , take the average  % Growth rate of the last 5 year for the  year future estimated and increase by 1 % from 2031 to 2035</t>
  </si>
  <si>
    <t>For the Projected Year ,ti take 29 % tax rate for the 10 year future estimated</t>
  </si>
  <si>
    <t>For the Projected Year , take the average  % Growth rate of the last 5 year for the  year future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</si>
</sst>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164" formatCode="#,##0;\(#,##0\);\-"/>
    <numFmt numFmtId="165" formatCode="#,##0.00;\(#,##0.00\);\-"/>
    <numFmt numFmtId="166" formatCode="#,##0.000;\(#,##0.000\);\-"/>
    <numFmt numFmtId="167" formatCode="0.0%"/>
    <numFmt numFmtId="168" formatCode="0.0"/>
    <numFmt numFmtId="169" formatCode="0.000%"/>
    <numFmt numFmtId="170" formatCode="0.00&quot;x&quot;"/>
    <numFmt numFmtId="171" formatCode="#,##0.0;\(#,##0.0\);\-"/>
    <numFmt numFmtId="172" formatCode="&quot;₹&quot;\ #,##0"/>
    <numFmt numFmtId="173" formatCode="&quot;₹&quot;\ #,##0.0"/>
    <numFmt numFmtId="174" formatCode="&quot;₹&quot;\ #,##0;\(&quot;₹&quot;\ #,##0\)\,\-"/>
    <numFmt numFmtId="175" formatCode="&quot;₹&quot;\ #,##0;\(&quot;₹&quot;\ #,##0\);\-"/>
    <numFmt numFmtId="176" formatCode="0&quot; Days&quot;"/>
    <numFmt numFmtId="177" formatCode="0.0&quot;X&quot;"/>
  </numFmts>
  <fonts count="3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theme="2"/>
      <name val="Calibri"/>
      <family val="2"/>
      <scheme val="minor"/>
    </font>
    <font>
      <sz val="11"/>
      <color rgb="FF0070C0"/>
      <name val="Calibri"/>
      <family val="2"/>
      <scheme val="minor"/>
    </font>
    <font>
      <i/>
      <sz val="11"/>
      <color theme="1"/>
      <name val="Calibri"/>
      <family val="2"/>
      <scheme val="minor"/>
    </font>
    <font>
      <i/>
      <sz val="10"/>
      <color theme="1"/>
      <name val="Calibri"/>
      <family val="2"/>
      <scheme val="minor"/>
    </font>
    <font>
      <sz val="11"/>
      <color theme="1"/>
      <name val="Times New Roman"/>
      <family val="1"/>
    </font>
    <font>
      <i/>
      <sz val="11"/>
      <color theme="0" tint="-0.249977111117893"/>
      <name val="Calibri"/>
      <family val="2"/>
      <scheme val="minor"/>
    </font>
    <font>
      <i/>
      <sz val="11"/>
      <color theme="0" tint="-0.34998626667073579"/>
      <name val="Calibri"/>
      <family val="2"/>
      <scheme val="minor"/>
    </font>
    <font>
      <b/>
      <sz val="11"/>
      <color theme="1"/>
      <name val="Times New Roman"/>
      <family val="1"/>
    </font>
    <font>
      <sz val="11"/>
      <color rgb="FF00B050"/>
      <name val="Calibri"/>
      <family val="2"/>
      <scheme val="minor"/>
    </font>
    <font>
      <b/>
      <u/>
      <sz val="11"/>
      <color theme="1"/>
      <name val="Calibri"/>
      <family val="2"/>
      <scheme val="minor"/>
    </font>
    <font>
      <b/>
      <sz val="11"/>
      <color rgb="FF00B050"/>
      <name val="Calibri"/>
      <family val="2"/>
      <scheme val="minor"/>
    </font>
    <font>
      <i/>
      <sz val="11"/>
      <color theme="0" tint="-0.499984740745262"/>
      <name val="Calibri"/>
      <family val="2"/>
      <scheme val="minor"/>
    </font>
    <font>
      <b/>
      <sz val="11"/>
      <color rgb="FF0070C0"/>
      <name val="Calibri"/>
      <family val="2"/>
      <scheme val="minor"/>
    </font>
    <font>
      <sz val="11"/>
      <color theme="2"/>
      <name val="Calibri"/>
      <family val="2"/>
      <scheme val="minor"/>
    </font>
    <font>
      <sz val="11"/>
      <color theme="0"/>
      <name val="Times New Roman"/>
      <family val="1"/>
    </font>
    <font>
      <b/>
      <sz val="11"/>
      <color theme="0"/>
      <name val="Times New Roman"/>
      <family val="1"/>
    </font>
    <font>
      <u/>
      <sz val="11"/>
      <color theme="0"/>
      <name val="Times New Roman"/>
      <family val="1"/>
    </font>
    <font>
      <sz val="9"/>
      <color rgb="FF232A31"/>
      <name val="Arial"/>
      <family val="2"/>
    </font>
    <font>
      <sz val="11"/>
      <color rgb="FFFFFFFF"/>
      <name val="Arial"/>
      <family val="2"/>
    </font>
    <font>
      <i/>
      <sz val="10"/>
      <color rgb="FF0070C0"/>
      <name val="Calibri"/>
      <family val="2"/>
      <scheme val="minor"/>
    </font>
    <font>
      <sz val="11"/>
      <color theme="9" tint="0.59999389629810485"/>
      <name val="Calibri"/>
      <family val="2"/>
      <scheme val="minor"/>
    </font>
    <font>
      <i/>
      <sz val="10"/>
      <color rgb="FF00B050"/>
      <name val="Calibri"/>
      <family val="2"/>
      <scheme val="minor"/>
    </font>
    <font>
      <i/>
      <sz val="11"/>
      <color theme="5"/>
      <name val="Calibri"/>
      <family val="2"/>
      <scheme val="minor"/>
    </font>
    <font>
      <i/>
      <sz val="11"/>
      <color rgb="FF00B0F0"/>
      <name val="Calibri"/>
      <family val="2"/>
      <scheme val="minor"/>
    </font>
    <font>
      <b/>
      <sz val="12"/>
      <color theme="0"/>
      <name val="Times New Roman"/>
      <family val="1"/>
    </font>
    <font>
      <sz val="10"/>
      <color theme="1"/>
      <name val="Poppins"/>
    </font>
    <font>
      <b/>
      <sz val="11"/>
      <color rgb="FFFF0000"/>
      <name val="Calibri"/>
      <family val="2"/>
      <scheme val="minor"/>
    </font>
    <font>
      <b/>
      <i/>
      <sz val="11"/>
      <color theme="1"/>
      <name val="Calibri"/>
      <family val="2"/>
      <scheme val="minor"/>
    </font>
    <font>
      <b/>
      <i/>
      <sz val="11"/>
      <color rgb="FF00B050"/>
      <name val="Calibri"/>
      <family val="2"/>
      <scheme val="minor"/>
    </font>
  </fonts>
  <fills count="18">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rgb="FF0070C0"/>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39997558519241921"/>
        <bgColor indexed="64"/>
      </patternFill>
    </fill>
    <fill>
      <patternFill patternType="solid">
        <fgColor theme="8" tint="0.39997558519241921"/>
        <bgColor indexed="64"/>
      </patternFill>
    </fill>
  </fills>
  <borders count="66">
    <border>
      <left/>
      <right/>
      <top/>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right/>
      <top/>
      <bottom style="thin">
        <color indexed="64"/>
      </bottom>
      <diagonal/>
    </border>
    <border>
      <left/>
      <right/>
      <top style="hair">
        <color auto="1"/>
      </top>
      <bottom style="hair">
        <color auto="1"/>
      </bottom>
      <diagonal/>
    </border>
    <border>
      <left/>
      <right/>
      <top/>
      <bottom style="medium">
        <color indexed="64"/>
      </bottom>
      <diagonal/>
    </border>
    <border>
      <left style="hair">
        <color indexed="64"/>
      </left>
      <right style="hair">
        <color indexed="64"/>
      </right>
      <top style="thin">
        <color indexed="64"/>
      </top>
      <bottom/>
      <diagonal/>
    </border>
    <border>
      <left style="hair">
        <color indexed="64"/>
      </left>
      <right style="hair">
        <color indexed="64"/>
      </right>
      <top/>
      <bottom style="medium">
        <color indexed="64"/>
      </bottom>
      <diagonal/>
    </border>
    <border>
      <left style="hair">
        <color indexed="64"/>
      </left>
      <right style="hair">
        <color indexed="64"/>
      </right>
      <top/>
      <bottom/>
      <diagonal/>
    </border>
    <border>
      <left/>
      <right/>
      <top style="medium">
        <color indexed="64"/>
      </top>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hair">
        <color auto="1"/>
      </top>
      <bottom/>
      <diagonal/>
    </border>
    <border>
      <left/>
      <right/>
      <top/>
      <bottom style="hair">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right/>
      <top style="hair">
        <color indexed="64"/>
      </top>
      <bottom style="medium">
        <color indexed="64"/>
      </bottom>
      <diagonal/>
    </border>
    <border>
      <left style="medium">
        <color indexed="64"/>
      </left>
      <right style="medium">
        <color indexed="64"/>
      </right>
      <top style="hair">
        <color indexed="64"/>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s>
  <cellStyleXfs count="2">
    <xf numFmtId="0" fontId="0" fillId="0" borderId="0"/>
    <xf numFmtId="9" fontId="1" fillId="0" borderId="0" applyFont="0" applyFill="0" applyBorder="0" applyAlignment="0" applyProtection="0"/>
  </cellStyleXfs>
  <cellXfs count="353">
    <xf numFmtId="0" fontId="0" fillId="0" borderId="0" xfId="0"/>
    <xf numFmtId="0" fontId="3" fillId="0" borderId="0" xfId="0" applyFont="1"/>
    <xf numFmtId="4" fontId="0" fillId="0" borderId="0" xfId="0" applyNumberFormat="1"/>
    <xf numFmtId="164" fontId="0" fillId="0" borderId="0" xfId="0" applyNumberFormat="1"/>
    <xf numFmtId="0" fontId="3" fillId="0" borderId="1" xfId="0" applyFont="1" applyBorder="1"/>
    <xf numFmtId="0" fontId="0" fillId="0" borderId="1" xfId="0" applyBorder="1"/>
    <xf numFmtId="0" fontId="3" fillId="0" borderId="0" xfId="0" applyFont="1" applyBorder="1"/>
    <xf numFmtId="0" fontId="0" fillId="0" borderId="0" xfId="0" applyBorder="1"/>
    <xf numFmtId="0" fontId="3" fillId="0" borderId="2" xfId="0" applyFont="1" applyBorder="1"/>
    <xf numFmtId="0" fontId="0" fillId="0" borderId="2" xfId="0" applyBorder="1"/>
    <xf numFmtId="164" fontId="3" fillId="0" borderId="2" xfId="0" applyNumberFormat="1" applyFont="1" applyBorder="1"/>
    <xf numFmtId="0" fontId="5" fillId="2" borderId="0" xfId="0" applyFont="1" applyFill="1"/>
    <xf numFmtId="0" fontId="0" fillId="0" borderId="0" xfId="0" applyAlignment="1">
      <alignment wrapText="1"/>
    </xf>
    <xf numFmtId="0" fontId="0" fillId="0" borderId="0" xfId="0" applyAlignment="1">
      <alignment horizontal="left" indent="1"/>
    </xf>
    <xf numFmtId="0" fontId="0" fillId="0" borderId="0" xfId="0" applyFont="1"/>
    <xf numFmtId="1" fontId="0" fillId="0" borderId="0" xfId="0" applyNumberFormat="1"/>
    <xf numFmtId="0" fontId="3" fillId="0" borderId="3" xfId="0" applyFont="1" applyBorder="1"/>
    <xf numFmtId="0" fontId="0" fillId="0" borderId="3" xfId="0" applyBorder="1"/>
    <xf numFmtId="0" fontId="3" fillId="0" borderId="1" xfId="0" applyFont="1" applyBorder="1" applyAlignment="1"/>
    <xf numFmtId="165" fontId="0" fillId="0" borderId="0" xfId="0" applyNumberFormat="1"/>
    <xf numFmtId="166" fontId="0" fillId="0" borderId="0" xfId="0" applyNumberFormat="1"/>
    <xf numFmtId="0" fontId="2" fillId="2" borderId="0" xfId="0" applyFont="1" applyFill="1"/>
    <xf numFmtId="0" fontId="4" fillId="2" borderId="0" xfId="0" applyFont="1" applyFill="1"/>
    <xf numFmtId="0" fontId="0" fillId="3" borderId="0" xfId="0" applyFill="1"/>
    <xf numFmtId="0" fontId="2" fillId="3" borderId="0" xfId="0" applyFont="1" applyFill="1"/>
    <xf numFmtId="0" fontId="4" fillId="3" borderId="0" xfId="0" applyFont="1" applyFill="1"/>
    <xf numFmtId="0" fontId="5" fillId="3" borderId="0" xfId="0" applyFont="1" applyFill="1"/>
    <xf numFmtId="0" fontId="2" fillId="4" borderId="0" xfId="0" applyFont="1" applyFill="1"/>
    <xf numFmtId="0" fontId="8" fillId="0" borderId="0" xfId="0" applyFont="1"/>
    <xf numFmtId="9" fontId="0" fillId="0" borderId="0" xfId="1" applyFont="1"/>
    <xf numFmtId="1" fontId="0" fillId="0" borderId="0" xfId="1" applyNumberFormat="1" applyFont="1"/>
    <xf numFmtId="9" fontId="0" fillId="0" borderId="0" xfId="0" applyNumberFormat="1"/>
    <xf numFmtId="9" fontId="7" fillId="0" borderId="0" xfId="1" applyFont="1"/>
    <xf numFmtId="9" fontId="7" fillId="0" borderId="0" xfId="0" applyNumberFormat="1" applyFont="1"/>
    <xf numFmtId="167" fontId="0" fillId="0" borderId="0" xfId="1" applyNumberFormat="1" applyFont="1"/>
    <xf numFmtId="2" fontId="0" fillId="0" borderId="0" xfId="0" applyNumberFormat="1"/>
    <xf numFmtId="9" fontId="6" fillId="0" borderId="0" xfId="1" applyFont="1"/>
    <xf numFmtId="169" fontId="0" fillId="0" borderId="0" xfId="1" applyNumberFormat="1" applyFont="1"/>
    <xf numFmtId="170" fontId="0" fillId="0" borderId="0" xfId="0" applyNumberFormat="1"/>
    <xf numFmtId="1" fontId="3" fillId="0" borderId="3" xfId="0" applyNumberFormat="1" applyFont="1" applyBorder="1"/>
    <xf numFmtId="0" fontId="9" fillId="0" borderId="0" xfId="0" applyFont="1"/>
    <xf numFmtId="0" fontId="10" fillId="0" borderId="0" xfId="0" applyFont="1"/>
    <xf numFmtId="9" fontId="10" fillId="0" borderId="0" xfId="1" applyFont="1"/>
    <xf numFmtId="0" fontId="11" fillId="0" borderId="0" xfId="0" applyFont="1"/>
    <xf numFmtId="9" fontId="11" fillId="0" borderId="0" xfId="1" applyFont="1"/>
    <xf numFmtId="0" fontId="3" fillId="0" borderId="4" xfId="0" applyFont="1" applyBorder="1"/>
    <xf numFmtId="0" fontId="0" fillId="0" borderId="0" xfId="0" applyAlignment="1">
      <alignment horizontal="left"/>
    </xf>
    <xf numFmtId="0" fontId="12" fillId="0" borderId="1" xfId="0" applyFont="1" applyBorder="1"/>
    <xf numFmtId="0" fontId="12" fillId="0" borderId="3" xfId="0" applyFont="1" applyBorder="1"/>
    <xf numFmtId="0" fontId="3" fillId="0" borderId="2" xfId="0" applyFont="1" applyFill="1" applyBorder="1"/>
    <xf numFmtId="171" fontId="0" fillId="0" borderId="0" xfId="0" applyNumberFormat="1"/>
    <xf numFmtId="171" fontId="3" fillId="0" borderId="0" xfId="0" applyNumberFormat="1" applyFont="1"/>
    <xf numFmtId="171" fontId="0" fillId="0" borderId="2" xfId="0" applyNumberFormat="1" applyBorder="1"/>
    <xf numFmtId="0" fontId="10" fillId="0" borderId="4" xfId="0" applyFont="1" applyBorder="1"/>
    <xf numFmtId="0" fontId="14" fillId="0" borderId="0" xfId="0" applyFont="1"/>
    <xf numFmtId="9" fontId="3" fillId="0" borderId="2" xfId="1" applyNumberFormat="1" applyFont="1" applyBorder="1"/>
    <xf numFmtId="9" fontId="3" fillId="0" borderId="2" xfId="0" applyNumberFormat="1" applyFont="1" applyBorder="1"/>
    <xf numFmtId="170" fontId="3" fillId="0" borderId="2" xfId="0" applyNumberFormat="1" applyFont="1" applyBorder="1"/>
    <xf numFmtId="9" fontId="11" fillId="0" borderId="0" xfId="0" applyNumberFormat="1" applyFont="1"/>
    <xf numFmtId="9" fontId="16" fillId="0" borderId="0" xfId="1" applyFont="1"/>
    <xf numFmtId="9" fontId="11" fillId="0" borderId="0" xfId="1" applyNumberFormat="1" applyFont="1"/>
    <xf numFmtId="0" fontId="7" fillId="0" borderId="5" xfId="0" applyFont="1" applyBorder="1"/>
    <xf numFmtId="9" fontId="7" fillId="0" borderId="5" xfId="1" applyFont="1" applyBorder="1"/>
    <xf numFmtId="9" fontId="7" fillId="0" borderId="5" xfId="0" applyNumberFormat="1" applyFont="1" applyBorder="1"/>
    <xf numFmtId="9" fontId="3" fillId="0" borderId="2" xfId="1" applyFont="1" applyBorder="1"/>
    <xf numFmtId="0" fontId="16" fillId="0" borderId="0" xfId="0" applyFont="1"/>
    <xf numFmtId="1" fontId="16" fillId="0" borderId="0" xfId="0" applyNumberFormat="1" applyFont="1"/>
    <xf numFmtId="0" fontId="0" fillId="0" borderId="5" xfId="0" applyBorder="1"/>
    <xf numFmtId="9" fontId="7" fillId="5" borderId="5" xfId="0" applyNumberFormat="1" applyFont="1" applyFill="1" applyBorder="1"/>
    <xf numFmtId="9" fontId="7" fillId="6" borderId="5" xfId="1" applyFont="1" applyFill="1" applyBorder="1"/>
    <xf numFmtId="171" fontId="17" fillId="0" borderId="4" xfId="0" applyNumberFormat="1" applyFont="1" applyBorder="1"/>
    <xf numFmtId="171" fontId="3" fillId="0" borderId="4" xfId="0" applyNumberFormat="1" applyFont="1" applyBorder="1"/>
    <xf numFmtId="0" fontId="0" fillId="0" borderId="9" xfId="0" applyNumberFormat="1" applyBorder="1"/>
    <xf numFmtId="0" fontId="0" fillId="0" borderId="9" xfId="1" applyNumberFormat="1" applyFont="1" applyBorder="1"/>
    <xf numFmtId="14" fontId="0" fillId="0" borderId="9" xfId="0" applyNumberFormat="1" applyBorder="1"/>
    <xf numFmtId="1" fontId="0" fillId="0" borderId="9" xfId="0" applyNumberFormat="1" applyBorder="1"/>
    <xf numFmtId="0" fontId="0" fillId="0" borderId="0" xfId="0" applyFill="1" applyBorder="1" applyAlignment="1"/>
    <xf numFmtId="0" fontId="0" fillId="0" borderId="6" xfId="0" applyFill="1" applyBorder="1" applyAlignment="1"/>
    <xf numFmtId="0" fontId="7" fillId="0" borderId="11" xfId="0" applyFont="1" applyFill="1" applyBorder="1" applyAlignment="1">
      <alignment horizontal="center"/>
    </xf>
    <xf numFmtId="0" fontId="7" fillId="0" borderId="11" xfId="0" applyFont="1" applyFill="1" applyBorder="1" applyAlignment="1">
      <alignment horizontal="centerContinuous"/>
    </xf>
    <xf numFmtId="0" fontId="0" fillId="0" borderId="12" xfId="0" applyBorder="1"/>
    <xf numFmtId="0" fontId="0" fillId="0" borderId="10" xfId="0" applyBorder="1"/>
    <xf numFmtId="0" fontId="0" fillId="0" borderId="13" xfId="0" applyBorder="1"/>
    <xf numFmtId="0" fontId="0" fillId="0" borderId="14" xfId="0" applyBorder="1"/>
    <xf numFmtId="0" fontId="0" fillId="0" borderId="15" xfId="0" applyBorder="1"/>
    <xf numFmtId="0" fontId="7" fillId="0" borderId="16" xfId="0" applyFont="1" applyFill="1" applyBorder="1" applyAlignment="1">
      <alignment horizontal="centerContinuous"/>
    </xf>
    <xf numFmtId="0" fontId="0" fillId="0" borderId="14" xfId="0" applyFill="1" applyBorder="1" applyAlignment="1"/>
    <xf numFmtId="0" fontId="0" fillId="0" borderId="17" xfId="0" applyFill="1" applyBorder="1" applyAlignment="1"/>
    <xf numFmtId="0" fontId="7" fillId="0" borderId="16" xfId="0" applyFont="1" applyFill="1" applyBorder="1" applyAlignment="1">
      <alignment horizontal="center"/>
    </xf>
    <xf numFmtId="0" fontId="7" fillId="0" borderId="18" xfId="0" applyFont="1" applyFill="1" applyBorder="1" applyAlignment="1">
      <alignment horizontal="center"/>
    </xf>
    <xf numFmtId="0" fontId="0" fillId="0" borderId="15" xfId="0" applyFill="1" applyBorder="1" applyAlignment="1"/>
    <xf numFmtId="0" fontId="0" fillId="0" borderId="19" xfId="0" applyFill="1" applyBorder="1" applyAlignment="1"/>
    <xf numFmtId="0" fontId="0" fillId="7" borderId="20" xfId="0" applyFill="1" applyBorder="1"/>
    <xf numFmtId="0" fontId="0" fillId="7" borderId="21" xfId="0" applyFill="1" applyBorder="1"/>
    <xf numFmtId="0" fontId="0" fillId="7" borderId="22" xfId="0" applyFill="1" applyBorder="1"/>
    <xf numFmtId="0" fontId="0" fillId="7" borderId="24" xfId="0" applyFill="1" applyBorder="1"/>
    <xf numFmtId="2" fontId="3" fillId="7" borderId="21" xfId="0" applyNumberFormat="1" applyFont="1" applyFill="1" applyBorder="1"/>
    <xf numFmtId="2" fontId="3" fillId="7" borderId="23" xfId="0" applyNumberFormat="1" applyFont="1" applyFill="1" applyBorder="1"/>
    <xf numFmtId="2" fontId="3" fillId="7" borderId="25" xfId="0" applyNumberFormat="1" applyFont="1" applyFill="1" applyBorder="1"/>
    <xf numFmtId="9" fontId="0" fillId="7" borderId="23" xfId="1" applyFont="1" applyFill="1" applyBorder="1"/>
    <xf numFmtId="9" fontId="0" fillId="7" borderId="25" xfId="1" applyFont="1" applyFill="1" applyBorder="1"/>
    <xf numFmtId="0" fontId="0" fillId="3" borderId="0" xfId="0" applyFill="1" applyBorder="1"/>
    <xf numFmtId="9" fontId="0" fillId="3" borderId="0" xfId="1" applyFont="1" applyFill="1" applyBorder="1"/>
    <xf numFmtId="0" fontId="3" fillId="7" borderId="20" xfId="0" applyFont="1" applyFill="1" applyBorder="1"/>
    <xf numFmtId="168" fontId="3" fillId="7" borderId="21" xfId="0" applyNumberFormat="1" applyFont="1" applyFill="1" applyBorder="1"/>
    <xf numFmtId="0" fontId="3" fillId="7" borderId="24" xfId="0" applyFont="1" applyFill="1" applyBorder="1"/>
    <xf numFmtId="10" fontId="3" fillId="7" borderId="25" xfId="1" applyNumberFormat="1" applyFont="1" applyFill="1" applyBorder="1"/>
    <xf numFmtId="0" fontId="2" fillId="4" borderId="9" xfId="0" applyFont="1" applyFill="1" applyBorder="1" applyAlignment="1">
      <alignment horizontal="center"/>
    </xf>
    <xf numFmtId="15" fontId="0" fillId="0" borderId="9" xfId="0" applyNumberFormat="1" applyBorder="1"/>
    <xf numFmtId="0" fontId="18" fillId="0" borderId="0" xfId="0" applyFont="1"/>
    <xf numFmtId="0" fontId="2" fillId="4" borderId="29" xfId="0" applyFont="1" applyFill="1" applyBorder="1"/>
    <xf numFmtId="0" fontId="2" fillId="4" borderId="30" xfId="0" applyFont="1" applyFill="1" applyBorder="1"/>
    <xf numFmtId="0" fontId="2" fillId="4" borderId="31" xfId="0" applyFont="1" applyFill="1" applyBorder="1"/>
    <xf numFmtId="0" fontId="6" fillId="0" borderId="32" xfId="0" applyFont="1" applyBorder="1"/>
    <xf numFmtId="1" fontId="6" fillId="0" borderId="32" xfId="0" applyNumberFormat="1" applyFont="1" applyBorder="1"/>
    <xf numFmtId="1" fontId="6" fillId="0" borderId="33" xfId="0" applyNumberFormat="1" applyFont="1" applyBorder="1"/>
    <xf numFmtId="0" fontId="6" fillId="0" borderId="34" xfId="0" applyFont="1" applyBorder="1"/>
    <xf numFmtId="1" fontId="6" fillId="0" borderId="34" xfId="0" applyNumberFormat="1" applyFont="1" applyBorder="1"/>
    <xf numFmtId="1" fontId="6" fillId="0" borderId="35" xfId="0" applyNumberFormat="1" applyFont="1" applyBorder="1"/>
    <xf numFmtId="0" fontId="6" fillId="0" borderId="36" xfId="0" applyFont="1" applyBorder="1"/>
    <xf numFmtId="0" fontId="6" fillId="0" borderId="37" xfId="0" applyFont="1" applyBorder="1"/>
    <xf numFmtId="0" fontId="20" fillId="2" borderId="0" xfId="0" applyFont="1" applyFill="1"/>
    <xf numFmtId="9" fontId="20" fillId="2" borderId="0" xfId="1" applyFont="1" applyFill="1"/>
    <xf numFmtId="3" fontId="19" fillId="2" borderId="0" xfId="0" applyNumberFormat="1" applyFont="1" applyFill="1" applyAlignment="1">
      <alignment horizontal="center"/>
    </xf>
    <xf numFmtId="9" fontId="19" fillId="2" borderId="0" xfId="0" applyNumberFormat="1" applyFont="1" applyFill="1" applyAlignment="1">
      <alignment horizontal="center"/>
    </xf>
    <xf numFmtId="167" fontId="19" fillId="2" borderId="0" xfId="1" applyNumberFormat="1" applyFont="1" applyFill="1" applyAlignment="1">
      <alignment horizontal="center"/>
    </xf>
    <xf numFmtId="3" fontId="19" fillId="2" borderId="0" xfId="0" applyNumberFormat="1" applyFont="1" applyFill="1" applyBorder="1" applyAlignment="1">
      <alignment horizontal="center"/>
    </xf>
    <xf numFmtId="0" fontId="21" fillId="2" borderId="0" xfId="0" applyFont="1" applyFill="1" applyBorder="1" applyAlignment="1">
      <alignment horizontal="center"/>
    </xf>
    <xf numFmtId="9" fontId="21" fillId="2" borderId="0" xfId="1" applyFont="1" applyFill="1" applyBorder="1" applyAlignment="1">
      <alignment horizontal="center"/>
    </xf>
    <xf numFmtId="0" fontId="0" fillId="2" borderId="0" xfId="0" applyFill="1"/>
    <xf numFmtId="170" fontId="0" fillId="0" borderId="5" xfId="0" applyNumberFormat="1" applyBorder="1"/>
    <xf numFmtId="168" fontId="0" fillId="0" borderId="5" xfId="0" applyNumberFormat="1" applyBorder="1"/>
    <xf numFmtId="172" fontId="0" fillId="0" borderId="5" xfId="0" applyNumberFormat="1" applyBorder="1"/>
    <xf numFmtId="0" fontId="0" fillId="10" borderId="5" xfId="0" applyNumberFormat="1" applyFont="1" applyFill="1" applyBorder="1"/>
    <xf numFmtId="170" fontId="0" fillId="10" borderId="5" xfId="0" applyNumberFormat="1" applyFont="1" applyFill="1" applyBorder="1"/>
    <xf numFmtId="0" fontId="0" fillId="7" borderId="5" xfId="0" applyNumberFormat="1" applyFont="1" applyFill="1" applyBorder="1"/>
    <xf numFmtId="170" fontId="0" fillId="7" borderId="5" xfId="0" applyNumberFormat="1" applyFont="1" applyFill="1" applyBorder="1"/>
    <xf numFmtId="0" fontId="6" fillId="0" borderId="5" xfId="0" applyFont="1" applyBorder="1"/>
    <xf numFmtId="172" fontId="13" fillId="0" borderId="5" xfId="0" applyNumberFormat="1" applyFont="1" applyBorder="1"/>
    <xf numFmtId="168" fontId="13" fillId="0" borderId="5" xfId="0" applyNumberFormat="1" applyFont="1" applyBorder="1"/>
    <xf numFmtId="0" fontId="0" fillId="11" borderId="5" xfId="0" applyFont="1" applyFill="1" applyBorder="1"/>
    <xf numFmtId="172" fontId="0" fillId="11" borderId="5" xfId="0" applyNumberFormat="1" applyFont="1" applyFill="1" applyBorder="1"/>
    <xf numFmtId="170" fontId="0" fillId="11" borderId="5" xfId="0" applyNumberFormat="1" applyFont="1" applyFill="1" applyBorder="1"/>
    <xf numFmtId="168" fontId="0" fillId="11" borderId="5" xfId="0" applyNumberFormat="1" applyFont="1" applyFill="1" applyBorder="1"/>
    <xf numFmtId="10" fontId="0" fillId="0" borderId="0" xfId="1" applyNumberFormat="1" applyFont="1"/>
    <xf numFmtId="9" fontId="2" fillId="2" borderId="0" xfId="1" applyFont="1" applyFill="1"/>
    <xf numFmtId="0" fontId="22" fillId="0" borderId="0" xfId="0" applyFont="1"/>
    <xf numFmtId="10" fontId="0" fillId="0" borderId="0" xfId="0" applyNumberFormat="1"/>
    <xf numFmtId="10" fontId="23" fillId="2" borderId="0" xfId="0" applyNumberFormat="1" applyFont="1" applyFill="1"/>
    <xf numFmtId="0" fontId="23" fillId="2" borderId="0" xfId="0" applyFont="1" applyFill="1"/>
    <xf numFmtId="9" fontId="0" fillId="11" borderId="5" xfId="0" applyNumberFormat="1" applyFont="1" applyFill="1" applyBorder="1"/>
    <xf numFmtId="10" fontId="0" fillId="11" borderId="5" xfId="1" applyNumberFormat="1" applyFont="1" applyFill="1" applyBorder="1"/>
    <xf numFmtId="0" fontId="0" fillId="7" borderId="5" xfId="0" applyFill="1" applyBorder="1"/>
    <xf numFmtId="10" fontId="0" fillId="7" borderId="5" xfId="0" applyNumberFormat="1" applyFill="1" applyBorder="1"/>
    <xf numFmtId="2" fontId="0" fillId="7" borderId="5" xfId="0" applyNumberFormat="1" applyFill="1" applyBorder="1"/>
    <xf numFmtId="172" fontId="0" fillId="0" borderId="0" xfId="0" applyNumberFormat="1"/>
    <xf numFmtId="2" fontId="0" fillId="11" borderId="5" xfId="0" applyNumberFormat="1" applyFont="1" applyFill="1" applyBorder="1"/>
    <xf numFmtId="10" fontId="3" fillId="0" borderId="0" xfId="1" applyNumberFormat="1" applyFont="1"/>
    <xf numFmtId="167" fontId="0" fillId="0" borderId="0" xfId="0" applyNumberFormat="1"/>
    <xf numFmtId="10" fontId="4" fillId="2" borderId="0" xfId="0" applyNumberFormat="1" applyFont="1" applyFill="1"/>
    <xf numFmtId="10" fontId="2" fillId="2" borderId="0" xfId="1" applyNumberFormat="1" applyFont="1" applyFill="1"/>
    <xf numFmtId="2" fontId="3" fillId="12" borderId="0" xfId="0" applyNumberFormat="1" applyFont="1" applyFill="1"/>
    <xf numFmtId="10" fontId="3" fillId="12" borderId="0" xfId="1" applyNumberFormat="1" applyFont="1" applyFill="1"/>
    <xf numFmtId="0" fontId="0" fillId="11" borderId="0" xfId="0" applyFill="1"/>
    <xf numFmtId="10" fontId="2" fillId="13" borderId="0" xfId="1" applyNumberFormat="1" applyFont="1" applyFill="1"/>
    <xf numFmtId="10" fontId="3" fillId="0" borderId="1" xfId="1" applyNumberFormat="1" applyFont="1" applyBorder="1"/>
    <xf numFmtId="9" fontId="3" fillId="0" borderId="1" xfId="1" applyFont="1" applyBorder="1"/>
    <xf numFmtId="167" fontId="3" fillId="0" borderId="1" xfId="1" applyNumberFormat="1" applyFont="1" applyBorder="1"/>
    <xf numFmtId="14" fontId="0" fillId="0" borderId="0" xfId="0" applyNumberFormat="1"/>
    <xf numFmtId="0" fontId="0" fillId="0" borderId="4" xfId="0" applyBorder="1"/>
    <xf numFmtId="0" fontId="0" fillId="0" borderId="0" xfId="0" applyFont="1" applyFill="1" applyBorder="1"/>
    <xf numFmtId="1" fontId="0" fillId="0" borderId="1" xfId="0" applyNumberFormat="1" applyBorder="1"/>
    <xf numFmtId="0" fontId="3" fillId="0" borderId="1" xfId="0" applyFont="1" applyFill="1" applyBorder="1"/>
    <xf numFmtId="173" fontId="0" fillId="0" borderId="0" xfId="0" applyNumberFormat="1"/>
    <xf numFmtId="174" fontId="0" fillId="0" borderId="0" xfId="0" applyNumberFormat="1"/>
    <xf numFmtId="174" fontId="3" fillId="0" borderId="1" xfId="0" applyNumberFormat="1" applyFont="1" applyBorder="1"/>
    <xf numFmtId="175" fontId="0" fillId="0" borderId="0" xfId="0" applyNumberFormat="1"/>
    <xf numFmtId="175" fontId="3" fillId="0" borderId="1" xfId="0" applyNumberFormat="1" applyFont="1" applyBorder="1"/>
    <xf numFmtId="175" fontId="3" fillId="0" borderId="2" xfId="0" applyNumberFormat="1" applyFont="1" applyBorder="1"/>
    <xf numFmtId="175" fontId="3" fillId="0" borderId="0" xfId="0" applyNumberFormat="1" applyFont="1"/>
    <xf numFmtId="0" fontId="24" fillId="0" borderId="0" xfId="0" applyFont="1"/>
    <xf numFmtId="0" fontId="8" fillId="15" borderId="0" xfId="0" applyFont="1" applyFill="1"/>
    <xf numFmtId="0" fontId="0" fillId="15" borderId="0" xfId="0" applyFill="1"/>
    <xf numFmtId="14" fontId="8" fillId="15" borderId="0" xfId="0" applyNumberFormat="1" applyFont="1" applyFill="1"/>
    <xf numFmtId="0" fontId="8" fillId="15" borderId="4" xfId="0" applyFont="1" applyFill="1" applyBorder="1"/>
    <xf numFmtId="0" fontId="0" fillId="15" borderId="4" xfId="0" applyFill="1" applyBorder="1"/>
    <xf numFmtId="0" fontId="24" fillId="15" borderId="4" xfId="0" applyFont="1" applyFill="1" applyBorder="1"/>
    <xf numFmtId="175" fontId="3" fillId="12" borderId="38" xfId="0" applyNumberFormat="1" applyFont="1" applyFill="1" applyBorder="1"/>
    <xf numFmtId="0" fontId="3" fillId="12" borderId="38" xfId="0" applyFont="1" applyFill="1" applyBorder="1"/>
    <xf numFmtId="0" fontId="3" fillId="11" borderId="2" xfId="0" applyFont="1" applyFill="1" applyBorder="1"/>
    <xf numFmtId="9" fontId="3" fillId="11" borderId="2" xfId="1" applyFont="1" applyFill="1" applyBorder="1"/>
    <xf numFmtId="173" fontId="3" fillId="11" borderId="2" xfId="0" applyNumberFormat="1" applyFont="1" applyFill="1" applyBorder="1"/>
    <xf numFmtId="1" fontId="0" fillId="0" borderId="44" xfId="0" applyNumberFormat="1" applyBorder="1"/>
    <xf numFmtId="1" fontId="0" fillId="0" borderId="45" xfId="0" applyNumberFormat="1" applyBorder="1"/>
    <xf numFmtId="0" fontId="0" fillId="15" borderId="42" xfId="0" applyFill="1" applyBorder="1"/>
    <xf numFmtId="0" fontId="0" fillId="15" borderId="3" xfId="0" applyFill="1" applyBorder="1"/>
    <xf numFmtId="0" fontId="0" fillId="15" borderId="39" xfId="0" applyFill="1" applyBorder="1"/>
    <xf numFmtId="167" fontId="7" fillId="11" borderId="1" xfId="0" applyNumberFormat="1" applyFont="1" applyFill="1" applyBorder="1"/>
    <xf numFmtId="167" fontId="7" fillId="11" borderId="1" xfId="1" applyNumberFormat="1" applyFont="1" applyFill="1" applyBorder="1"/>
    <xf numFmtId="167" fontId="7" fillId="11" borderId="46" xfId="0" applyNumberFormat="1" applyFont="1" applyFill="1" applyBorder="1"/>
    <xf numFmtId="10" fontId="7" fillId="11" borderId="45" xfId="1" applyNumberFormat="1" applyFont="1" applyFill="1" applyBorder="1"/>
    <xf numFmtId="1" fontId="0" fillId="0" borderId="46" xfId="0" applyNumberFormat="1" applyBorder="1"/>
    <xf numFmtId="1" fontId="0" fillId="0" borderId="47" xfId="0" applyNumberFormat="1" applyBorder="1"/>
    <xf numFmtId="10" fontId="7" fillId="11" borderId="48" xfId="1" applyNumberFormat="1" applyFont="1" applyFill="1" applyBorder="1"/>
    <xf numFmtId="1" fontId="0" fillId="0" borderId="48" xfId="0" applyNumberFormat="1" applyBorder="1"/>
    <xf numFmtId="1" fontId="0" fillId="0" borderId="4" xfId="0" applyNumberFormat="1" applyBorder="1"/>
    <xf numFmtId="1" fontId="0" fillId="0" borderId="49" xfId="0" applyNumberFormat="1" applyBorder="1"/>
    <xf numFmtId="175" fontId="25" fillId="11" borderId="44" xfId="0" applyNumberFormat="1" applyFont="1" applyFill="1" applyBorder="1"/>
    <xf numFmtId="170" fontId="7" fillId="11" borderId="1" xfId="0" applyNumberFormat="1" applyFont="1" applyFill="1" applyBorder="1"/>
    <xf numFmtId="170" fontId="7" fillId="11" borderId="46" xfId="0" applyNumberFormat="1" applyFont="1" applyFill="1" applyBorder="1"/>
    <xf numFmtId="9" fontId="7" fillId="11" borderId="45" xfId="1" applyFont="1" applyFill="1" applyBorder="1"/>
    <xf numFmtId="9" fontId="7" fillId="11" borderId="48" xfId="1" applyFont="1" applyFill="1" applyBorder="1"/>
    <xf numFmtId="1" fontId="0" fillId="14" borderId="0" xfId="0" applyNumberFormat="1" applyFill="1" applyBorder="1"/>
    <xf numFmtId="1" fontId="0" fillId="8" borderId="0" xfId="0" applyNumberFormat="1" applyFill="1" applyBorder="1"/>
    <xf numFmtId="9" fontId="0" fillId="0" borderId="0" xfId="1" applyFont="1" applyBorder="1"/>
    <xf numFmtId="0" fontId="7" fillId="5" borderId="1" xfId="0" applyFont="1" applyFill="1" applyBorder="1"/>
    <xf numFmtId="170" fontId="7" fillId="5" borderId="1" xfId="0" applyNumberFormat="1" applyFont="1" applyFill="1" applyBorder="1"/>
    <xf numFmtId="0" fontId="7" fillId="5" borderId="0" xfId="0" applyFont="1" applyFill="1" applyBorder="1"/>
    <xf numFmtId="9" fontId="7" fillId="5" borderId="0" xfId="1" applyFont="1" applyFill="1" applyBorder="1"/>
    <xf numFmtId="0" fontId="7" fillId="5" borderId="6" xfId="0" applyFont="1" applyFill="1" applyBorder="1"/>
    <xf numFmtId="9" fontId="7" fillId="5" borderId="6" xfId="1" applyFont="1" applyFill="1" applyBorder="1"/>
    <xf numFmtId="0" fontId="0" fillId="9" borderId="0" xfId="0" applyFill="1"/>
    <xf numFmtId="170" fontId="0" fillId="0" borderId="0" xfId="0" applyNumberFormat="1" applyBorder="1"/>
    <xf numFmtId="10" fontId="3" fillId="11" borderId="0" xfId="0" applyNumberFormat="1" applyFont="1" applyFill="1"/>
    <xf numFmtId="175" fontId="6" fillId="0" borderId="0" xfId="0" applyNumberFormat="1" applyFont="1"/>
    <xf numFmtId="175" fontId="3" fillId="0" borderId="0" xfId="0" applyNumberFormat="1" applyFont="1" applyBorder="1"/>
    <xf numFmtId="175" fontId="3" fillId="0" borderId="3" xfId="0" applyNumberFormat="1" applyFont="1" applyBorder="1"/>
    <xf numFmtId="175" fontId="13" fillId="0" borderId="0" xfId="0" applyNumberFormat="1" applyFont="1"/>
    <xf numFmtId="175" fontId="0" fillId="0" borderId="0" xfId="1" applyNumberFormat="1" applyFont="1"/>
    <xf numFmtId="175" fontId="0" fillId="0" borderId="0" xfId="0" applyNumberFormat="1" applyFont="1"/>
    <xf numFmtId="175" fontId="17" fillId="0" borderId="2" xfId="0" applyNumberFormat="1" applyFont="1" applyBorder="1"/>
    <xf numFmtId="175" fontId="17" fillId="0" borderId="4" xfId="0" applyNumberFormat="1" applyFont="1" applyBorder="1"/>
    <xf numFmtId="175" fontId="3" fillId="0" borderId="4" xfId="0" applyNumberFormat="1" applyFont="1" applyBorder="1"/>
    <xf numFmtId="175" fontId="15" fillId="0" borderId="4" xfId="0" applyNumberFormat="1" applyFont="1" applyBorder="1"/>
    <xf numFmtId="175" fontId="15" fillId="0" borderId="2" xfId="0" applyNumberFormat="1" applyFont="1" applyBorder="1"/>
    <xf numFmtId="175" fontId="15" fillId="0" borderId="3" xfId="0" applyNumberFormat="1" applyFont="1" applyBorder="1"/>
    <xf numFmtId="175" fontId="13" fillId="0" borderId="2" xfId="0" applyNumberFormat="1" applyFont="1" applyBorder="1"/>
    <xf numFmtId="175" fontId="0" fillId="0" borderId="2" xfId="0" applyNumberFormat="1" applyBorder="1"/>
    <xf numFmtId="10" fontId="13" fillId="0" borderId="0" xfId="0" applyNumberFormat="1" applyFont="1"/>
    <xf numFmtId="9" fontId="13" fillId="0" borderId="0" xfId="0" applyNumberFormat="1" applyFont="1"/>
    <xf numFmtId="14" fontId="26" fillId="15" borderId="0" xfId="0" applyNumberFormat="1" applyFont="1" applyFill="1"/>
    <xf numFmtId="0" fontId="24" fillId="15" borderId="0" xfId="0" applyFont="1" applyFill="1"/>
    <xf numFmtId="172" fontId="13" fillId="0" borderId="0" xfId="0" applyNumberFormat="1" applyFont="1"/>
    <xf numFmtId="0" fontId="27" fillId="0" borderId="0" xfId="0" applyFont="1"/>
    <xf numFmtId="0" fontId="28" fillId="0" borderId="0" xfId="0" applyFont="1"/>
    <xf numFmtId="0" fontId="2" fillId="9" borderId="0" xfId="0" applyFont="1" applyFill="1"/>
    <xf numFmtId="0" fontId="29" fillId="9" borderId="0" xfId="0" applyFont="1" applyFill="1"/>
    <xf numFmtId="175" fontId="0" fillId="0" borderId="5" xfId="0" applyNumberFormat="1" applyBorder="1"/>
    <xf numFmtId="0" fontId="16" fillId="0" borderId="4" xfId="0" applyFont="1" applyBorder="1"/>
    <xf numFmtId="9" fontId="16" fillId="0" borderId="4" xfId="1" applyFont="1" applyBorder="1"/>
    <xf numFmtId="0" fontId="0" fillId="0" borderId="50" xfId="0" applyFont="1" applyBorder="1"/>
    <xf numFmtId="0" fontId="0" fillId="0" borderId="50" xfId="0" applyBorder="1"/>
    <xf numFmtId="167" fontId="0" fillId="0" borderId="50" xfId="0" applyNumberFormat="1" applyBorder="1"/>
    <xf numFmtId="167" fontId="0" fillId="0" borderId="50" xfId="1" applyNumberFormat="1" applyFont="1" applyBorder="1"/>
    <xf numFmtId="0" fontId="0" fillId="0" borderId="0" xfId="0" applyFont="1" applyBorder="1"/>
    <xf numFmtId="167" fontId="0" fillId="0" borderId="0" xfId="0" applyNumberFormat="1" applyBorder="1"/>
    <xf numFmtId="167" fontId="0" fillId="0" borderId="0" xfId="1" applyNumberFormat="1" applyFont="1" applyBorder="1"/>
    <xf numFmtId="0" fontId="0" fillId="0" borderId="51" xfId="0" applyFont="1" applyBorder="1"/>
    <xf numFmtId="0" fontId="0" fillId="0" borderId="51" xfId="0" applyBorder="1"/>
    <xf numFmtId="167" fontId="0" fillId="0" borderId="51" xfId="0" applyNumberFormat="1" applyBorder="1"/>
    <xf numFmtId="167" fontId="0" fillId="0" borderId="51" xfId="1" applyNumberFormat="1" applyFont="1" applyBorder="1"/>
    <xf numFmtId="9" fontId="0" fillId="0" borderId="50" xfId="1" applyFont="1" applyBorder="1"/>
    <xf numFmtId="170" fontId="0" fillId="0" borderId="51" xfId="1" applyNumberFormat="1" applyFont="1" applyBorder="1"/>
    <xf numFmtId="170" fontId="0" fillId="0" borderId="50" xfId="0" applyNumberFormat="1" applyBorder="1"/>
    <xf numFmtId="170" fontId="0" fillId="0" borderId="51" xfId="0" applyNumberFormat="1" applyBorder="1"/>
    <xf numFmtId="176" fontId="0" fillId="0" borderId="50" xfId="0" applyNumberFormat="1" applyBorder="1"/>
    <xf numFmtId="176" fontId="0" fillId="0" borderId="0" xfId="0" applyNumberFormat="1" applyBorder="1"/>
    <xf numFmtId="176" fontId="0" fillId="0" borderId="51" xfId="0" applyNumberFormat="1" applyBorder="1"/>
    <xf numFmtId="0" fontId="3" fillId="12" borderId="0" xfId="0" applyFont="1" applyFill="1" applyAlignment="1">
      <alignment horizontal="center"/>
    </xf>
    <xf numFmtId="0" fontId="28" fillId="0" borderId="0" xfId="0" applyFont="1" applyAlignment="1">
      <alignment horizontal="right"/>
    </xf>
    <xf numFmtId="10" fontId="0" fillId="0" borderId="4" xfId="1" applyNumberFormat="1" applyFont="1" applyBorder="1"/>
    <xf numFmtId="10" fontId="0" fillId="0" borderId="1" xfId="1" applyNumberFormat="1" applyFont="1" applyBorder="1"/>
    <xf numFmtId="10" fontId="3" fillId="0" borderId="2" xfId="1" applyNumberFormat="1" applyFont="1" applyBorder="1"/>
    <xf numFmtId="10" fontId="3" fillId="0" borderId="3" xfId="1" applyNumberFormat="1" applyFont="1" applyBorder="1"/>
    <xf numFmtId="0" fontId="2" fillId="2" borderId="1" xfId="0" applyFont="1" applyFill="1" applyBorder="1"/>
    <xf numFmtId="0" fontId="0" fillId="10" borderId="21" xfId="0" applyFill="1" applyBorder="1"/>
    <xf numFmtId="0" fontId="0" fillId="10" borderId="23" xfId="0" applyFill="1" applyBorder="1"/>
    <xf numFmtId="0" fontId="3" fillId="10" borderId="54" xfId="0" applyFont="1" applyFill="1" applyBorder="1"/>
    <xf numFmtId="0" fontId="3" fillId="10" borderId="56" xfId="0" applyFont="1" applyFill="1" applyBorder="1"/>
    <xf numFmtId="1" fontId="0" fillId="2" borderId="0" xfId="1" applyNumberFormat="1" applyFont="1" applyFill="1"/>
    <xf numFmtId="1" fontId="0" fillId="2" borderId="0" xfId="0" applyNumberFormat="1" applyFill="1"/>
    <xf numFmtId="174" fontId="3" fillId="0" borderId="0" xfId="0" applyNumberFormat="1" applyFont="1"/>
    <xf numFmtId="175" fontId="15" fillId="0" borderId="0" xfId="0" applyNumberFormat="1" applyFont="1"/>
    <xf numFmtId="0" fontId="3" fillId="2" borderId="0" xfId="0" applyFont="1" applyFill="1"/>
    <xf numFmtId="10" fontId="0" fillId="2" borderId="0" xfId="0" applyNumberFormat="1" applyFill="1"/>
    <xf numFmtId="0" fontId="15" fillId="0" borderId="5" xfId="0" applyFont="1" applyBorder="1"/>
    <xf numFmtId="0" fontId="31" fillId="0" borderId="5" xfId="0" applyFont="1" applyBorder="1"/>
    <xf numFmtId="0" fontId="3" fillId="10" borderId="3" xfId="0" applyFont="1" applyFill="1" applyBorder="1"/>
    <xf numFmtId="9" fontId="3" fillId="10" borderId="3" xfId="1" applyFont="1" applyFill="1" applyBorder="1"/>
    <xf numFmtId="170" fontId="3" fillId="10" borderId="3" xfId="0" applyNumberFormat="1" applyFont="1" applyFill="1" applyBorder="1"/>
    <xf numFmtId="0" fontId="3" fillId="7" borderId="3" xfId="0" applyFont="1" applyFill="1" applyBorder="1"/>
    <xf numFmtId="9" fontId="3" fillId="7" borderId="3" xfId="1" applyFont="1" applyFill="1" applyBorder="1"/>
    <xf numFmtId="0" fontId="0" fillId="10" borderId="3" xfId="0" applyFill="1" applyBorder="1"/>
    <xf numFmtId="0" fontId="3" fillId="16" borderId="3" xfId="0" applyFont="1" applyFill="1" applyBorder="1"/>
    <xf numFmtId="0" fontId="0" fillId="16" borderId="3" xfId="0" applyFill="1" applyBorder="1"/>
    <xf numFmtId="9" fontId="3" fillId="16" borderId="3" xfId="1" applyFont="1" applyFill="1" applyBorder="1"/>
    <xf numFmtId="0" fontId="4" fillId="0" borderId="0" xfId="0" applyFont="1"/>
    <xf numFmtId="0" fontId="3" fillId="12" borderId="3" xfId="0" applyFont="1" applyFill="1" applyBorder="1"/>
    <xf numFmtId="177" fontId="3" fillId="12" borderId="3" xfId="0" applyNumberFormat="1" applyFont="1" applyFill="1" applyBorder="1"/>
    <xf numFmtId="0" fontId="32" fillId="0" borderId="3" xfId="0" applyFont="1" applyBorder="1"/>
    <xf numFmtId="0" fontId="33" fillId="0" borderId="3" xfId="0" applyFont="1" applyBorder="1"/>
    <xf numFmtId="0" fontId="0" fillId="3" borderId="0" xfId="0" applyFont="1" applyFill="1"/>
    <xf numFmtId="0" fontId="0" fillId="0" borderId="63" xfId="0" applyBorder="1"/>
    <xf numFmtId="14" fontId="0" fillId="0" borderId="63" xfId="0" applyNumberFormat="1" applyBorder="1"/>
    <xf numFmtId="14" fontId="0" fillId="0" borderId="5" xfId="0" applyNumberFormat="1" applyBorder="1"/>
    <xf numFmtId="10" fontId="0" fillId="0" borderId="5" xfId="0" applyNumberFormat="1" applyBorder="1"/>
    <xf numFmtId="9" fontId="0" fillId="0" borderId="5" xfId="0" applyNumberFormat="1" applyBorder="1"/>
    <xf numFmtId="0" fontId="0" fillId="0" borderId="57" xfId="0" applyBorder="1"/>
    <xf numFmtId="0" fontId="17" fillId="0" borderId="5" xfId="0" applyFont="1" applyBorder="1"/>
    <xf numFmtId="0" fontId="3" fillId="0" borderId="5" xfId="0" applyFont="1" applyBorder="1"/>
    <xf numFmtId="0" fontId="15" fillId="0" borderId="57" xfId="0" applyFont="1" applyBorder="1"/>
    <xf numFmtId="0" fontId="2" fillId="2" borderId="3" xfId="0" applyFont="1" applyFill="1" applyBorder="1"/>
    <xf numFmtId="0" fontId="0" fillId="7" borderId="64" xfId="0" applyFont="1" applyFill="1" applyBorder="1" applyAlignment="1">
      <alignment horizontal="left" vertical="top" wrapText="1"/>
    </xf>
    <xf numFmtId="0" fontId="0" fillId="7" borderId="51" xfId="0" applyFont="1" applyFill="1" applyBorder="1" applyAlignment="1">
      <alignment horizontal="left" vertical="top" wrapText="1"/>
    </xf>
    <xf numFmtId="0" fontId="0" fillId="7" borderId="65" xfId="0" applyFont="1" applyFill="1" applyBorder="1" applyAlignment="1">
      <alignment horizontal="left" vertical="top" wrapText="1"/>
    </xf>
    <xf numFmtId="0" fontId="0" fillId="7" borderId="61"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7" borderId="62" xfId="0" applyFont="1" applyFill="1" applyBorder="1" applyAlignment="1">
      <alignment horizontal="left" vertical="top" wrapText="1"/>
    </xf>
    <xf numFmtId="0" fontId="3" fillId="7" borderId="32" xfId="0" applyFont="1" applyFill="1" applyBorder="1" applyAlignment="1">
      <alignment horizontal="left" vertical="top" wrapText="1"/>
    </xf>
    <xf numFmtId="0" fontId="3" fillId="7" borderId="60" xfId="0" applyFont="1" applyFill="1" applyBorder="1" applyAlignment="1">
      <alignment horizontal="left" vertical="top" wrapText="1"/>
    </xf>
    <xf numFmtId="0" fontId="2" fillId="9" borderId="1" xfId="0" applyFont="1" applyFill="1" applyBorder="1" applyAlignment="1">
      <alignment horizontal="center"/>
    </xf>
    <xf numFmtId="0" fontId="0" fillId="10" borderId="5" xfId="0" applyFont="1" applyFill="1" applyBorder="1" applyAlignment="1">
      <alignment horizontal="left" vertical="top" wrapText="1"/>
    </xf>
    <xf numFmtId="0" fontId="0" fillId="10" borderId="23" xfId="0" applyFont="1" applyFill="1" applyBorder="1" applyAlignment="1">
      <alignment horizontal="left" vertical="top" wrapText="1"/>
    </xf>
    <xf numFmtId="0" fontId="0" fillId="10" borderId="57" xfId="0" applyFont="1" applyFill="1" applyBorder="1" applyAlignment="1">
      <alignment horizontal="left" vertical="top" wrapText="1"/>
    </xf>
    <xf numFmtId="0" fontId="0" fillId="10" borderId="25" xfId="0" applyFont="1" applyFill="1" applyBorder="1" applyAlignment="1">
      <alignment horizontal="left" vertical="top" wrapText="1"/>
    </xf>
    <xf numFmtId="0" fontId="30" fillId="10" borderId="55" xfId="0" applyFont="1" applyFill="1" applyBorder="1" applyAlignment="1">
      <alignment horizontal="center" vertical="center" wrapText="1"/>
    </xf>
    <xf numFmtId="0" fontId="30" fillId="10" borderId="5" xfId="0" applyFont="1" applyFill="1" applyBorder="1" applyAlignment="1">
      <alignment horizontal="center" vertical="center" wrapText="1"/>
    </xf>
    <xf numFmtId="0" fontId="3" fillId="10" borderId="58" xfId="0" applyFont="1" applyFill="1" applyBorder="1" applyAlignment="1">
      <alignment horizontal="center" vertical="center"/>
    </xf>
    <xf numFmtId="0" fontId="3" fillId="10" borderId="52" xfId="0" applyFont="1" applyFill="1" applyBorder="1" applyAlignment="1">
      <alignment horizontal="center" vertical="center"/>
    </xf>
    <xf numFmtId="0" fontId="3" fillId="10" borderId="53" xfId="0" applyFont="1" applyFill="1" applyBorder="1" applyAlignment="1">
      <alignment horizontal="center" vertical="center"/>
    </xf>
    <xf numFmtId="0" fontId="3" fillId="7" borderId="59" xfId="0" applyFont="1" applyFill="1" applyBorder="1" applyAlignment="1">
      <alignment horizontal="left" vertical="top" wrapText="1"/>
    </xf>
    <xf numFmtId="0" fontId="3" fillId="7" borderId="9" xfId="0" applyFont="1" applyFill="1" applyBorder="1" applyAlignment="1">
      <alignment horizontal="left" vertical="top" wrapText="1"/>
    </xf>
    <xf numFmtId="0" fontId="2" fillId="2" borderId="3" xfId="0" applyFont="1" applyFill="1" applyBorder="1" applyAlignment="1">
      <alignment horizontal="center"/>
    </xf>
    <xf numFmtId="0" fontId="3" fillId="0" borderId="0" xfId="0" applyFont="1" applyAlignment="1">
      <alignment horizontal="center"/>
    </xf>
    <xf numFmtId="0" fontId="2" fillId="4" borderId="0" xfId="0" applyFont="1" applyFill="1" applyAlignment="1">
      <alignment horizontal="center"/>
    </xf>
    <xf numFmtId="0" fontId="2" fillId="2" borderId="26" xfId="0" applyFont="1" applyFill="1" applyBorder="1" applyAlignment="1">
      <alignment horizontal="center"/>
    </xf>
    <xf numFmtId="0" fontId="2" fillId="2" borderId="27" xfId="0" applyFont="1" applyFill="1" applyBorder="1" applyAlignment="1">
      <alignment horizontal="center"/>
    </xf>
    <xf numFmtId="0" fontId="2" fillId="4" borderId="7" xfId="0" applyNumberFormat="1" applyFont="1" applyFill="1" applyBorder="1" applyAlignment="1">
      <alignment horizontal="center"/>
    </xf>
    <xf numFmtId="0" fontId="2" fillId="4" borderId="8" xfId="0" applyNumberFormat="1" applyFont="1" applyFill="1" applyBorder="1" applyAlignment="1">
      <alignment horizontal="center"/>
    </xf>
    <xf numFmtId="0" fontId="2" fillId="4" borderId="7" xfId="0" applyNumberFormat="1" applyFont="1" applyFill="1" applyBorder="1" applyAlignment="1">
      <alignment horizontal="left" wrapText="1"/>
    </xf>
    <xf numFmtId="0" fontId="2" fillId="4" borderId="8" xfId="0" applyNumberFormat="1" applyFont="1" applyFill="1" applyBorder="1" applyAlignment="1">
      <alignment horizontal="left" wrapText="1"/>
    </xf>
    <xf numFmtId="0" fontId="20" fillId="2" borderId="26" xfId="0" applyFont="1" applyFill="1" applyBorder="1" applyAlignment="1">
      <alignment horizontal="center"/>
    </xf>
    <xf numFmtId="0" fontId="20" fillId="2" borderId="28" xfId="0" applyFont="1" applyFill="1" applyBorder="1" applyAlignment="1">
      <alignment horizontal="center"/>
    </xf>
    <xf numFmtId="0" fontId="20" fillId="2" borderId="27" xfId="0" applyFont="1" applyFill="1" applyBorder="1" applyAlignment="1">
      <alignment horizontal="center"/>
    </xf>
    <xf numFmtId="0" fontId="2" fillId="2" borderId="0" xfId="0" applyFont="1" applyFill="1" applyAlignment="1">
      <alignment horizontal="center"/>
    </xf>
    <xf numFmtId="0" fontId="3" fillId="15" borderId="40" xfId="0" applyFont="1" applyFill="1" applyBorder="1" applyAlignment="1">
      <alignment horizontal="center" textRotation="90"/>
    </xf>
    <xf numFmtId="0" fontId="3" fillId="15" borderId="41" xfId="0" applyFont="1" applyFill="1" applyBorder="1" applyAlignment="1">
      <alignment horizontal="center" textRotation="90"/>
    </xf>
    <xf numFmtId="0" fontId="3" fillId="15" borderId="3" xfId="0" applyFont="1" applyFill="1" applyBorder="1" applyAlignment="1">
      <alignment horizontal="center"/>
    </xf>
    <xf numFmtId="0" fontId="3" fillId="15" borderId="43" xfId="0" applyFont="1" applyFill="1" applyBorder="1" applyAlignment="1">
      <alignment horizontal="center"/>
    </xf>
    <xf numFmtId="0" fontId="3" fillId="15" borderId="2" xfId="0" applyFont="1" applyFill="1" applyBorder="1" applyAlignment="1">
      <alignment horizontal="center"/>
    </xf>
    <xf numFmtId="0" fontId="3" fillId="15" borderId="39" xfId="0" applyFont="1" applyFill="1" applyBorder="1" applyAlignment="1">
      <alignment horizontal="center" textRotation="90"/>
    </xf>
    <xf numFmtId="4" fontId="3" fillId="15" borderId="2" xfId="0" applyNumberFormat="1" applyFont="1" applyFill="1" applyBorder="1" applyAlignment="1">
      <alignment horizontal="center"/>
    </xf>
    <xf numFmtId="0" fontId="2" fillId="1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Valuation</a:t>
            </a:r>
            <a:r>
              <a:rPr lang="en-IN" b="1" baseline="0"/>
              <a:t> Summary</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strRef>
              <c:f>'Football Field Analysis'!$B$14:$H$14</c:f>
              <c:strCache>
                <c:ptCount val="7"/>
                <c:pt idx="0">
                  <c:v>High</c:v>
                </c:pt>
              </c:strCache>
            </c:strRef>
          </c:tx>
          <c:spPr>
            <a:ln w="19050" cap="rnd">
              <a:noFill/>
              <a:round/>
            </a:ln>
            <a:effectLst/>
          </c:spPr>
          <c:marker>
            <c:symbol val="none"/>
          </c:marker>
          <c:dLbls>
            <c:delete val="1"/>
          </c:dLbls>
          <c:cat>
            <c:strRef>
              <c:f>'Football Field Analysis'!$I$13:$L$13</c:f>
              <c:strCache>
                <c:ptCount val="4"/>
                <c:pt idx="0">
                  <c:v>Comps</c:v>
                </c:pt>
                <c:pt idx="1">
                  <c:v>DCF</c:v>
                </c:pt>
                <c:pt idx="2">
                  <c:v>52-Week Hi/Lo</c:v>
                </c:pt>
                <c:pt idx="3">
                  <c:v>Market Consenses</c:v>
                </c:pt>
              </c:strCache>
            </c:strRef>
          </c:cat>
          <c:val>
            <c:numRef>
              <c:f>'Football Field Analysis'!$I$14:$L$14</c:f>
              <c:numCache>
                <c:formatCode>"₹"\ #,##0;\("₹"\ #,##0\);\-</c:formatCode>
                <c:ptCount val="4"/>
                <c:pt idx="0">
                  <c:v>1518.5158819191408</c:v>
                </c:pt>
                <c:pt idx="1">
                  <c:v>1574.2914732106358</c:v>
                </c:pt>
                <c:pt idx="2">
                  <c:v>1944.9</c:v>
                </c:pt>
                <c:pt idx="3">
                  <c:v>1520</c:v>
                </c:pt>
              </c:numCache>
            </c:numRef>
          </c:val>
          <c:smooth val="0"/>
          <c:extLst>
            <c:ext xmlns:c16="http://schemas.microsoft.com/office/drawing/2014/chart" uri="{C3380CC4-5D6E-409C-BE32-E72D297353CC}">
              <c16:uniqueId val="{00000000-56F3-4DCB-913E-08E1CD97D0CA}"/>
            </c:ext>
          </c:extLst>
        </c:ser>
        <c:ser>
          <c:idx val="1"/>
          <c:order val="1"/>
          <c:tx>
            <c:strRef>
              <c:f>'Football Field Analysis'!$B$15:$H$15</c:f>
              <c:strCache>
                <c:ptCount val="7"/>
                <c:pt idx="0">
                  <c:v>High</c:v>
                </c:pt>
              </c:strCache>
            </c:strRef>
          </c:tx>
          <c:spPr>
            <a:ln w="1905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Analysis'!$I$13:$L$13</c:f>
              <c:strCache>
                <c:ptCount val="4"/>
                <c:pt idx="0">
                  <c:v>Comps</c:v>
                </c:pt>
                <c:pt idx="1">
                  <c:v>DCF</c:v>
                </c:pt>
                <c:pt idx="2">
                  <c:v>52-Week Hi/Lo</c:v>
                </c:pt>
                <c:pt idx="3">
                  <c:v>Market Consenses</c:v>
                </c:pt>
              </c:strCache>
            </c:strRef>
          </c:cat>
          <c:val>
            <c:numRef>
              <c:f>'Football Field Analysis'!$I$15:$L$15</c:f>
              <c:numCache>
                <c:formatCode>"₹"\ #,##0;\("₹"\ #,##0\);\-</c:formatCode>
                <c:ptCount val="4"/>
                <c:pt idx="0">
                  <c:v>1518.5158819191408</c:v>
                </c:pt>
                <c:pt idx="1">
                  <c:v>1574.2914732106358</c:v>
                </c:pt>
                <c:pt idx="2">
                  <c:v>1944.9</c:v>
                </c:pt>
                <c:pt idx="3">
                  <c:v>1520</c:v>
                </c:pt>
              </c:numCache>
            </c:numRef>
          </c:val>
          <c:smooth val="0"/>
          <c:extLst>
            <c:ext xmlns:c16="http://schemas.microsoft.com/office/drawing/2014/chart" uri="{C3380CC4-5D6E-409C-BE32-E72D297353CC}">
              <c16:uniqueId val="{00000001-56F3-4DCB-913E-08E1CD97D0CA}"/>
            </c:ext>
          </c:extLst>
        </c:ser>
        <c:ser>
          <c:idx val="2"/>
          <c:order val="2"/>
          <c:tx>
            <c:strRef>
              <c:f>'Football Field Analysis'!$B$16:$H$16</c:f>
              <c:strCache>
                <c:ptCount val="7"/>
                <c:pt idx="0">
                  <c:v>Low</c:v>
                </c:pt>
              </c:strCache>
            </c:strRef>
          </c:tx>
          <c:spPr>
            <a:ln w="19050" cap="rnd">
              <a:noFill/>
              <a:round/>
            </a:ln>
            <a:effectLst/>
          </c:spPr>
          <c:marker>
            <c:symbol val="none"/>
          </c:marker>
          <c:dLbls>
            <c:delete val="1"/>
          </c:dLbls>
          <c:cat>
            <c:strRef>
              <c:f>'Football Field Analysis'!$I$13:$L$13</c:f>
              <c:strCache>
                <c:ptCount val="4"/>
                <c:pt idx="0">
                  <c:v>Comps</c:v>
                </c:pt>
                <c:pt idx="1">
                  <c:v>DCF</c:v>
                </c:pt>
                <c:pt idx="2">
                  <c:v>52-Week Hi/Lo</c:v>
                </c:pt>
                <c:pt idx="3">
                  <c:v>Market Consenses</c:v>
                </c:pt>
              </c:strCache>
            </c:strRef>
          </c:cat>
          <c:val>
            <c:numRef>
              <c:f>'Football Field Analysis'!$I$16:$L$16</c:f>
              <c:numCache>
                <c:formatCode>"₹"\ #,##0;\("₹"\ #,##0\);\-</c:formatCode>
                <c:ptCount val="4"/>
                <c:pt idx="0">
                  <c:v>1125.1703040121845</c:v>
                </c:pt>
                <c:pt idx="1">
                  <c:v>773</c:v>
                </c:pt>
                <c:pt idx="2">
                  <c:v>1135</c:v>
                </c:pt>
                <c:pt idx="3">
                  <c:v>1030</c:v>
                </c:pt>
              </c:numCache>
            </c:numRef>
          </c:val>
          <c:smooth val="0"/>
          <c:extLst>
            <c:ext xmlns:c16="http://schemas.microsoft.com/office/drawing/2014/chart" uri="{C3380CC4-5D6E-409C-BE32-E72D297353CC}">
              <c16:uniqueId val="{00000002-56F3-4DCB-913E-08E1CD97D0CA}"/>
            </c:ext>
          </c:extLst>
        </c:ser>
        <c:ser>
          <c:idx val="3"/>
          <c:order val="3"/>
          <c:tx>
            <c:strRef>
              <c:f>'Football Field Analysis'!$B$17:$H$17</c:f>
              <c:strCache>
                <c:ptCount val="7"/>
                <c:pt idx="0">
                  <c:v>Low</c:v>
                </c:pt>
              </c:strCache>
            </c:strRef>
          </c:tx>
          <c:spPr>
            <a:ln w="19050" cap="rnd">
              <a:no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Analysis'!$I$13:$L$13</c:f>
              <c:strCache>
                <c:ptCount val="4"/>
                <c:pt idx="0">
                  <c:v>Comps</c:v>
                </c:pt>
                <c:pt idx="1">
                  <c:v>DCF</c:v>
                </c:pt>
                <c:pt idx="2">
                  <c:v>52-Week Hi/Lo</c:v>
                </c:pt>
                <c:pt idx="3">
                  <c:v>Market Consenses</c:v>
                </c:pt>
              </c:strCache>
            </c:strRef>
          </c:cat>
          <c:val>
            <c:numRef>
              <c:f>'Football Field Analysis'!$I$17:$L$17</c:f>
              <c:numCache>
                <c:formatCode>"₹"\ #,##0;\("₹"\ #,##0\);\-</c:formatCode>
                <c:ptCount val="4"/>
                <c:pt idx="0">
                  <c:v>1125.1703040121845</c:v>
                </c:pt>
                <c:pt idx="1">
                  <c:v>773</c:v>
                </c:pt>
                <c:pt idx="2">
                  <c:v>1135</c:v>
                </c:pt>
                <c:pt idx="3">
                  <c:v>1030</c:v>
                </c:pt>
              </c:numCache>
            </c:numRef>
          </c:val>
          <c:smooth val="0"/>
          <c:extLst>
            <c:ext xmlns:c16="http://schemas.microsoft.com/office/drawing/2014/chart" uri="{C3380CC4-5D6E-409C-BE32-E72D297353CC}">
              <c16:uniqueId val="{00000003-56F3-4DCB-913E-08E1CD97D0CA}"/>
            </c:ext>
          </c:extLst>
        </c:ser>
        <c:dLbls>
          <c:showLegendKey val="0"/>
          <c:showVal val="1"/>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accent1">
                  <a:lumMod val="60000"/>
                  <a:lumOff val="40000"/>
                </a:schemeClr>
              </a:solidFill>
              <a:ln w="9525" cap="flat" cmpd="sng" algn="ctr">
                <a:solidFill>
                  <a:schemeClr val="tx1">
                    <a:lumMod val="65000"/>
                    <a:lumOff val="35000"/>
                  </a:schemeClr>
                </a:solidFill>
                <a:round/>
              </a:ln>
              <a:effectLst/>
            </c:spPr>
          </c:downBars>
        </c:upDownBars>
        <c:axId val="746405808"/>
        <c:axId val="746407448"/>
      </c:stockChart>
      <c:catAx>
        <c:axId val="74640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6407448"/>
        <c:crosses val="autoZero"/>
        <c:auto val="1"/>
        <c:lblAlgn val="ctr"/>
        <c:lblOffset val="100"/>
        <c:noMultiLvlLbl val="0"/>
      </c:catAx>
      <c:valAx>
        <c:axId val="746407448"/>
        <c:scaling>
          <c:orientation val="minMax"/>
        </c:scaling>
        <c:delete val="0"/>
        <c:axPos val="l"/>
        <c:numFmt formatCode="&quot;₹&quot;\ #,##0;\(&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6405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76200</xdr:rowOff>
    </xdr:from>
    <xdr:to>
      <xdr:col>3</xdr:col>
      <xdr:colOff>200025</xdr:colOff>
      <xdr:row>6</xdr:row>
      <xdr:rowOff>171449</xdr:rowOff>
    </xdr:to>
    <xdr:pic>
      <xdr:nvPicPr>
        <xdr:cNvPr id="3" name="Picture 2" descr="Voltas Logo Download Vecto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266700"/>
          <a:ext cx="2886075" cy="1047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552450</xdr:colOff>
      <xdr:row>9</xdr:row>
      <xdr:rowOff>0</xdr:rowOff>
    </xdr:from>
    <xdr:to>
      <xdr:col>17</xdr:col>
      <xdr:colOff>0</xdr:colOff>
      <xdr:row>28</xdr:row>
      <xdr:rowOff>66675</xdr:rowOff>
    </xdr:to>
    <xdr:pic>
      <xdr:nvPicPr>
        <xdr:cNvPr id="4" name="Picture 3"/>
        <xdr:cNvPicPr>
          <a:picLocks noChangeAspect="1"/>
        </xdr:cNvPicPr>
      </xdr:nvPicPr>
      <xdr:blipFill>
        <a:blip xmlns:r="http://schemas.openxmlformats.org/officeDocument/2006/relationships" r:embed="rId2"/>
        <a:stretch>
          <a:fillRect/>
        </a:stretch>
      </xdr:blipFill>
      <xdr:spPr>
        <a:xfrm>
          <a:off x="9553575" y="1724025"/>
          <a:ext cx="4324350" cy="3733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38099</xdr:rowOff>
    </xdr:from>
    <xdr:to>
      <xdr:col>1</xdr:col>
      <xdr:colOff>3419475</xdr:colOff>
      <xdr:row>7</xdr:row>
      <xdr:rowOff>142874</xdr:rowOff>
    </xdr:to>
    <xdr:pic>
      <xdr:nvPicPr>
        <xdr:cNvPr id="3" name="Picture 2"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228599"/>
          <a:ext cx="3419475"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47625</xdr:colOff>
      <xdr:row>1</xdr:row>
      <xdr:rowOff>66674</xdr:rowOff>
    </xdr:from>
    <xdr:to>
      <xdr:col>1</xdr:col>
      <xdr:colOff>2552700</xdr:colOff>
      <xdr:row>5</xdr:row>
      <xdr:rowOff>104775</xdr:rowOff>
    </xdr:to>
    <xdr:pic>
      <xdr:nvPicPr>
        <xdr:cNvPr id="2" name="Picture 1" descr="Voltas Logo Download Vecto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257174"/>
          <a:ext cx="2505075" cy="8001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19051</xdr:colOff>
      <xdr:row>1</xdr:row>
      <xdr:rowOff>47624</xdr:rowOff>
    </xdr:from>
    <xdr:to>
      <xdr:col>1</xdr:col>
      <xdr:colOff>3276601</xdr:colOff>
      <xdr:row>7</xdr:row>
      <xdr:rowOff>99913</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6" y="238124"/>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47624</xdr:colOff>
      <xdr:row>1</xdr:row>
      <xdr:rowOff>9525</xdr:rowOff>
    </xdr:from>
    <xdr:to>
      <xdr:col>2</xdr:col>
      <xdr:colOff>95250</xdr:colOff>
      <xdr:row>7</xdr:row>
      <xdr:rowOff>76200</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4" y="200025"/>
          <a:ext cx="2876551" cy="1209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85725</xdr:colOff>
      <xdr:row>1</xdr:row>
      <xdr:rowOff>38100</xdr:rowOff>
    </xdr:from>
    <xdr:to>
      <xdr:col>1</xdr:col>
      <xdr:colOff>3333750</xdr:colOff>
      <xdr:row>7</xdr:row>
      <xdr:rowOff>129980</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228600"/>
          <a:ext cx="3248025" cy="1234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76200</xdr:colOff>
      <xdr:row>1</xdr:row>
      <xdr:rowOff>85725</xdr:rowOff>
    </xdr:from>
    <xdr:to>
      <xdr:col>2</xdr:col>
      <xdr:colOff>504825</xdr:colOff>
      <xdr:row>7</xdr:row>
      <xdr:rowOff>138014</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276225"/>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57150</xdr:colOff>
      <xdr:row>1</xdr:row>
      <xdr:rowOff>66675</xdr:rowOff>
    </xdr:from>
    <xdr:to>
      <xdr:col>1</xdr:col>
      <xdr:colOff>3314700</xdr:colOff>
      <xdr:row>7</xdr:row>
      <xdr:rowOff>118964</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257175"/>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47625</xdr:colOff>
      <xdr:row>1</xdr:row>
      <xdr:rowOff>114300</xdr:rowOff>
    </xdr:from>
    <xdr:to>
      <xdr:col>1</xdr:col>
      <xdr:colOff>3305175</xdr:colOff>
      <xdr:row>7</xdr:row>
      <xdr:rowOff>166589</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304800"/>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28575</xdr:colOff>
      <xdr:row>1</xdr:row>
      <xdr:rowOff>66675</xdr:rowOff>
    </xdr:from>
    <xdr:to>
      <xdr:col>2</xdr:col>
      <xdr:colOff>19050</xdr:colOff>
      <xdr:row>7</xdr:row>
      <xdr:rowOff>118964</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57175"/>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47625</xdr:colOff>
      <xdr:row>1</xdr:row>
      <xdr:rowOff>66675</xdr:rowOff>
    </xdr:from>
    <xdr:to>
      <xdr:col>1</xdr:col>
      <xdr:colOff>3305175</xdr:colOff>
      <xdr:row>7</xdr:row>
      <xdr:rowOff>118964</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 y="257175"/>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38100</xdr:colOff>
      <xdr:row>1</xdr:row>
      <xdr:rowOff>38100</xdr:rowOff>
    </xdr:from>
    <xdr:to>
      <xdr:col>4</xdr:col>
      <xdr:colOff>276225</xdr:colOff>
      <xdr:row>7</xdr:row>
      <xdr:rowOff>90389</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228600"/>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28575</xdr:colOff>
      <xdr:row>1</xdr:row>
      <xdr:rowOff>66675</xdr:rowOff>
    </xdr:from>
    <xdr:to>
      <xdr:col>5</xdr:col>
      <xdr:colOff>123825</xdr:colOff>
      <xdr:row>7</xdr:row>
      <xdr:rowOff>118964</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257175"/>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6</xdr:col>
      <xdr:colOff>38100</xdr:colOff>
      <xdr:row>6</xdr:row>
      <xdr:rowOff>166589</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190500"/>
          <a:ext cx="3257550" cy="11190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104775</xdr:colOff>
      <xdr:row>1</xdr:row>
      <xdr:rowOff>19050</xdr:rowOff>
    </xdr:from>
    <xdr:to>
      <xdr:col>5</xdr:col>
      <xdr:colOff>114300</xdr:colOff>
      <xdr:row>7</xdr:row>
      <xdr:rowOff>71339</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209550"/>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533400</xdr:colOff>
      <xdr:row>2</xdr:row>
      <xdr:rowOff>180975</xdr:rowOff>
    </xdr:from>
    <xdr:to>
      <xdr:col>5</xdr:col>
      <xdr:colOff>419100</xdr:colOff>
      <xdr:row>9</xdr:row>
      <xdr:rowOff>42764</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7225" y="561975"/>
          <a:ext cx="3257550" cy="11952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xdr:col>
      <xdr:colOff>266700</xdr:colOff>
      <xdr:row>6</xdr:row>
      <xdr:rowOff>104775</xdr:rowOff>
    </xdr:to>
    <xdr:pic>
      <xdr:nvPicPr>
        <xdr:cNvPr id="2" name="Picture 1" descr="Voltas Logo Download Vecto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90500"/>
          <a:ext cx="3000375"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9525</xdr:colOff>
      <xdr:row>1</xdr:row>
      <xdr:rowOff>47625</xdr:rowOff>
    </xdr:from>
    <xdr:to>
      <xdr:col>3</xdr:col>
      <xdr:colOff>609600</xdr:colOff>
      <xdr:row>7</xdr:row>
      <xdr:rowOff>85725</xdr:rowOff>
    </xdr:to>
    <xdr:pic>
      <xdr:nvPicPr>
        <xdr:cNvPr id="2" name="Picture 1" descr="Voltas Logo Download Vecto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238125"/>
          <a:ext cx="3000375" cy="118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367242</xdr:colOff>
      <xdr:row>6</xdr:row>
      <xdr:rowOff>152400</xdr:rowOff>
    </xdr:to>
    <xdr:pic>
      <xdr:nvPicPr>
        <xdr:cNvPr id="2" name="Picture 1" descr="Voltas Logo Download Vecto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90500"/>
          <a:ext cx="3000375"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1</xdr:col>
      <xdr:colOff>0</xdr:colOff>
      <xdr:row>20</xdr:row>
      <xdr:rowOff>0</xdr:rowOff>
    </xdr:from>
    <xdr:to>
      <xdr:col>5</xdr:col>
      <xdr:colOff>419100</xdr:colOff>
      <xdr:row>34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590550</xdr:colOff>
      <xdr:row>27</xdr:row>
      <xdr:rowOff>66675</xdr:rowOff>
    </xdr:from>
    <xdr:to>
      <xdr:col>5</xdr:col>
      <xdr:colOff>266700</xdr:colOff>
      <xdr:row>27</xdr:row>
      <xdr:rowOff>66675</xdr:rowOff>
    </xdr:to>
    <xdr:cxnSp macro="">
      <xdr:nvCxnSpPr>
        <xdr:cNvPr id="4" name="Straight Connector 3"/>
        <xdr:cNvCxnSpPr/>
      </xdr:nvCxnSpPr>
      <xdr:spPr>
        <a:xfrm>
          <a:off x="714375" y="5219700"/>
          <a:ext cx="3829050" cy="0"/>
        </a:xfrm>
        <a:prstGeom prst="line">
          <a:avLst/>
        </a:prstGeom>
        <a:ln>
          <a:prstDash val="sysDash"/>
          <a:headEnd type="none" w="med" len="med"/>
          <a:tailEnd type="none" w="med" len="med"/>
        </a:ln>
      </xdr:spPr>
      <xdr:style>
        <a:lnRef idx="3">
          <a:schemeClr val="accent4"/>
        </a:lnRef>
        <a:fillRef idx="0">
          <a:schemeClr val="accent4"/>
        </a:fillRef>
        <a:effectRef idx="2">
          <a:schemeClr val="accent4"/>
        </a:effectRef>
        <a:fontRef idx="minor">
          <a:schemeClr val="tx1"/>
        </a:fontRef>
      </xdr:style>
    </xdr:cxnSp>
    <xdr:clientData/>
  </xdr:twoCellAnchor>
  <xdr:twoCellAnchor editAs="oneCell">
    <xdr:from>
      <xdr:col>1</xdr:col>
      <xdr:colOff>0</xdr:colOff>
      <xdr:row>1</xdr:row>
      <xdr:rowOff>104775</xdr:rowOff>
    </xdr:from>
    <xdr:to>
      <xdr:col>3</xdr:col>
      <xdr:colOff>66675</xdr:colOff>
      <xdr:row>7</xdr:row>
      <xdr:rowOff>142875</xdr:rowOff>
    </xdr:to>
    <xdr:pic>
      <xdr:nvPicPr>
        <xdr:cNvPr id="5" name="Picture 4" descr="Voltas Logo Download Vecto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95275"/>
          <a:ext cx="3000375" cy="118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1</xdr:row>
      <xdr:rowOff>28575</xdr:rowOff>
    </xdr:from>
    <xdr:to>
      <xdr:col>3</xdr:col>
      <xdr:colOff>523875</xdr:colOff>
      <xdr:row>6</xdr:row>
      <xdr:rowOff>104775</xdr:rowOff>
    </xdr:to>
    <xdr:pic>
      <xdr:nvPicPr>
        <xdr:cNvPr id="2" name="Picture 1" descr="Voltas Logo Download Vecto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19075"/>
          <a:ext cx="2886075" cy="102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Volta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B1:R75"/>
  <sheetViews>
    <sheetView showGridLines="0" topLeftCell="A59" workbookViewId="0">
      <selection activeCell="B81" sqref="B81"/>
    </sheetView>
  </sheetViews>
  <sheetFormatPr defaultRowHeight="15"/>
  <cols>
    <col min="1" max="1" width="1.85546875" customWidth="1"/>
    <col min="2" max="2" width="23.140625" customWidth="1"/>
    <col min="3" max="3" width="17.7109375" bestFit="1" customWidth="1"/>
    <col min="4" max="4" width="10.140625" bestFit="1" customWidth="1"/>
    <col min="6" max="6" width="20.140625" bestFit="1" customWidth="1"/>
    <col min="7" max="7" width="34.5703125" customWidth="1"/>
    <col min="9" max="9" width="4.140625" customWidth="1"/>
  </cols>
  <sheetData>
    <row r="1" spans="2:18">
      <c r="B1" s="221"/>
      <c r="C1" s="221"/>
      <c r="D1" s="221"/>
      <c r="E1" s="221"/>
      <c r="F1" s="221"/>
      <c r="G1" s="221"/>
      <c r="H1" s="221"/>
      <c r="I1" s="221"/>
      <c r="J1" s="221"/>
      <c r="K1" s="221"/>
      <c r="L1" s="221"/>
      <c r="M1" s="221"/>
      <c r="N1" s="221"/>
      <c r="O1" s="221"/>
      <c r="P1" s="221"/>
      <c r="Q1" s="221"/>
    </row>
    <row r="8" spans="2:18">
      <c r="B8" s="129"/>
      <c r="C8" s="129"/>
      <c r="D8" s="129"/>
      <c r="E8" s="129"/>
      <c r="F8" s="129"/>
      <c r="G8" s="129"/>
      <c r="H8" s="129"/>
      <c r="I8" s="129"/>
      <c r="J8" s="129"/>
      <c r="K8" s="129"/>
      <c r="L8" s="129"/>
      <c r="M8" s="129"/>
      <c r="N8" s="129"/>
      <c r="O8" s="129"/>
      <c r="P8" s="129"/>
      <c r="Q8" s="129"/>
      <c r="R8" s="23"/>
    </row>
    <row r="9" spans="2:18" ht="15.75" thickBot="1"/>
    <row r="10" spans="2:18">
      <c r="B10" s="320" t="s">
        <v>151</v>
      </c>
      <c r="C10" s="320"/>
      <c r="F10" s="277" t="s">
        <v>284</v>
      </c>
      <c r="G10" s="325" t="s">
        <v>451</v>
      </c>
      <c r="H10" s="325"/>
      <c r="I10" s="275"/>
    </row>
    <row r="11" spans="2:18" ht="15.75" thickBot="1">
      <c r="B11" s="9" t="s">
        <v>149</v>
      </c>
      <c r="C11" s="9">
        <f>IF(B11="Best Case",1,IF(B11="Base Case",2,3))</f>
        <v>2</v>
      </c>
      <c r="F11" s="278" t="s">
        <v>444</v>
      </c>
      <c r="G11" s="326" t="s">
        <v>450</v>
      </c>
      <c r="H11" s="326"/>
      <c r="I11" s="276"/>
    </row>
    <row r="12" spans="2:18">
      <c r="F12" s="278" t="s">
        <v>445</v>
      </c>
      <c r="G12" s="326" t="s">
        <v>452</v>
      </c>
      <c r="H12" s="326"/>
      <c r="I12" s="276"/>
    </row>
    <row r="13" spans="2:18">
      <c r="B13" s="320" t="s">
        <v>358</v>
      </c>
      <c r="C13" s="320"/>
      <c r="F13" s="278" t="s">
        <v>446</v>
      </c>
      <c r="G13" s="326" t="s">
        <v>453</v>
      </c>
      <c r="H13" s="326"/>
      <c r="I13" s="276"/>
    </row>
    <row r="14" spans="2:18">
      <c r="B14" s="302" t="s">
        <v>359</v>
      </c>
      <c r="C14" s="303">
        <v>45857</v>
      </c>
      <c r="F14" s="278" t="s">
        <v>447</v>
      </c>
      <c r="G14" s="326" t="s">
        <v>454</v>
      </c>
      <c r="H14" s="326"/>
      <c r="I14" s="276"/>
    </row>
    <row r="15" spans="2:18">
      <c r="B15" s="67" t="s">
        <v>360</v>
      </c>
      <c r="C15" s="304">
        <v>46112</v>
      </c>
      <c r="F15" s="278" t="s">
        <v>448</v>
      </c>
      <c r="G15" s="326" t="s">
        <v>455</v>
      </c>
      <c r="H15" s="326"/>
      <c r="I15" s="276"/>
    </row>
    <row r="16" spans="2:18" ht="18" customHeight="1">
      <c r="B16" s="67" t="s">
        <v>356</v>
      </c>
      <c r="C16" s="305">
        <v>6.3049999999999995E-2</v>
      </c>
      <c r="D16" s="147"/>
      <c r="F16" s="327" t="s">
        <v>449</v>
      </c>
      <c r="G16" s="321" t="s">
        <v>456</v>
      </c>
      <c r="H16" s="321"/>
      <c r="I16" s="322"/>
    </row>
    <row r="17" spans="2:17">
      <c r="B17" s="67" t="s">
        <v>361</v>
      </c>
      <c r="C17" s="306">
        <v>0.28999999999999998</v>
      </c>
      <c r="F17" s="328"/>
      <c r="G17" s="321"/>
      <c r="H17" s="321"/>
      <c r="I17" s="322"/>
    </row>
    <row r="18" spans="2:17">
      <c r="B18" s="67" t="s">
        <v>362</v>
      </c>
      <c r="C18" s="130">
        <f>'Comps Valuation'!Q23</f>
        <v>33.548007812147816</v>
      </c>
      <c r="F18" s="328"/>
      <c r="G18" s="321"/>
      <c r="H18" s="321"/>
      <c r="I18" s="322"/>
    </row>
    <row r="19" spans="2:17" ht="13.5" customHeight="1">
      <c r="B19" s="67" t="s">
        <v>363</v>
      </c>
      <c r="C19" s="306">
        <v>0.04</v>
      </c>
      <c r="F19" s="328"/>
      <c r="G19" s="321"/>
      <c r="H19" s="321"/>
      <c r="I19" s="322"/>
    </row>
    <row r="20" spans="2:17">
      <c r="B20" s="67" t="s">
        <v>364</v>
      </c>
      <c r="C20" s="305">
        <f>WACC!C52</f>
        <v>6.7410658014894112E-2</v>
      </c>
      <c r="D20" s="223">
        <f>WACC!D52</f>
        <v>0.1130745339248833</v>
      </c>
      <c r="F20" s="328"/>
      <c r="G20" s="321"/>
      <c r="H20" s="321"/>
      <c r="I20" s="322"/>
    </row>
    <row r="21" spans="2:17">
      <c r="B21" s="67" t="s">
        <v>365</v>
      </c>
      <c r="C21" s="67">
        <f>'Comps Valuation'!F27</f>
        <v>33.090000000000003</v>
      </c>
      <c r="F21" s="328"/>
      <c r="G21" s="321"/>
      <c r="H21" s="321"/>
      <c r="I21" s="322"/>
    </row>
    <row r="22" spans="2:17">
      <c r="B22" s="67" t="s">
        <v>366</v>
      </c>
      <c r="C22" s="67">
        <f>'Comps Valuation'!E27</f>
        <v>1377</v>
      </c>
      <c r="F22" s="328"/>
      <c r="G22" s="321"/>
      <c r="H22" s="321"/>
      <c r="I22" s="322"/>
    </row>
    <row r="23" spans="2:17" ht="15.75" thickBot="1">
      <c r="B23" s="307" t="s">
        <v>301</v>
      </c>
      <c r="C23" s="307">
        <f>C21*C22</f>
        <v>45564.930000000008</v>
      </c>
      <c r="F23" s="328"/>
      <c r="G23" s="321"/>
      <c r="H23" s="321"/>
      <c r="I23" s="322"/>
    </row>
    <row r="24" spans="2:17">
      <c r="F24" s="328"/>
      <c r="G24" s="321"/>
      <c r="H24" s="321"/>
      <c r="I24" s="322"/>
    </row>
    <row r="25" spans="2:17">
      <c r="B25" s="274" t="s">
        <v>437</v>
      </c>
      <c r="C25" s="274"/>
      <c r="F25" s="328"/>
      <c r="G25" s="321"/>
      <c r="H25" s="321"/>
      <c r="I25" s="322"/>
    </row>
    <row r="26" spans="2:17">
      <c r="B26" s="308" t="s">
        <v>438</v>
      </c>
      <c r="C26" s="67" t="s">
        <v>439</v>
      </c>
      <c r="F26" s="328"/>
      <c r="G26" s="321"/>
      <c r="H26" s="321"/>
      <c r="I26" s="322"/>
    </row>
    <row r="27" spans="2:17">
      <c r="B27" s="309" t="s">
        <v>440</v>
      </c>
      <c r="C27" s="67" t="s">
        <v>441</v>
      </c>
      <c r="F27" s="328"/>
      <c r="G27" s="321"/>
      <c r="H27" s="321"/>
      <c r="I27" s="322"/>
    </row>
    <row r="28" spans="2:17" ht="15.75" thickBot="1">
      <c r="B28" s="310" t="s">
        <v>442</v>
      </c>
      <c r="C28" s="307" t="s">
        <v>443</v>
      </c>
      <c r="F28" s="329"/>
      <c r="G28" s="323"/>
      <c r="H28" s="323"/>
      <c r="I28" s="324"/>
    </row>
    <row r="31" spans="2:17">
      <c r="B31" s="311" t="s">
        <v>457</v>
      </c>
      <c r="C31" s="311" t="s">
        <v>458</v>
      </c>
      <c r="D31" s="311" t="s">
        <v>459</v>
      </c>
      <c r="E31" s="332" t="s">
        <v>358</v>
      </c>
      <c r="F31" s="332"/>
      <c r="G31" s="332"/>
      <c r="H31" s="332"/>
      <c r="I31" s="332"/>
      <c r="J31" s="332"/>
      <c r="K31" s="332"/>
      <c r="L31" s="332"/>
      <c r="M31" s="332"/>
      <c r="N31" s="332"/>
      <c r="O31" s="332"/>
      <c r="P31" s="332"/>
      <c r="Q31" s="332"/>
    </row>
    <row r="32" spans="2:17" ht="15" customHeight="1">
      <c r="B32" s="319" t="s">
        <v>132</v>
      </c>
      <c r="C32" s="319" t="s">
        <v>460</v>
      </c>
      <c r="D32" s="319" t="s">
        <v>461</v>
      </c>
      <c r="E32" s="312" t="s">
        <v>462</v>
      </c>
      <c r="F32" s="313"/>
      <c r="G32" s="313"/>
      <c r="H32" s="313"/>
      <c r="I32" s="313"/>
      <c r="J32" s="313"/>
      <c r="K32" s="313"/>
      <c r="L32" s="313"/>
      <c r="M32" s="313"/>
      <c r="N32" s="313"/>
      <c r="O32" s="313"/>
      <c r="P32" s="313"/>
      <c r="Q32" s="314"/>
    </row>
    <row r="33" spans="2:17">
      <c r="B33" s="318"/>
      <c r="C33" s="318"/>
      <c r="D33" s="318"/>
      <c r="E33" s="315"/>
      <c r="F33" s="316"/>
      <c r="G33" s="316"/>
      <c r="H33" s="316"/>
      <c r="I33" s="316"/>
      <c r="J33" s="316"/>
      <c r="K33" s="316"/>
      <c r="L33" s="316"/>
      <c r="M33" s="316"/>
      <c r="N33" s="316"/>
      <c r="O33" s="316"/>
      <c r="P33" s="316"/>
      <c r="Q33" s="317"/>
    </row>
    <row r="34" spans="2:17">
      <c r="B34" s="318"/>
      <c r="C34" s="318"/>
      <c r="D34" s="318"/>
      <c r="E34" s="315"/>
      <c r="F34" s="316"/>
      <c r="G34" s="316"/>
      <c r="H34" s="316"/>
      <c r="I34" s="316"/>
      <c r="J34" s="316"/>
      <c r="K34" s="316"/>
      <c r="L34" s="316"/>
      <c r="M34" s="316"/>
      <c r="N34" s="316"/>
      <c r="O34" s="316"/>
      <c r="P34" s="316"/>
      <c r="Q34" s="317"/>
    </row>
    <row r="35" spans="2:17" ht="15" customHeight="1">
      <c r="B35" s="318" t="s">
        <v>133</v>
      </c>
      <c r="C35" s="318" t="s">
        <v>460</v>
      </c>
      <c r="D35" s="318" t="s">
        <v>463</v>
      </c>
      <c r="E35" s="315" t="s">
        <v>464</v>
      </c>
      <c r="F35" s="316"/>
      <c r="G35" s="316"/>
      <c r="H35" s="316"/>
      <c r="I35" s="316"/>
      <c r="J35" s="316"/>
      <c r="K35" s="316"/>
      <c r="L35" s="316"/>
      <c r="M35" s="316"/>
      <c r="N35" s="316"/>
      <c r="O35" s="316"/>
      <c r="P35" s="316"/>
      <c r="Q35" s="317"/>
    </row>
    <row r="36" spans="2:17">
      <c r="B36" s="318"/>
      <c r="C36" s="318"/>
      <c r="D36" s="318"/>
      <c r="E36" s="315"/>
      <c r="F36" s="316"/>
      <c r="G36" s="316"/>
      <c r="H36" s="316"/>
      <c r="I36" s="316"/>
      <c r="J36" s="316"/>
      <c r="K36" s="316"/>
      <c r="L36" s="316"/>
      <c r="M36" s="316"/>
      <c r="N36" s="316"/>
      <c r="O36" s="316"/>
      <c r="P36" s="316"/>
      <c r="Q36" s="317"/>
    </row>
    <row r="37" spans="2:17">
      <c r="B37" s="318"/>
      <c r="C37" s="318"/>
      <c r="D37" s="318"/>
      <c r="E37" s="315"/>
      <c r="F37" s="316"/>
      <c r="G37" s="316"/>
      <c r="H37" s="316"/>
      <c r="I37" s="316"/>
      <c r="J37" s="316"/>
      <c r="K37" s="316"/>
      <c r="L37" s="316"/>
      <c r="M37" s="316"/>
      <c r="N37" s="316"/>
      <c r="O37" s="316"/>
      <c r="P37" s="316"/>
      <c r="Q37" s="317"/>
    </row>
    <row r="38" spans="2:17" ht="15" customHeight="1">
      <c r="B38" s="318" t="s">
        <v>134</v>
      </c>
      <c r="C38" s="318" t="s">
        <v>460</v>
      </c>
      <c r="D38" s="318" t="s">
        <v>492</v>
      </c>
      <c r="E38" s="315" t="s">
        <v>496</v>
      </c>
      <c r="F38" s="316"/>
      <c r="G38" s="316"/>
      <c r="H38" s="316"/>
      <c r="I38" s="316"/>
      <c r="J38" s="316"/>
      <c r="K38" s="316"/>
      <c r="L38" s="316"/>
      <c r="M38" s="316"/>
      <c r="N38" s="316"/>
      <c r="O38" s="316"/>
      <c r="P38" s="316"/>
      <c r="Q38" s="317"/>
    </row>
    <row r="39" spans="2:17">
      <c r="B39" s="318"/>
      <c r="C39" s="318"/>
      <c r="D39" s="318"/>
      <c r="E39" s="315"/>
      <c r="F39" s="316"/>
      <c r="G39" s="316"/>
      <c r="H39" s="316"/>
      <c r="I39" s="316"/>
      <c r="J39" s="316"/>
      <c r="K39" s="316"/>
      <c r="L39" s="316"/>
      <c r="M39" s="316"/>
      <c r="N39" s="316"/>
      <c r="O39" s="316"/>
      <c r="P39" s="316"/>
      <c r="Q39" s="317"/>
    </row>
    <row r="40" spans="2:17">
      <c r="B40" s="318"/>
      <c r="C40" s="318"/>
      <c r="D40" s="318"/>
      <c r="E40" s="315"/>
      <c r="F40" s="316"/>
      <c r="G40" s="316"/>
      <c r="H40" s="316"/>
      <c r="I40" s="316"/>
      <c r="J40" s="316"/>
      <c r="K40" s="316"/>
      <c r="L40" s="316"/>
      <c r="M40" s="316"/>
      <c r="N40" s="316"/>
      <c r="O40" s="316"/>
      <c r="P40" s="316"/>
      <c r="Q40" s="317"/>
    </row>
    <row r="41" spans="2:17" ht="15" customHeight="1">
      <c r="B41" s="318" t="s">
        <v>238</v>
      </c>
      <c r="C41" s="318" t="s">
        <v>460</v>
      </c>
      <c r="D41" s="318" t="s">
        <v>493</v>
      </c>
      <c r="E41" s="315" t="s">
        <v>497</v>
      </c>
      <c r="F41" s="316"/>
      <c r="G41" s="316"/>
      <c r="H41" s="316"/>
      <c r="I41" s="316"/>
      <c r="J41" s="316"/>
      <c r="K41" s="316"/>
      <c r="L41" s="316"/>
      <c r="M41" s="316"/>
      <c r="N41" s="316"/>
      <c r="O41" s="316"/>
      <c r="P41" s="316"/>
      <c r="Q41" s="317"/>
    </row>
    <row r="42" spans="2:17">
      <c r="B42" s="318"/>
      <c r="C42" s="318"/>
      <c r="D42" s="318"/>
      <c r="E42" s="315"/>
      <c r="F42" s="316"/>
      <c r="G42" s="316"/>
      <c r="H42" s="316"/>
      <c r="I42" s="316"/>
      <c r="J42" s="316"/>
      <c r="K42" s="316"/>
      <c r="L42" s="316"/>
      <c r="M42" s="316"/>
      <c r="N42" s="316"/>
      <c r="O42" s="316"/>
      <c r="P42" s="316"/>
      <c r="Q42" s="317"/>
    </row>
    <row r="43" spans="2:17">
      <c r="B43" s="318"/>
      <c r="C43" s="318"/>
      <c r="D43" s="318"/>
      <c r="E43" s="315"/>
      <c r="F43" s="316"/>
      <c r="G43" s="316"/>
      <c r="H43" s="316"/>
      <c r="I43" s="316"/>
      <c r="J43" s="316"/>
      <c r="K43" s="316"/>
      <c r="L43" s="316"/>
      <c r="M43" s="316"/>
      <c r="N43" s="316"/>
      <c r="O43" s="316"/>
      <c r="P43" s="316"/>
      <c r="Q43" s="317"/>
    </row>
    <row r="44" spans="2:17" ht="15" customHeight="1">
      <c r="B44" s="330" t="s">
        <v>494</v>
      </c>
      <c r="C44" s="330" t="s">
        <v>460</v>
      </c>
      <c r="D44" s="330" t="s">
        <v>495</v>
      </c>
      <c r="E44" s="315" t="s">
        <v>498</v>
      </c>
      <c r="F44" s="316"/>
      <c r="G44" s="316"/>
      <c r="H44" s="316"/>
      <c r="I44" s="316"/>
      <c r="J44" s="316"/>
      <c r="K44" s="316"/>
      <c r="L44" s="316"/>
      <c r="M44" s="316"/>
      <c r="N44" s="316"/>
      <c r="O44" s="316"/>
      <c r="P44" s="316"/>
      <c r="Q44" s="317"/>
    </row>
    <row r="45" spans="2:17">
      <c r="B45" s="331"/>
      <c r="C45" s="331"/>
      <c r="D45" s="331"/>
      <c r="E45" s="315"/>
      <c r="F45" s="316"/>
      <c r="G45" s="316"/>
      <c r="H45" s="316"/>
      <c r="I45" s="316"/>
      <c r="J45" s="316"/>
      <c r="K45" s="316"/>
      <c r="L45" s="316"/>
      <c r="M45" s="316"/>
      <c r="N45" s="316"/>
      <c r="O45" s="316"/>
      <c r="P45" s="316"/>
      <c r="Q45" s="317"/>
    </row>
    <row r="46" spans="2:17">
      <c r="B46" s="319"/>
      <c r="C46" s="319"/>
      <c r="D46" s="319"/>
      <c r="E46" s="315"/>
      <c r="F46" s="316"/>
      <c r="G46" s="316"/>
      <c r="H46" s="316"/>
      <c r="I46" s="316"/>
      <c r="J46" s="316"/>
      <c r="K46" s="316"/>
      <c r="L46" s="316"/>
      <c r="M46" s="316"/>
      <c r="N46" s="316"/>
      <c r="O46" s="316"/>
      <c r="P46" s="316"/>
      <c r="Q46" s="317"/>
    </row>
    <row r="47" spans="2:17" ht="15" customHeight="1">
      <c r="B47" s="330" t="s">
        <v>19</v>
      </c>
      <c r="C47" s="330" t="s">
        <v>460</v>
      </c>
      <c r="D47" s="330" t="s">
        <v>499</v>
      </c>
      <c r="E47" s="315" t="s">
        <v>508</v>
      </c>
      <c r="F47" s="316"/>
      <c r="G47" s="316"/>
      <c r="H47" s="316"/>
      <c r="I47" s="316"/>
      <c r="J47" s="316"/>
      <c r="K47" s="316"/>
      <c r="L47" s="316"/>
      <c r="M47" s="316"/>
      <c r="N47" s="316"/>
      <c r="O47" s="316"/>
      <c r="P47" s="316"/>
      <c r="Q47" s="317"/>
    </row>
    <row r="48" spans="2:17">
      <c r="B48" s="331"/>
      <c r="C48" s="331"/>
      <c r="D48" s="331"/>
      <c r="E48" s="315"/>
      <c r="F48" s="316"/>
      <c r="G48" s="316"/>
      <c r="H48" s="316"/>
      <c r="I48" s="316"/>
      <c r="J48" s="316"/>
      <c r="K48" s="316"/>
      <c r="L48" s="316"/>
      <c r="M48" s="316"/>
      <c r="N48" s="316"/>
      <c r="O48" s="316"/>
      <c r="P48" s="316"/>
      <c r="Q48" s="317"/>
    </row>
    <row r="49" spans="2:17">
      <c r="B49" s="319"/>
      <c r="C49" s="319"/>
      <c r="D49" s="319"/>
      <c r="E49" s="315"/>
      <c r="F49" s="316"/>
      <c r="G49" s="316"/>
      <c r="H49" s="316"/>
      <c r="I49" s="316"/>
      <c r="J49" s="316"/>
      <c r="K49" s="316"/>
      <c r="L49" s="316"/>
      <c r="M49" s="316"/>
      <c r="N49" s="316"/>
      <c r="O49" s="316"/>
      <c r="P49" s="316"/>
      <c r="Q49" s="317"/>
    </row>
    <row r="50" spans="2:17">
      <c r="E50" s="46"/>
      <c r="F50" s="46"/>
      <c r="G50" s="46"/>
      <c r="H50" s="46"/>
      <c r="I50" s="46"/>
      <c r="J50" s="46"/>
      <c r="K50" s="46"/>
      <c r="L50" s="46"/>
      <c r="M50" s="46"/>
      <c r="N50" s="46"/>
      <c r="O50" s="46"/>
      <c r="P50" s="46"/>
      <c r="Q50" s="46"/>
    </row>
    <row r="51" spans="2:17" ht="15" customHeight="1">
      <c r="B51" s="330" t="s">
        <v>5</v>
      </c>
      <c r="C51" s="330" t="s">
        <v>500</v>
      </c>
      <c r="D51" s="330" t="s">
        <v>461</v>
      </c>
      <c r="E51" s="315" t="s">
        <v>509</v>
      </c>
      <c r="F51" s="316"/>
      <c r="G51" s="316"/>
      <c r="H51" s="316"/>
      <c r="I51" s="316"/>
      <c r="J51" s="316"/>
      <c r="K51" s="316"/>
      <c r="L51" s="316"/>
      <c r="M51" s="316"/>
      <c r="N51" s="316"/>
      <c r="O51" s="316"/>
      <c r="P51" s="316"/>
      <c r="Q51" s="317"/>
    </row>
    <row r="52" spans="2:17">
      <c r="B52" s="331"/>
      <c r="C52" s="331"/>
      <c r="D52" s="331"/>
      <c r="E52" s="315"/>
      <c r="F52" s="316"/>
      <c r="G52" s="316"/>
      <c r="H52" s="316"/>
      <c r="I52" s="316"/>
      <c r="J52" s="316"/>
      <c r="K52" s="316"/>
      <c r="L52" s="316"/>
      <c r="M52" s="316"/>
      <c r="N52" s="316"/>
      <c r="O52" s="316"/>
      <c r="P52" s="316"/>
      <c r="Q52" s="317"/>
    </row>
    <row r="53" spans="2:17">
      <c r="B53" s="319"/>
      <c r="C53" s="319"/>
      <c r="D53" s="319"/>
      <c r="E53" s="315"/>
      <c r="F53" s="316"/>
      <c r="G53" s="316"/>
      <c r="H53" s="316"/>
      <c r="I53" s="316"/>
      <c r="J53" s="316"/>
      <c r="K53" s="316"/>
      <c r="L53" s="316"/>
      <c r="M53" s="316"/>
      <c r="N53" s="316"/>
      <c r="O53" s="316"/>
      <c r="P53" s="316"/>
      <c r="Q53" s="317"/>
    </row>
    <row r="54" spans="2:17" ht="15" customHeight="1">
      <c r="B54" s="330" t="s">
        <v>6</v>
      </c>
      <c r="C54" s="330" t="s">
        <v>500</v>
      </c>
      <c r="D54" s="330" t="s">
        <v>501</v>
      </c>
      <c r="E54" s="315" t="s">
        <v>510</v>
      </c>
      <c r="F54" s="316"/>
      <c r="G54" s="316"/>
      <c r="H54" s="316"/>
      <c r="I54" s="316"/>
      <c r="J54" s="316"/>
      <c r="K54" s="316"/>
      <c r="L54" s="316"/>
      <c r="M54" s="316"/>
      <c r="N54" s="316"/>
      <c r="O54" s="316"/>
      <c r="P54" s="316"/>
      <c r="Q54" s="317"/>
    </row>
    <row r="55" spans="2:17">
      <c r="B55" s="331"/>
      <c r="C55" s="331"/>
      <c r="D55" s="331"/>
      <c r="E55" s="315"/>
      <c r="F55" s="316"/>
      <c r="G55" s="316"/>
      <c r="H55" s="316"/>
      <c r="I55" s="316"/>
      <c r="J55" s="316"/>
      <c r="K55" s="316"/>
      <c r="L55" s="316"/>
      <c r="M55" s="316"/>
      <c r="N55" s="316"/>
      <c r="O55" s="316"/>
      <c r="P55" s="316"/>
      <c r="Q55" s="317"/>
    </row>
    <row r="56" spans="2:17">
      <c r="B56" s="319"/>
      <c r="C56" s="319"/>
      <c r="D56" s="319"/>
      <c r="E56" s="315"/>
      <c r="F56" s="316"/>
      <c r="G56" s="316"/>
      <c r="H56" s="316"/>
      <c r="I56" s="316"/>
      <c r="J56" s="316"/>
      <c r="K56" s="316"/>
      <c r="L56" s="316"/>
      <c r="M56" s="316"/>
      <c r="N56" s="316"/>
      <c r="O56" s="316"/>
      <c r="P56" s="316"/>
      <c r="Q56" s="317"/>
    </row>
    <row r="57" spans="2:17" ht="15" customHeight="1">
      <c r="B57" s="330" t="s">
        <v>7</v>
      </c>
      <c r="C57" s="330" t="s">
        <v>500</v>
      </c>
      <c r="D57" s="330" t="s">
        <v>502</v>
      </c>
      <c r="E57" s="315" t="s">
        <v>511</v>
      </c>
      <c r="F57" s="316"/>
      <c r="G57" s="316"/>
      <c r="H57" s="316"/>
      <c r="I57" s="316"/>
      <c r="J57" s="316"/>
      <c r="K57" s="316"/>
      <c r="L57" s="316"/>
      <c r="M57" s="316"/>
      <c r="N57" s="316"/>
      <c r="O57" s="316"/>
      <c r="P57" s="316"/>
      <c r="Q57" s="317"/>
    </row>
    <row r="58" spans="2:17">
      <c r="B58" s="331"/>
      <c r="C58" s="331"/>
      <c r="D58" s="331"/>
      <c r="E58" s="315"/>
      <c r="F58" s="316"/>
      <c r="G58" s="316"/>
      <c r="H58" s="316"/>
      <c r="I58" s="316"/>
      <c r="J58" s="316"/>
      <c r="K58" s="316"/>
      <c r="L58" s="316"/>
      <c r="M58" s="316"/>
      <c r="N58" s="316"/>
      <c r="O58" s="316"/>
      <c r="P58" s="316"/>
      <c r="Q58" s="317"/>
    </row>
    <row r="59" spans="2:17">
      <c r="B59" s="319"/>
      <c r="C59" s="319"/>
      <c r="D59" s="319"/>
      <c r="E59" s="315"/>
      <c r="F59" s="316"/>
      <c r="G59" s="316"/>
      <c r="H59" s="316"/>
      <c r="I59" s="316"/>
      <c r="J59" s="316"/>
      <c r="K59" s="316"/>
      <c r="L59" s="316"/>
      <c r="M59" s="316"/>
      <c r="N59" s="316"/>
      <c r="O59" s="316"/>
      <c r="P59" s="316"/>
      <c r="Q59" s="317"/>
    </row>
    <row r="60" spans="2:17" ht="15" customHeight="1">
      <c r="B60" s="330" t="s">
        <v>8</v>
      </c>
      <c r="C60" s="330" t="s">
        <v>500</v>
      </c>
      <c r="D60" s="330" t="s">
        <v>503</v>
      </c>
      <c r="E60" s="315" t="s">
        <v>512</v>
      </c>
      <c r="F60" s="316"/>
      <c r="G60" s="316"/>
      <c r="H60" s="316"/>
      <c r="I60" s="316"/>
      <c r="J60" s="316"/>
      <c r="K60" s="316"/>
      <c r="L60" s="316"/>
      <c r="M60" s="316"/>
      <c r="N60" s="316"/>
      <c r="O60" s="316"/>
      <c r="P60" s="316"/>
      <c r="Q60" s="317"/>
    </row>
    <row r="61" spans="2:17">
      <c r="B61" s="331"/>
      <c r="C61" s="331"/>
      <c r="D61" s="331"/>
      <c r="E61" s="315"/>
      <c r="F61" s="316"/>
      <c r="G61" s="316"/>
      <c r="H61" s="316"/>
      <c r="I61" s="316"/>
      <c r="J61" s="316"/>
      <c r="K61" s="316"/>
      <c r="L61" s="316"/>
      <c r="M61" s="316"/>
      <c r="N61" s="316"/>
      <c r="O61" s="316"/>
      <c r="P61" s="316"/>
      <c r="Q61" s="317"/>
    </row>
    <row r="62" spans="2:17">
      <c r="B62" s="319"/>
      <c r="C62" s="319"/>
      <c r="D62" s="319"/>
      <c r="E62" s="315"/>
      <c r="F62" s="316"/>
      <c r="G62" s="316"/>
      <c r="H62" s="316"/>
      <c r="I62" s="316"/>
      <c r="J62" s="316"/>
      <c r="K62" s="316"/>
      <c r="L62" s="316"/>
      <c r="M62" s="316"/>
      <c r="N62" s="316"/>
      <c r="O62" s="316"/>
      <c r="P62" s="316"/>
      <c r="Q62" s="317"/>
    </row>
    <row r="63" spans="2:17" ht="15" customHeight="1">
      <c r="B63" s="330" t="s">
        <v>11</v>
      </c>
      <c r="C63" s="330" t="s">
        <v>500</v>
      </c>
      <c r="D63" s="330" t="s">
        <v>504</v>
      </c>
      <c r="E63" s="315" t="s">
        <v>512</v>
      </c>
      <c r="F63" s="316"/>
      <c r="G63" s="316"/>
      <c r="H63" s="316"/>
      <c r="I63" s="316"/>
      <c r="J63" s="316"/>
      <c r="K63" s="316"/>
      <c r="L63" s="316"/>
      <c r="M63" s="316"/>
      <c r="N63" s="316"/>
      <c r="O63" s="316"/>
      <c r="P63" s="316"/>
      <c r="Q63" s="317"/>
    </row>
    <row r="64" spans="2:17">
      <c r="B64" s="331"/>
      <c r="C64" s="331"/>
      <c r="D64" s="331"/>
      <c r="E64" s="315"/>
      <c r="F64" s="316"/>
      <c r="G64" s="316"/>
      <c r="H64" s="316"/>
      <c r="I64" s="316"/>
      <c r="J64" s="316"/>
      <c r="K64" s="316"/>
      <c r="L64" s="316"/>
      <c r="M64" s="316"/>
      <c r="N64" s="316"/>
      <c r="O64" s="316"/>
      <c r="P64" s="316"/>
      <c r="Q64" s="317"/>
    </row>
    <row r="65" spans="2:17">
      <c r="B65" s="319"/>
      <c r="C65" s="319"/>
      <c r="D65" s="319"/>
      <c r="E65" s="315"/>
      <c r="F65" s="316"/>
      <c r="G65" s="316"/>
      <c r="H65" s="316"/>
      <c r="I65" s="316"/>
      <c r="J65" s="316"/>
      <c r="K65" s="316"/>
      <c r="L65" s="316"/>
      <c r="M65" s="316"/>
      <c r="N65" s="316"/>
      <c r="O65" s="316"/>
      <c r="P65" s="316"/>
      <c r="Q65" s="317"/>
    </row>
    <row r="66" spans="2:17" ht="15" customHeight="1">
      <c r="B66" s="330" t="s">
        <v>159</v>
      </c>
      <c r="C66" s="330" t="s">
        <v>500</v>
      </c>
      <c r="D66" s="330" t="s">
        <v>505</v>
      </c>
      <c r="E66" s="315" t="s">
        <v>513</v>
      </c>
      <c r="F66" s="316"/>
      <c r="G66" s="316"/>
      <c r="H66" s="316"/>
      <c r="I66" s="316"/>
      <c r="J66" s="316"/>
      <c r="K66" s="316"/>
      <c r="L66" s="316"/>
      <c r="M66" s="316"/>
      <c r="N66" s="316"/>
      <c r="O66" s="316"/>
      <c r="P66" s="316"/>
      <c r="Q66" s="317"/>
    </row>
    <row r="67" spans="2:17">
      <c r="B67" s="331"/>
      <c r="C67" s="331"/>
      <c r="D67" s="331"/>
      <c r="E67" s="315"/>
      <c r="F67" s="316"/>
      <c r="G67" s="316"/>
      <c r="H67" s="316"/>
      <c r="I67" s="316"/>
      <c r="J67" s="316"/>
      <c r="K67" s="316"/>
      <c r="L67" s="316"/>
      <c r="M67" s="316"/>
      <c r="N67" s="316"/>
      <c r="O67" s="316"/>
      <c r="P67" s="316"/>
      <c r="Q67" s="317"/>
    </row>
    <row r="68" spans="2:17">
      <c r="B68" s="319"/>
      <c r="C68" s="319"/>
      <c r="D68" s="319"/>
      <c r="E68" s="315"/>
      <c r="F68" s="316"/>
      <c r="G68" s="316"/>
      <c r="H68" s="316"/>
      <c r="I68" s="316"/>
      <c r="J68" s="316"/>
      <c r="K68" s="316"/>
      <c r="L68" s="316"/>
      <c r="M68" s="316"/>
      <c r="N68" s="316"/>
      <c r="O68" s="316"/>
      <c r="P68" s="316"/>
      <c r="Q68" s="317"/>
    </row>
    <row r="69" spans="2:17">
      <c r="E69" s="46"/>
      <c r="F69" s="46"/>
      <c r="G69" s="46"/>
      <c r="H69" s="46"/>
      <c r="I69" s="46"/>
      <c r="J69" s="46"/>
      <c r="K69" s="46"/>
      <c r="L69" s="46"/>
      <c r="M69" s="46"/>
      <c r="N69" s="46"/>
      <c r="O69" s="46"/>
      <c r="P69" s="46"/>
      <c r="Q69" s="46"/>
    </row>
    <row r="70" spans="2:17" ht="15" customHeight="1">
      <c r="B70" s="330" t="s">
        <v>507</v>
      </c>
      <c r="C70" s="330" t="s">
        <v>481</v>
      </c>
      <c r="D70" s="330" t="s">
        <v>506</v>
      </c>
      <c r="E70" s="315" t="s">
        <v>514</v>
      </c>
      <c r="F70" s="316"/>
      <c r="G70" s="316"/>
      <c r="H70" s="316"/>
      <c r="I70" s="316"/>
      <c r="J70" s="316"/>
      <c r="K70" s="316"/>
      <c r="L70" s="316"/>
      <c r="M70" s="316"/>
      <c r="N70" s="316"/>
      <c r="O70" s="316"/>
      <c r="P70" s="316"/>
      <c r="Q70" s="317"/>
    </row>
    <row r="71" spans="2:17">
      <c r="B71" s="331"/>
      <c r="C71" s="331"/>
      <c r="D71" s="331"/>
      <c r="E71" s="315"/>
      <c r="F71" s="316"/>
      <c r="G71" s="316"/>
      <c r="H71" s="316"/>
      <c r="I71" s="316"/>
      <c r="J71" s="316"/>
      <c r="K71" s="316"/>
      <c r="L71" s="316"/>
      <c r="M71" s="316"/>
      <c r="N71" s="316"/>
      <c r="O71" s="316"/>
      <c r="P71" s="316"/>
      <c r="Q71" s="317"/>
    </row>
    <row r="72" spans="2:17">
      <c r="B72" s="319"/>
      <c r="C72" s="319"/>
      <c r="D72" s="319"/>
      <c r="E72" s="315"/>
      <c r="F72" s="316"/>
      <c r="G72" s="316"/>
      <c r="H72" s="316"/>
      <c r="I72" s="316"/>
      <c r="J72" s="316"/>
      <c r="K72" s="316"/>
      <c r="L72" s="316"/>
      <c r="M72" s="316"/>
      <c r="N72" s="316"/>
      <c r="O72" s="316"/>
      <c r="P72" s="316"/>
      <c r="Q72" s="317"/>
    </row>
    <row r="75" spans="2:17">
      <c r="B75" s="221"/>
      <c r="C75" s="221"/>
      <c r="D75" s="221"/>
      <c r="E75" s="221"/>
      <c r="F75" s="221"/>
      <c r="G75" s="221"/>
      <c r="H75" s="221"/>
      <c r="I75" s="221"/>
      <c r="J75" s="221"/>
      <c r="K75" s="221"/>
      <c r="L75" s="221"/>
      <c r="M75" s="221"/>
      <c r="N75" s="221"/>
      <c r="O75" s="221"/>
      <c r="P75" s="221"/>
      <c r="Q75" s="221"/>
    </row>
  </sheetData>
  <mergeCells count="63">
    <mergeCell ref="B70:B72"/>
    <mergeCell ref="C70:C72"/>
    <mergeCell ref="D70:D72"/>
    <mergeCell ref="E70:Q72"/>
    <mergeCell ref="E31:Q31"/>
    <mergeCell ref="B66:B68"/>
    <mergeCell ref="C66:C68"/>
    <mergeCell ref="D66:D68"/>
    <mergeCell ref="E51:Q53"/>
    <mergeCell ref="E54:Q56"/>
    <mergeCell ref="E57:Q59"/>
    <mergeCell ref="E60:Q62"/>
    <mergeCell ref="E63:Q65"/>
    <mergeCell ref="E66:Q68"/>
    <mergeCell ref="B60:B62"/>
    <mergeCell ref="B63:B65"/>
    <mergeCell ref="B51:B53"/>
    <mergeCell ref="C51:C53"/>
    <mergeCell ref="D51:D53"/>
    <mergeCell ref="C60:C62"/>
    <mergeCell ref="C63:C65"/>
    <mergeCell ref="D60:D62"/>
    <mergeCell ref="D63:D65"/>
    <mergeCell ref="B54:B56"/>
    <mergeCell ref="C54:C56"/>
    <mergeCell ref="D54:D56"/>
    <mergeCell ref="D57:D59"/>
    <mergeCell ref="C57:C59"/>
    <mergeCell ref="B57:B59"/>
    <mergeCell ref="E47:Q49"/>
    <mergeCell ref="B44:B46"/>
    <mergeCell ref="C44:C46"/>
    <mergeCell ref="D44:D46"/>
    <mergeCell ref="E38:Q40"/>
    <mergeCell ref="E41:Q43"/>
    <mergeCell ref="E44:Q46"/>
    <mergeCell ref="B38:B40"/>
    <mergeCell ref="C38:C40"/>
    <mergeCell ref="D38:D40"/>
    <mergeCell ref="B41:B43"/>
    <mergeCell ref="C41:C43"/>
    <mergeCell ref="D41:D43"/>
    <mergeCell ref="B47:B49"/>
    <mergeCell ref="C47:C49"/>
    <mergeCell ref="D47:D49"/>
    <mergeCell ref="B13:C13"/>
    <mergeCell ref="B10:C10"/>
    <mergeCell ref="G16:I28"/>
    <mergeCell ref="G10:H10"/>
    <mergeCell ref="G11:H11"/>
    <mergeCell ref="G12:H12"/>
    <mergeCell ref="G13:H13"/>
    <mergeCell ref="G14:H14"/>
    <mergeCell ref="G15:H15"/>
    <mergeCell ref="F16:F28"/>
    <mergeCell ref="E32:Q34"/>
    <mergeCell ref="E35:Q37"/>
    <mergeCell ref="C35:C37"/>
    <mergeCell ref="B35:B37"/>
    <mergeCell ref="D35:D37"/>
    <mergeCell ref="C32:C34"/>
    <mergeCell ref="B32:B34"/>
    <mergeCell ref="D32:D34"/>
  </mergeCells>
  <dataValidations count="1">
    <dataValidation type="list" allowBlank="1" showInputMessage="1" showErrorMessage="1" sqref="B11">
      <formula1>"Best Case, Base Case, Worst Case"</formula1>
    </dataValidation>
  </dataValidations>
  <hyperlinks>
    <hyperlink ref="G15"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9"/>
  <sheetViews>
    <sheetView showGridLines="0" workbookViewId="0">
      <selection activeCell="K7" sqref="K7"/>
    </sheetView>
  </sheetViews>
  <sheetFormatPr defaultRowHeight="15"/>
  <cols>
    <col min="1" max="1" width="1.85546875" customWidth="1"/>
    <col min="2" max="2" width="85.7109375" bestFit="1" customWidth="1"/>
  </cols>
  <sheetData>
    <row r="1" spans="1:8">
      <c r="B1" s="129"/>
      <c r="C1" s="129"/>
      <c r="D1" s="129"/>
      <c r="E1" s="129"/>
      <c r="F1" s="129"/>
      <c r="G1" s="129"/>
      <c r="H1" s="129"/>
    </row>
    <row r="8" spans="1:8" ht="13.5" customHeight="1"/>
    <row r="9" spans="1:8">
      <c r="B9" s="28" t="s">
        <v>146</v>
      </c>
    </row>
    <row r="10" spans="1:8">
      <c r="A10" t="s">
        <v>21</v>
      </c>
      <c r="B10" s="11" t="s">
        <v>13</v>
      </c>
      <c r="C10" s="11"/>
      <c r="D10" s="11">
        <v>2021</v>
      </c>
      <c r="E10" s="11">
        <f>D10+1</f>
        <v>2022</v>
      </c>
      <c r="F10" s="11">
        <f t="shared" ref="F10:H10" si="0">E10+1</f>
        <v>2023</v>
      </c>
      <c r="G10" s="11">
        <f t="shared" si="0"/>
        <v>2024</v>
      </c>
      <c r="H10" s="11">
        <f t="shared" si="0"/>
        <v>2025</v>
      </c>
    </row>
    <row r="11" spans="1:8">
      <c r="B11" s="1" t="s">
        <v>1</v>
      </c>
    </row>
    <row r="12" spans="1:8">
      <c r="B12" t="s">
        <v>0</v>
      </c>
      <c r="D12" s="224">
        <v>7555.78</v>
      </c>
      <c r="E12" s="224">
        <v>7934.45</v>
      </c>
      <c r="F12" s="224">
        <v>9498.77</v>
      </c>
      <c r="G12" s="224">
        <v>12481.21</v>
      </c>
      <c r="H12" s="224">
        <v>15412.79</v>
      </c>
    </row>
    <row r="13" spans="1:8">
      <c r="B13" t="s">
        <v>2</v>
      </c>
      <c r="D13" s="224">
        <v>188.86</v>
      </c>
      <c r="E13" s="224">
        <v>189.19</v>
      </c>
      <c r="F13" s="224">
        <v>168.45</v>
      </c>
      <c r="G13" s="224">
        <v>253.26</v>
      </c>
      <c r="H13" s="224">
        <v>324.45999999999998</v>
      </c>
    </row>
    <row r="14" spans="1:8">
      <c r="B14" s="4" t="s">
        <v>3</v>
      </c>
      <c r="C14" s="5"/>
      <c r="D14" s="177">
        <f>SUM(D12:D13)</f>
        <v>7744.6399999999994</v>
      </c>
      <c r="E14" s="177">
        <f t="shared" ref="E14:H14" si="1">SUM(E12:E13)</f>
        <v>8123.6399999999994</v>
      </c>
      <c r="F14" s="177">
        <f t="shared" si="1"/>
        <v>9667.2200000000012</v>
      </c>
      <c r="G14" s="177">
        <f t="shared" si="1"/>
        <v>12734.47</v>
      </c>
      <c r="H14" s="177">
        <f t="shared" si="1"/>
        <v>15737.25</v>
      </c>
    </row>
    <row r="15" spans="1:8">
      <c r="B15" s="1" t="s">
        <v>4</v>
      </c>
      <c r="D15" s="176"/>
      <c r="E15" s="176"/>
      <c r="F15" s="176"/>
      <c r="G15" s="176"/>
      <c r="H15" s="176"/>
    </row>
    <row r="16" spans="1:8">
      <c r="B16" t="s">
        <v>5</v>
      </c>
      <c r="D16" s="224">
        <v>3436.9</v>
      </c>
      <c r="E16" s="224">
        <v>4032.16</v>
      </c>
      <c r="F16" s="224">
        <v>4808.34</v>
      </c>
      <c r="G16" s="224">
        <v>6777.86</v>
      </c>
      <c r="H16" s="224">
        <v>8125.96</v>
      </c>
    </row>
    <row r="17" spans="2:11">
      <c r="B17" t="s">
        <v>6</v>
      </c>
      <c r="D17" s="224">
        <v>1862.26</v>
      </c>
      <c r="E17" s="224">
        <v>2042.75</v>
      </c>
      <c r="F17" s="224">
        <v>2296.2800000000002</v>
      </c>
      <c r="G17" s="224">
        <v>3427.33</v>
      </c>
      <c r="H17" s="224">
        <v>4016.97</v>
      </c>
    </row>
    <row r="18" spans="2:11">
      <c r="B18" t="s">
        <v>7</v>
      </c>
      <c r="D18" s="224">
        <v>279.3</v>
      </c>
      <c r="E18" s="224">
        <v>-178.25</v>
      </c>
      <c r="F18" s="224">
        <v>273.56</v>
      </c>
      <c r="G18" s="224">
        <v>-391.15</v>
      </c>
      <c r="H18" s="224">
        <v>-182.54</v>
      </c>
    </row>
    <row r="19" spans="2:11">
      <c r="B19" t="s">
        <v>8</v>
      </c>
      <c r="D19" s="224">
        <v>601.67999999999995</v>
      </c>
      <c r="E19" s="224">
        <v>617.62</v>
      </c>
      <c r="F19" s="224">
        <v>667.21</v>
      </c>
      <c r="G19" s="224">
        <v>778.76</v>
      </c>
      <c r="H19" s="224">
        <v>890.07</v>
      </c>
    </row>
    <row r="20" spans="2:11">
      <c r="B20" t="s">
        <v>9</v>
      </c>
      <c r="D20" s="224">
        <v>26.15</v>
      </c>
      <c r="E20" s="224">
        <v>25.87</v>
      </c>
      <c r="F20" s="224">
        <v>29.59</v>
      </c>
      <c r="G20" s="224">
        <v>55.88</v>
      </c>
      <c r="H20" s="224">
        <v>62.11</v>
      </c>
    </row>
    <row r="21" spans="2:11">
      <c r="B21" t="s">
        <v>10</v>
      </c>
      <c r="D21" s="224">
        <v>33.89</v>
      </c>
      <c r="E21" s="224">
        <v>37.26</v>
      </c>
      <c r="F21" s="224">
        <v>39.619999999999997</v>
      </c>
      <c r="G21" s="224">
        <v>47.59</v>
      </c>
      <c r="H21" s="224">
        <v>61.78</v>
      </c>
    </row>
    <row r="22" spans="2:11">
      <c r="B22" t="s">
        <v>11</v>
      </c>
      <c r="D22" s="224">
        <v>734.28</v>
      </c>
      <c r="E22" s="224">
        <v>738.62</v>
      </c>
      <c r="F22" s="224">
        <v>881.01</v>
      </c>
      <c r="G22" s="224">
        <v>1413.79</v>
      </c>
      <c r="H22" s="224">
        <v>1446.15</v>
      </c>
    </row>
    <row r="23" spans="2:11">
      <c r="B23" s="4" t="s">
        <v>12</v>
      </c>
      <c r="C23" s="5"/>
      <c r="D23" s="177">
        <f>SUM(D16:D22)</f>
        <v>6974.46</v>
      </c>
      <c r="E23" s="177">
        <f t="shared" ref="E23:H23" si="2">SUM(E16:E22)</f>
        <v>7316.03</v>
      </c>
      <c r="F23" s="177">
        <f t="shared" si="2"/>
        <v>8995.61</v>
      </c>
      <c r="G23" s="177">
        <f t="shared" si="2"/>
        <v>12110.059999999998</v>
      </c>
      <c r="H23" s="177">
        <f t="shared" si="2"/>
        <v>14420.5</v>
      </c>
    </row>
    <row r="24" spans="2:11">
      <c r="B24" s="6"/>
      <c r="C24" s="7"/>
      <c r="D24" s="225"/>
      <c r="E24" s="225"/>
      <c r="F24" s="225"/>
      <c r="G24" s="225"/>
      <c r="H24" s="225"/>
    </row>
    <row r="25" spans="2:11">
      <c r="B25" s="4" t="s">
        <v>20</v>
      </c>
      <c r="C25" s="5"/>
      <c r="D25" s="177">
        <f>D14-D23</f>
        <v>770.17999999999938</v>
      </c>
      <c r="E25" s="177">
        <f t="shared" ref="E25:H25" si="3">E14-E23</f>
        <v>807.60999999999967</v>
      </c>
      <c r="F25" s="177">
        <f t="shared" si="3"/>
        <v>671.61000000000058</v>
      </c>
      <c r="G25" s="177">
        <f t="shared" si="3"/>
        <v>624.41000000000167</v>
      </c>
      <c r="H25" s="177">
        <f t="shared" si="3"/>
        <v>1316.75</v>
      </c>
    </row>
    <row r="26" spans="2:11">
      <c r="B26" t="s">
        <v>19</v>
      </c>
      <c r="D26" s="224">
        <v>-60.97</v>
      </c>
      <c r="E26" s="224">
        <v>-110.31</v>
      </c>
      <c r="F26" s="224">
        <v>-120.65</v>
      </c>
      <c r="G26" s="224">
        <v>-138.61000000000001</v>
      </c>
      <c r="H26" s="224">
        <v>-126</v>
      </c>
    </row>
    <row r="27" spans="2:11">
      <c r="B27" s="4" t="s">
        <v>15</v>
      </c>
      <c r="C27" s="5"/>
      <c r="D27" s="177">
        <f>SUM(D25:D26)</f>
        <v>709.20999999999935</v>
      </c>
      <c r="E27" s="177">
        <f t="shared" ref="E27:H27" si="4">SUM(E25:E26)</f>
        <v>697.29999999999973</v>
      </c>
      <c r="F27" s="177">
        <f t="shared" si="4"/>
        <v>550.9600000000006</v>
      </c>
      <c r="G27" s="177">
        <f t="shared" si="4"/>
        <v>485.80000000000166</v>
      </c>
      <c r="H27" s="177">
        <f t="shared" si="4"/>
        <v>1190.75</v>
      </c>
    </row>
    <row r="28" spans="2:11">
      <c r="B28" t="s">
        <v>14</v>
      </c>
      <c r="D28" s="224">
        <v>0</v>
      </c>
      <c r="E28" s="224">
        <v>0</v>
      </c>
      <c r="F28" s="224">
        <v>-243.82</v>
      </c>
      <c r="G28" s="224">
        <v>0</v>
      </c>
      <c r="H28" s="224">
        <v>0</v>
      </c>
    </row>
    <row r="29" spans="2:11">
      <c r="B29" s="4" t="s">
        <v>16</v>
      </c>
      <c r="C29" s="5"/>
      <c r="D29" s="177">
        <f>SUM(D27:D28)</f>
        <v>709.20999999999935</v>
      </c>
      <c r="E29" s="177">
        <f t="shared" ref="E29:H29" si="5">SUM(E27:E28)</f>
        <v>697.29999999999973</v>
      </c>
      <c r="F29" s="177">
        <f t="shared" si="5"/>
        <v>307.14000000000061</v>
      </c>
      <c r="G29" s="177">
        <f t="shared" si="5"/>
        <v>485.80000000000166</v>
      </c>
      <c r="H29" s="177">
        <f t="shared" si="5"/>
        <v>1190.75</v>
      </c>
    </row>
    <row r="30" spans="2:11">
      <c r="B30" t="s">
        <v>17</v>
      </c>
      <c r="D30" s="224">
        <v>-180.42</v>
      </c>
      <c r="E30" s="224">
        <v>-191.3</v>
      </c>
      <c r="F30" s="224">
        <v>-170.92</v>
      </c>
      <c r="G30" s="224">
        <v>-237.69</v>
      </c>
      <c r="H30" s="224">
        <v>-356.47</v>
      </c>
      <c r="K30" s="36"/>
    </row>
    <row r="31" spans="2:11" ht="15.75" thickBot="1">
      <c r="B31" s="8" t="s">
        <v>18</v>
      </c>
      <c r="C31" s="9"/>
      <c r="D31" s="178">
        <f>SUM(D29:D30)</f>
        <v>528.7899999999994</v>
      </c>
      <c r="E31" s="178">
        <f t="shared" ref="E31:H31" si="6">SUM(E29:E30)</f>
        <v>505.99999999999972</v>
      </c>
      <c r="F31" s="178">
        <f t="shared" si="6"/>
        <v>136.22000000000062</v>
      </c>
      <c r="G31" s="178">
        <f t="shared" si="6"/>
        <v>248.11000000000166</v>
      </c>
      <c r="H31" s="178">
        <f t="shared" si="6"/>
        <v>834.28</v>
      </c>
    </row>
    <row r="35" spans="1:8">
      <c r="A35" t="s">
        <v>21</v>
      </c>
      <c r="B35" s="21" t="s">
        <v>131</v>
      </c>
      <c r="C35" s="22"/>
      <c r="D35" s="11">
        <v>2021</v>
      </c>
      <c r="E35" s="11">
        <f>D35+1</f>
        <v>2022</v>
      </c>
      <c r="F35" s="11">
        <f t="shared" ref="F35:H35" si="7">E35+1</f>
        <v>2023</v>
      </c>
      <c r="G35" s="11">
        <f t="shared" si="7"/>
        <v>2024</v>
      </c>
      <c r="H35" s="11">
        <f t="shared" si="7"/>
        <v>2025</v>
      </c>
    </row>
    <row r="36" spans="1:8" s="23" customFormat="1" ht="3" customHeight="1">
      <c r="B36" s="24"/>
      <c r="C36" s="25"/>
      <c r="D36" s="26"/>
      <c r="E36" s="26"/>
      <c r="F36" s="26"/>
      <c r="G36" s="26"/>
      <c r="H36" s="26"/>
    </row>
    <row r="37" spans="1:8">
      <c r="B37" t="s">
        <v>132</v>
      </c>
      <c r="D37" s="224">
        <v>3555.04</v>
      </c>
      <c r="E37" s="224">
        <v>4881.92</v>
      </c>
      <c r="F37" s="224">
        <v>6474.5</v>
      </c>
      <c r="G37" s="224">
        <v>8160.48</v>
      </c>
      <c r="H37" s="224">
        <v>10613.92</v>
      </c>
    </row>
    <row r="38" spans="1:8">
      <c r="B38" t="s">
        <v>133</v>
      </c>
      <c r="D38" s="224">
        <v>3566.38</v>
      </c>
      <c r="E38" s="224">
        <v>2470.4899999999998</v>
      </c>
      <c r="F38" s="224">
        <v>2402.91</v>
      </c>
      <c r="G38" s="224">
        <v>3683.03</v>
      </c>
      <c r="H38" s="224">
        <v>4156.79</v>
      </c>
    </row>
    <row r="39" spans="1:8">
      <c r="B39" t="s">
        <v>134</v>
      </c>
      <c r="D39" s="224">
        <v>359.49</v>
      </c>
      <c r="E39" s="224">
        <v>488.66</v>
      </c>
      <c r="F39" s="224">
        <v>521.96</v>
      </c>
      <c r="G39" s="224">
        <v>587.91</v>
      </c>
      <c r="H39" s="224">
        <v>569.24</v>
      </c>
    </row>
    <row r="40" spans="1:8">
      <c r="B40" s="4" t="s">
        <v>135</v>
      </c>
      <c r="C40" s="4"/>
      <c r="D40" s="177">
        <f t="shared" ref="D40:G40" si="8">SUM(D37:D39)</f>
        <v>7480.91</v>
      </c>
      <c r="E40" s="177">
        <f t="shared" si="8"/>
        <v>7841.07</v>
      </c>
      <c r="F40" s="177">
        <f t="shared" si="8"/>
        <v>9399.369999999999</v>
      </c>
      <c r="G40" s="177">
        <f t="shared" si="8"/>
        <v>12431.42</v>
      </c>
      <c r="H40" s="177">
        <f>SUM(H37:H39)</f>
        <v>15339.949999999999</v>
      </c>
    </row>
    <row r="41" spans="1:8">
      <c r="B41" t="s">
        <v>136</v>
      </c>
      <c r="D41" s="224">
        <v>24.36</v>
      </c>
      <c r="E41" s="224">
        <v>0</v>
      </c>
      <c r="F41" s="224">
        <v>0</v>
      </c>
      <c r="G41" s="224">
        <v>24.06</v>
      </c>
      <c r="H41" s="224">
        <v>19.5</v>
      </c>
    </row>
    <row r="42" spans="1:8" s="1" customFormat="1">
      <c r="A42"/>
      <c r="B42" s="4" t="s">
        <v>137</v>
      </c>
      <c r="C42" s="4"/>
      <c r="D42" s="177">
        <f t="shared" ref="D42" si="9">D40-D41</f>
        <v>7456.55</v>
      </c>
      <c r="E42" s="177">
        <f t="shared" ref="E42" si="10">E40-E41</f>
        <v>7841.07</v>
      </c>
      <c r="F42" s="177">
        <f t="shared" ref="F42" si="11">F40-F41</f>
        <v>9399.369999999999</v>
      </c>
      <c r="G42" s="177">
        <f t="shared" ref="G42" si="12">G40-G41</f>
        <v>12407.36</v>
      </c>
      <c r="H42" s="177">
        <f t="shared" ref="H42" si="13">H40-H41</f>
        <v>15320.449999999999</v>
      </c>
    </row>
    <row r="43" spans="1:8">
      <c r="B43" t="s">
        <v>138</v>
      </c>
      <c r="D43" s="224">
        <v>99.23</v>
      </c>
      <c r="E43" s="224">
        <v>93.38</v>
      </c>
      <c r="F43" s="224">
        <v>99.4</v>
      </c>
      <c r="G43" s="224">
        <v>73.849999999999994</v>
      </c>
      <c r="H43" s="224">
        <v>92.34</v>
      </c>
    </row>
    <row r="44" spans="1:8" s="1" customFormat="1" ht="15.75" thickBot="1">
      <c r="A44"/>
      <c r="B44" s="8" t="s">
        <v>0</v>
      </c>
      <c r="C44" s="8"/>
      <c r="D44" s="178">
        <f t="shared" ref="D44:G44" si="14">SUM(D42:D43)</f>
        <v>7555.78</v>
      </c>
      <c r="E44" s="178">
        <f t="shared" si="14"/>
        <v>7934.45</v>
      </c>
      <c r="F44" s="178">
        <f>SUM(F42:F43)</f>
        <v>9498.7699999999986</v>
      </c>
      <c r="G44" s="178">
        <f t="shared" si="14"/>
        <v>12481.210000000001</v>
      </c>
      <c r="H44" s="178">
        <f>SUM(H42:H43)</f>
        <v>15412.789999999999</v>
      </c>
    </row>
    <row r="47" spans="1:8">
      <c r="A47" t="s">
        <v>21</v>
      </c>
      <c r="B47" s="27" t="s">
        <v>139</v>
      </c>
      <c r="C47" s="27"/>
      <c r="D47" s="11">
        <v>2021</v>
      </c>
      <c r="E47" s="11">
        <f>D47+1</f>
        <v>2022</v>
      </c>
      <c r="F47" s="11">
        <f t="shared" ref="F47:H47" si="15">E47+1</f>
        <v>2023</v>
      </c>
      <c r="G47" s="11">
        <f t="shared" si="15"/>
        <v>2024</v>
      </c>
      <c r="H47" s="11">
        <f t="shared" si="15"/>
        <v>2025</v>
      </c>
    </row>
    <row r="48" spans="1:8" ht="5.25" customHeight="1"/>
    <row r="49" spans="2:8">
      <c r="B49" t="s">
        <v>140</v>
      </c>
      <c r="D49" s="224">
        <v>5702.07</v>
      </c>
      <c r="E49" s="224">
        <v>6459.85</v>
      </c>
      <c r="F49" s="224">
        <v>8085.7</v>
      </c>
      <c r="G49" s="224">
        <v>10786.48</v>
      </c>
      <c r="H49" s="224">
        <v>13324.89</v>
      </c>
    </row>
    <row r="50" spans="2:8">
      <c r="B50" t="s">
        <v>141</v>
      </c>
      <c r="D50" s="224">
        <v>1619.62</v>
      </c>
      <c r="E50" s="224">
        <v>1255.79</v>
      </c>
      <c r="F50" s="224">
        <v>1171.3</v>
      </c>
      <c r="G50" s="224">
        <v>1472.05</v>
      </c>
      <c r="H50" s="224">
        <v>1879.35</v>
      </c>
    </row>
    <row r="51" spans="2:8">
      <c r="B51" t="s">
        <v>142</v>
      </c>
      <c r="D51" s="224">
        <v>0</v>
      </c>
      <c r="E51" s="224">
        <v>86.54</v>
      </c>
      <c r="F51" s="224">
        <v>112.74</v>
      </c>
      <c r="G51" s="224">
        <v>110.61</v>
      </c>
      <c r="H51" s="224">
        <v>87.9</v>
      </c>
    </row>
    <row r="52" spans="2:8">
      <c r="B52" t="s">
        <v>143</v>
      </c>
      <c r="D52" s="224">
        <v>19.57</v>
      </c>
      <c r="E52" s="224">
        <v>8.5299999999999994</v>
      </c>
      <c r="F52" s="224">
        <v>11.79</v>
      </c>
      <c r="G52" s="224">
        <v>0</v>
      </c>
      <c r="H52" s="224">
        <v>0</v>
      </c>
    </row>
    <row r="53" spans="2:8">
      <c r="B53" t="s">
        <v>144</v>
      </c>
      <c r="D53" s="224">
        <v>115.29</v>
      </c>
      <c r="E53" s="224">
        <v>30.36</v>
      </c>
      <c r="F53" s="224">
        <v>17.84</v>
      </c>
      <c r="G53" s="224">
        <v>38.22</v>
      </c>
      <c r="H53" s="224">
        <v>28.31</v>
      </c>
    </row>
    <row r="54" spans="2:8" ht="15.75" thickBot="1">
      <c r="B54" s="8" t="s">
        <v>145</v>
      </c>
      <c r="C54" s="8"/>
      <c r="D54" s="178">
        <f>SUM(D49:D53)</f>
        <v>7456.5499999999993</v>
      </c>
      <c r="E54" s="178">
        <f t="shared" ref="E54:H54" si="16">SUM(E49:E53)</f>
        <v>7841.07</v>
      </c>
      <c r="F54" s="178">
        <f t="shared" si="16"/>
        <v>9399.3700000000008</v>
      </c>
      <c r="G54" s="178">
        <f t="shared" si="16"/>
        <v>12407.359999999999</v>
      </c>
      <c r="H54" s="178">
        <f t="shared" si="16"/>
        <v>15320.449999999999</v>
      </c>
    </row>
    <row r="56" spans="2:8">
      <c r="B56" s="129"/>
      <c r="C56" s="129"/>
      <c r="D56" s="279"/>
      <c r="E56" s="279"/>
      <c r="F56" s="279"/>
      <c r="G56" s="279"/>
      <c r="H56" s="279"/>
    </row>
    <row r="57" spans="2:8">
      <c r="E57" s="29"/>
      <c r="F57" s="29"/>
      <c r="G57" s="29"/>
      <c r="H57" s="29"/>
    </row>
    <row r="58" spans="2:8">
      <c r="D58" s="3"/>
      <c r="E58" s="3"/>
      <c r="F58" s="3"/>
      <c r="G58" s="3"/>
      <c r="H58" s="3"/>
    </row>
    <row r="59" spans="2:8">
      <c r="E59" s="29"/>
      <c r="F59" s="29"/>
      <c r="G59" s="29"/>
      <c r="H59" s="29"/>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87"/>
  <sheetViews>
    <sheetView showGridLines="0" workbookViewId="0">
      <selection activeCell="M10" sqref="M10"/>
    </sheetView>
  </sheetViews>
  <sheetFormatPr defaultRowHeight="15"/>
  <cols>
    <col min="1" max="1" width="1.85546875" customWidth="1"/>
    <col min="2" max="2" width="41.140625" bestFit="1" customWidth="1"/>
  </cols>
  <sheetData>
    <row r="1" spans="1:14">
      <c r="B1" s="129"/>
      <c r="C1" s="129"/>
      <c r="D1" s="129"/>
      <c r="E1" s="129"/>
      <c r="F1" s="129"/>
      <c r="G1" s="129"/>
      <c r="H1" s="129"/>
    </row>
    <row r="6" spans="1:14" ht="14.25" customHeight="1"/>
    <row r="7" spans="1:14" hidden="1"/>
    <row r="8" spans="1:14" hidden="1"/>
    <row r="9" spans="1:14" hidden="1"/>
    <row r="10" spans="1:14">
      <c r="A10" t="s">
        <v>21</v>
      </c>
      <c r="B10" s="11" t="s">
        <v>13</v>
      </c>
      <c r="C10" s="11"/>
      <c r="D10" s="11">
        <v>2021</v>
      </c>
      <c r="E10" s="11">
        <f>D10+1</f>
        <v>2022</v>
      </c>
      <c r="F10" s="11">
        <f t="shared" ref="F10:H10" si="0">E10+1</f>
        <v>2023</v>
      </c>
      <c r="G10" s="11">
        <f t="shared" si="0"/>
        <v>2024</v>
      </c>
      <c r="H10" s="11">
        <f t="shared" si="0"/>
        <v>2025</v>
      </c>
    </row>
    <row r="11" spans="1:14">
      <c r="B11" s="1" t="s">
        <v>22</v>
      </c>
    </row>
    <row r="12" spans="1:14">
      <c r="B12" s="1" t="s">
        <v>23</v>
      </c>
    </row>
    <row r="13" spans="1:14">
      <c r="B13" s="1" t="s">
        <v>24</v>
      </c>
    </row>
    <row r="14" spans="1:14">
      <c r="B14" t="s">
        <v>25</v>
      </c>
      <c r="D14" s="224">
        <v>238.37</v>
      </c>
      <c r="E14" s="224">
        <v>230.45</v>
      </c>
      <c r="F14" s="224">
        <v>361.07</v>
      </c>
      <c r="G14" s="224">
        <v>390.17</v>
      </c>
      <c r="H14" s="224">
        <v>819.82</v>
      </c>
      <c r="J14" s="3"/>
      <c r="K14" s="3"/>
      <c r="L14" s="3"/>
      <c r="M14" s="3"/>
      <c r="N14" s="3"/>
    </row>
    <row r="15" spans="1:14">
      <c r="B15" t="s">
        <v>26</v>
      </c>
      <c r="D15" s="224">
        <v>8.81</v>
      </c>
      <c r="E15" s="224">
        <v>59.29</v>
      </c>
      <c r="F15" s="224">
        <v>98.25</v>
      </c>
      <c r="G15" s="224">
        <v>367.51</v>
      </c>
      <c r="H15" s="224">
        <v>82.35</v>
      </c>
      <c r="J15" s="3"/>
      <c r="K15" s="3"/>
      <c r="L15" s="3"/>
      <c r="M15" s="3"/>
      <c r="N15" s="3"/>
    </row>
    <row r="16" spans="1:14">
      <c r="B16" t="s">
        <v>27</v>
      </c>
      <c r="D16" s="224">
        <v>55.55</v>
      </c>
      <c r="E16" s="224">
        <v>53.32</v>
      </c>
      <c r="F16" s="224">
        <v>49.41</v>
      </c>
      <c r="G16" s="224">
        <v>44.93</v>
      </c>
      <c r="H16" s="224">
        <v>43.94</v>
      </c>
      <c r="J16" s="3"/>
      <c r="K16" s="3"/>
      <c r="L16" s="3"/>
      <c r="M16" s="3"/>
      <c r="N16" s="3"/>
    </row>
    <row r="17" spans="2:14">
      <c r="B17" t="s">
        <v>28</v>
      </c>
      <c r="C17" s="12"/>
      <c r="D17" s="224">
        <v>72.31</v>
      </c>
      <c r="E17" s="224">
        <v>72.31</v>
      </c>
      <c r="F17" s="224">
        <v>72.31</v>
      </c>
      <c r="G17" s="224">
        <v>72.31</v>
      </c>
      <c r="H17" s="224">
        <v>72.31</v>
      </c>
      <c r="J17" s="3"/>
      <c r="K17" s="3"/>
      <c r="L17" s="3"/>
      <c r="M17" s="3"/>
      <c r="N17" s="3"/>
    </row>
    <row r="18" spans="2:14">
      <c r="B18" t="s">
        <v>29</v>
      </c>
      <c r="D18" s="224">
        <v>13.29</v>
      </c>
      <c r="E18" s="224">
        <v>20.43</v>
      </c>
      <c r="F18" s="224">
        <v>35.69</v>
      </c>
      <c r="G18" s="224">
        <v>34.75</v>
      </c>
      <c r="H18" s="224">
        <v>34.01</v>
      </c>
      <c r="J18" s="3"/>
      <c r="K18" s="3"/>
      <c r="L18" s="3"/>
      <c r="M18" s="3"/>
      <c r="N18" s="3"/>
    </row>
    <row r="19" spans="2:14">
      <c r="B19" t="s">
        <v>30</v>
      </c>
      <c r="D19" s="224">
        <v>8.4600000000000009</v>
      </c>
      <c r="E19" s="224">
        <v>7.17</v>
      </c>
      <c r="F19" s="224">
        <v>6.19</v>
      </c>
      <c r="G19" s="224">
        <v>5.59</v>
      </c>
      <c r="H19" s="224">
        <v>3.4</v>
      </c>
      <c r="J19" s="3"/>
      <c r="K19" s="3"/>
      <c r="L19" s="3"/>
      <c r="M19" s="3"/>
      <c r="N19" s="3"/>
    </row>
    <row r="20" spans="2:14">
      <c r="B20" t="s">
        <v>31</v>
      </c>
      <c r="D20" s="224">
        <v>283.18</v>
      </c>
      <c r="E20" s="224">
        <v>266.07</v>
      </c>
      <c r="F20" s="224">
        <v>270.52</v>
      </c>
      <c r="G20" s="224">
        <v>238.9</v>
      </c>
      <c r="H20" s="224">
        <v>206.99</v>
      </c>
      <c r="J20" s="3"/>
      <c r="K20" s="3"/>
      <c r="L20" s="3"/>
      <c r="M20" s="3"/>
      <c r="N20" s="3"/>
    </row>
    <row r="21" spans="2:14">
      <c r="B21" s="1" t="s">
        <v>32</v>
      </c>
      <c r="D21" s="224"/>
      <c r="E21" s="224"/>
      <c r="F21" s="224"/>
      <c r="G21" s="224"/>
      <c r="H21" s="224"/>
      <c r="J21" s="3"/>
      <c r="K21" s="3"/>
      <c r="L21" s="3"/>
      <c r="M21" s="3"/>
      <c r="N21" s="3"/>
    </row>
    <row r="22" spans="2:14">
      <c r="B22" s="13" t="s">
        <v>33</v>
      </c>
      <c r="D22" s="224">
        <v>2513.9299999999998</v>
      </c>
      <c r="E22" s="224">
        <v>2915.05</v>
      </c>
      <c r="F22" s="224">
        <v>2530.96</v>
      </c>
      <c r="G22" s="224">
        <v>2767.89</v>
      </c>
      <c r="H22" s="224">
        <v>2637.56</v>
      </c>
      <c r="J22" s="3"/>
      <c r="K22" s="3"/>
      <c r="L22" s="3"/>
      <c r="M22" s="3"/>
      <c r="N22" s="3"/>
    </row>
    <row r="23" spans="2:14">
      <c r="B23" s="13" t="s">
        <v>35</v>
      </c>
      <c r="D23" s="224">
        <v>0.17</v>
      </c>
      <c r="E23" s="224">
        <v>0.1</v>
      </c>
      <c r="F23" s="224">
        <v>0.08</v>
      </c>
      <c r="G23" s="224">
        <v>7.0000000000000007E-2</v>
      </c>
      <c r="H23" s="224">
        <v>7.0000000000000007E-2</v>
      </c>
      <c r="J23" s="3"/>
      <c r="K23" s="3"/>
      <c r="L23" s="3"/>
      <c r="M23" s="3"/>
      <c r="N23" s="3"/>
    </row>
    <row r="24" spans="2:14">
      <c r="B24" s="13" t="s">
        <v>36</v>
      </c>
      <c r="D24" s="224">
        <v>96.08</v>
      </c>
      <c r="E24" s="224">
        <v>83.39</v>
      </c>
      <c r="F24" s="224">
        <v>271.86</v>
      </c>
      <c r="G24" s="224">
        <v>237.4</v>
      </c>
      <c r="H24" s="224">
        <v>237.23</v>
      </c>
      <c r="J24" s="3"/>
      <c r="K24" s="3"/>
      <c r="L24" s="3"/>
      <c r="M24" s="3"/>
      <c r="N24" s="3"/>
    </row>
    <row r="25" spans="2:14">
      <c r="B25" t="s">
        <v>37</v>
      </c>
      <c r="D25" s="224">
        <v>2.67</v>
      </c>
      <c r="E25" s="224">
        <v>11.98</v>
      </c>
      <c r="F25" s="224">
        <v>14.54</v>
      </c>
      <c r="G25" s="224">
        <v>14.25</v>
      </c>
      <c r="H25" s="224">
        <v>15.42</v>
      </c>
      <c r="J25" s="3"/>
      <c r="K25" s="3"/>
      <c r="L25" s="3"/>
      <c r="M25" s="3"/>
      <c r="N25" s="3"/>
    </row>
    <row r="26" spans="2:14">
      <c r="B26" t="s">
        <v>38</v>
      </c>
      <c r="D26" s="224">
        <v>55.77</v>
      </c>
      <c r="E26" s="224">
        <v>44</v>
      </c>
      <c r="F26" s="224">
        <v>35.56</v>
      </c>
      <c r="G26" s="224">
        <v>41.29</v>
      </c>
      <c r="H26" s="224">
        <v>44.37</v>
      </c>
      <c r="J26" s="3"/>
      <c r="K26" s="3"/>
      <c r="L26" s="3"/>
      <c r="M26" s="3"/>
      <c r="N26" s="3"/>
    </row>
    <row r="27" spans="2:14">
      <c r="B27" t="s">
        <v>39</v>
      </c>
      <c r="D27" s="224">
        <v>117.48</v>
      </c>
      <c r="E27" s="224">
        <v>103.55</v>
      </c>
      <c r="F27" s="224">
        <v>86.08</v>
      </c>
      <c r="G27" s="224">
        <v>96.02</v>
      </c>
      <c r="H27" s="224">
        <v>76.63</v>
      </c>
      <c r="J27" s="3"/>
      <c r="K27" s="3"/>
      <c r="L27" s="3"/>
      <c r="M27" s="3"/>
      <c r="N27" s="3"/>
    </row>
    <row r="28" spans="2:14">
      <c r="D28" s="176"/>
      <c r="E28" s="176"/>
      <c r="F28" s="176"/>
      <c r="G28" s="176"/>
      <c r="H28" s="176"/>
      <c r="J28" s="3"/>
      <c r="K28" s="3"/>
      <c r="L28" s="3"/>
      <c r="M28" s="3"/>
      <c r="N28" s="3"/>
    </row>
    <row r="29" spans="2:14">
      <c r="B29" s="4" t="s">
        <v>40</v>
      </c>
      <c r="C29" s="5"/>
      <c r="D29" s="177">
        <f>SUM(D14:D27)</f>
        <v>3466.0699999999997</v>
      </c>
      <c r="E29" s="177">
        <f>SUM(E14:E27)</f>
        <v>3867.11</v>
      </c>
      <c r="F29" s="177">
        <f>SUM(F14:F27)</f>
        <v>3832.52</v>
      </c>
      <c r="G29" s="177">
        <f>SUM(G14:G27)</f>
        <v>4311.0800000000008</v>
      </c>
      <c r="H29" s="177">
        <f>SUM(H14:H27)</f>
        <v>4274.1000000000004</v>
      </c>
    </row>
    <row r="30" spans="2:14">
      <c r="D30" s="176"/>
      <c r="E30" s="176"/>
      <c r="F30" s="176"/>
      <c r="G30" s="176"/>
      <c r="H30" s="176"/>
    </row>
    <row r="31" spans="2:14">
      <c r="B31" s="1" t="s">
        <v>41</v>
      </c>
      <c r="D31" s="176"/>
      <c r="E31" s="176"/>
      <c r="F31" s="176"/>
      <c r="G31" s="176"/>
      <c r="H31" s="176"/>
    </row>
    <row r="32" spans="2:14">
      <c r="B32" t="s">
        <v>42</v>
      </c>
      <c r="D32" s="224">
        <v>1279.5999999999999</v>
      </c>
      <c r="E32" s="224">
        <v>1661.39</v>
      </c>
      <c r="F32" s="224">
        <v>1591.97</v>
      </c>
      <c r="G32" s="224">
        <v>2135.38</v>
      </c>
      <c r="H32" s="224">
        <v>2714.81</v>
      </c>
      <c r="J32" s="3"/>
      <c r="K32" s="3"/>
      <c r="L32" s="19"/>
      <c r="M32" s="3"/>
      <c r="N32" s="3"/>
    </row>
    <row r="33" spans="2:14">
      <c r="B33" t="s">
        <v>43</v>
      </c>
      <c r="D33" s="224">
        <v>1063.72</v>
      </c>
      <c r="E33" s="224">
        <v>748.32</v>
      </c>
      <c r="F33" s="224">
        <v>978.06</v>
      </c>
      <c r="G33" s="224">
        <v>875.97</v>
      </c>
      <c r="H33" s="224">
        <v>1299.7</v>
      </c>
      <c r="J33" s="3"/>
      <c r="K33" s="3"/>
      <c r="L33" s="3"/>
      <c r="M33" s="3"/>
      <c r="N33" s="3"/>
    </row>
    <row r="34" spans="2:14">
      <c r="B34" s="1" t="s">
        <v>32</v>
      </c>
      <c r="D34" s="224"/>
      <c r="E34" s="224"/>
      <c r="F34" s="224"/>
      <c r="G34" s="224"/>
      <c r="H34" s="224"/>
    </row>
    <row r="35" spans="2:14">
      <c r="B35" s="13" t="s">
        <v>33</v>
      </c>
      <c r="D35" s="224">
        <v>249.32</v>
      </c>
      <c r="E35" s="224">
        <v>434.27</v>
      </c>
      <c r="F35" s="224">
        <v>307.16000000000003</v>
      </c>
      <c r="G35" s="224">
        <v>501.46</v>
      </c>
      <c r="H35" s="224">
        <v>398.66</v>
      </c>
      <c r="J35" s="3"/>
      <c r="K35" s="3"/>
      <c r="L35" s="3"/>
      <c r="M35" s="3"/>
      <c r="N35" s="3"/>
    </row>
    <row r="36" spans="2:14">
      <c r="B36" s="13" t="s">
        <v>44</v>
      </c>
      <c r="D36" s="224">
        <v>1800.93</v>
      </c>
      <c r="E36" s="224">
        <v>2109.67</v>
      </c>
      <c r="F36" s="224">
        <v>2191.85</v>
      </c>
      <c r="G36" s="224">
        <v>2400.31</v>
      </c>
      <c r="H36" s="224">
        <v>2511.4699999999998</v>
      </c>
      <c r="J36" s="3"/>
      <c r="K36" s="3"/>
      <c r="L36" s="3"/>
      <c r="M36" s="3"/>
      <c r="N36" s="3"/>
    </row>
    <row r="37" spans="2:14">
      <c r="B37" s="13" t="s">
        <v>45</v>
      </c>
      <c r="D37" s="224">
        <v>448.15</v>
      </c>
      <c r="E37" s="224">
        <v>558.9</v>
      </c>
      <c r="F37" s="224">
        <v>692.72</v>
      </c>
      <c r="G37" s="224">
        <v>815.3</v>
      </c>
      <c r="H37" s="224">
        <v>649.79</v>
      </c>
      <c r="J37" s="3"/>
      <c r="K37" s="3"/>
      <c r="L37" s="3"/>
      <c r="M37" s="3"/>
      <c r="N37" s="3"/>
    </row>
    <row r="38" spans="2:14">
      <c r="B38" s="13" t="s">
        <v>46</v>
      </c>
      <c r="D38" s="224">
        <v>10.64</v>
      </c>
      <c r="E38" s="224">
        <v>12.77</v>
      </c>
      <c r="F38" s="224">
        <v>15.66</v>
      </c>
      <c r="G38" s="224">
        <v>37.020000000000003</v>
      </c>
      <c r="H38" s="224">
        <v>28.45</v>
      </c>
      <c r="J38" s="3"/>
      <c r="K38" s="3"/>
      <c r="L38" s="3"/>
      <c r="M38" s="3"/>
      <c r="N38" s="3"/>
    </row>
    <row r="39" spans="2:14">
      <c r="B39" s="13" t="s">
        <v>35</v>
      </c>
      <c r="D39" s="224">
        <v>2.13</v>
      </c>
      <c r="E39" s="224">
        <v>3.09</v>
      </c>
      <c r="F39" s="224">
        <v>0.49</v>
      </c>
      <c r="G39" s="224">
        <v>1.27</v>
      </c>
      <c r="H39" s="224">
        <v>1.04</v>
      </c>
      <c r="J39" s="3"/>
      <c r="K39" s="3"/>
      <c r="L39" s="3"/>
      <c r="M39" s="3"/>
      <c r="N39" s="3"/>
    </row>
    <row r="40" spans="2:14">
      <c r="B40" s="13" t="s">
        <v>36</v>
      </c>
      <c r="D40" s="224">
        <v>108.98</v>
      </c>
      <c r="E40" s="224">
        <v>79.849999999999994</v>
      </c>
      <c r="F40" s="224">
        <v>352.89</v>
      </c>
      <c r="G40" s="224">
        <v>642.85</v>
      </c>
      <c r="H40" s="224">
        <v>842.55</v>
      </c>
      <c r="J40" s="3"/>
      <c r="K40" s="3"/>
      <c r="L40" s="3"/>
      <c r="M40" s="3"/>
      <c r="N40" s="3"/>
    </row>
    <row r="41" spans="2:14">
      <c r="B41" t="s">
        <v>47</v>
      </c>
      <c r="D41" s="224">
        <v>225.94</v>
      </c>
      <c r="E41" s="224">
        <v>270.95999999999998</v>
      </c>
      <c r="F41" s="224">
        <v>315.69</v>
      </c>
      <c r="G41" s="224">
        <v>315.08</v>
      </c>
      <c r="H41" s="224">
        <v>431.45</v>
      </c>
      <c r="J41" s="3"/>
      <c r="K41" s="3"/>
      <c r="L41" s="3"/>
      <c r="M41" s="3"/>
      <c r="N41" s="3"/>
    </row>
    <row r="42" spans="2:14">
      <c r="D42" s="176"/>
      <c r="E42" s="176"/>
      <c r="F42" s="176"/>
      <c r="G42" s="176"/>
      <c r="H42" s="176"/>
    </row>
    <row r="43" spans="2:14">
      <c r="B43" s="18" t="s">
        <v>48</v>
      </c>
      <c r="C43" s="5"/>
      <c r="D43" s="177">
        <f>SUM(D32:D41)</f>
        <v>5189.4099999999989</v>
      </c>
      <c r="E43" s="177">
        <f t="shared" ref="E43:H43" si="1">SUM(E32:E41)</f>
        <v>5879.22</v>
      </c>
      <c r="F43" s="177">
        <f t="shared" si="1"/>
        <v>6446.4899999999989</v>
      </c>
      <c r="G43" s="177">
        <f t="shared" si="1"/>
        <v>7724.6400000000021</v>
      </c>
      <c r="H43" s="177">
        <f t="shared" si="1"/>
        <v>8877.92</v>
      </c>
    </row>
    <row r="44" spans="2:14">
      <c r="D44" s="176"/>
      <c r="E44" s="176"/>
      <c r="F44" s="176"/>
      <c r="G44" s="176"/>
      <c r="H44" s="176"/>
    </row>
    <row r="45" spans="2:14">
      <c r="B45" s="16" t="s">
        <v>49</v>
      </c>
      <c r="C45" s="17"/>
      <c r="D45" s="226">
        <f>D43+D29</f>
        <v>8655.48</v>
      </c>
      <c r="E45" s="226">
        <f t="shared" ref="E45:H45" si="2">E43+E29</f>
        <v>9746.33</v>
      </c>
      <c r="F45" s="226">
        <f t="shared" si="2"/>
        <v>10279.009999999998</v>
      </c>
      <c r="G45" s="226">
        <f t="shared" si="2"/>
        <v>12035.720000000003</v>
      </c>
      <c r="H45" s="226">
        <f t="shared" si="2"/>
        <v>13152.02</v>
      </c>
    </row>
    <row r="46" spans="2:14">
      <c r="D46" s="176"/>
      <c r="E46" s="176"/>
      <c r="F46" s="176"/>
      <c r="G46" s="176"/>
      <c r="H46" s="176"/>
    </row>
    <row r="47" spans="2:14">
      <c r="B47" s="1" t="s">
        <v>50</v>
      </c>
      <c r="D47" s="176"/>
      <c r="E47" s="176"/>
      <c r="F47" s="176"/>
      <c r="G47" s="176"/>
      <c r="H47" s="176"/>
    </row>
    <row r="48" spans="2:14">
      <c r="B48" s="1" t="s">
        <v>51</v>
      </c>
      <c r="D48" s="176"/>
      <c r="E48" s="176"/>
      <c r="F48" s="176"/>
      <c r="G48" s="176"/>
      <c r="H48" s="176"/>
    </row>
    <row r="49" spans="2:14">
      <c r="B49" t="s">
        <v>52</v>
      </c>
      <c r="D49" s="224">
        <v>33.08</v>
      </c>
      <c r="E49" s="224">
        <v>33.08</v>
      </c>
      <c r="F49" s="224">
        <v>33.08</v>
      </c>
      <c r="G49" s="224">
        <v>33.08</v>
      </c>
      <c r="H49" s="224">
        <v>33.08</v>
      </c>
    </row>
    <row r="50" spans="2:14">
      <c r="B50" t="s">
        <v>53</v>
      </c>
      <c r="D50" s="224">
        <v>4960.2700000000004</v>
      </c>
      <c r="E50" s="224">
        <v>5466.48</v>
      </c>
      <c r="F50" s="224">
        <v>5418.99</v>
      </c>
      <c r="G50" s="224">
        <v>5787.42</v>
      </c>
      <c r="H50" s="224">
        <v>6480.17</v>
      </c>
    </row>
    <row r="51" spans="2:14">
      <c r="B51" s="4" t="s">
        <v>54</v>
      </c>
      <c r="C51" s="5"/>
      <c r="D51" s="177">
        <f>SUM(D49:D50)</f>
        <v>4993.3500000000004</v>
      </c>
      <c r="E51" s="177">
        <f t="shared" ref="E51:F51" si="3">SUM(E49:E50)</f>
        <v>5499.5599999999995</v>
      </c>
      <c r="F51" s="177">
        <f t="shared" si="3"/>
        <v>5452.07</v>
      </c>
      <c r="G51" s="177">
        <f t="shared" ref="G51" si="4">SUM(G49:G50)</f>
        <v>5820.5</v>
      </c>
      <c r="H51" s="177">
        <f t="shared" ref="H51" si="5">SUM(H49:H50)</f>
        <v>6513.25</v>
      </c>
    </row>
    <row r="52" spans="2:14">
      <c r="B52" s="14" t="s">
        <v>55</v>
      </c>
      <c r="D52" s="224">
        <v>36.1</v>
      </c>
      <c r="E52" s="224">
        <v>38.08</v>
      </c>
      <c r="F52" s="224">
        <v>41.65</v>
      </c>
      <c r="G52" s="224">
        <v>33.71</v>
      </c>
      <c r="H52" s="224">
        <v>27.05</v>
      </c>
    </row>
    <row r="53" spans="2:14">
      <c r="B53" s="4" t="s">
        <v>56</v>
      </c>
      <c r="C53" s="5"/>
      <c r="D53" s="177">
        <f>SUM(D51:D52)</f>
        <v>5029.4500000000007</v>
      </c>
      <c r="E53" s="177">
        <f t="shared" ref="E53" si="6">SUM(E51:E52)</f>
        <v>5537.6399999999994</v>
      </c>
      <c r="F53" s="177">
        <f t="shared" ref="F53" si="7">SUM(F51:F52)</f>
        <v>5493.7199999999993</v>
      </c>
      <c r="G53" s="177">
        <f t="shared" ref="G53" si="8">SUM(G51:G52)</f>
        <v>5854.21</v>
      </c>
      <c r="H53" s="177">
        <f t="shared" ref="H53" si="9">SUM(H51:H52)</f>
        <v>6540.3</v>
      </c>
    </row>
    <row r="54" spans="2:14">
      <c r="D54" s="176"/>
      <c r="E54" s="176"/>
      <c r="F54" s="176"/>
      <c r="G54" s="176"/>
      <c r="H54" s="176"/>
    </row>
    <row r="55" spans="2:14">
      <c r="B55" s="1" t="s">
        <v>57</v>
      </c>
      <c r="D55" s="176"/>
      <c r="E55" s="176"/>
      <c r="F55" s="176"/>
      <c r="G55" s="176"/>
      <c r="H55" s="176"/>
    </row>
    <row r="56" spans="2:14">
      <c r="B56" s="1" t="s">
        <v>58</v>
      </c>
      <c r="D56" s="176"/>
      <c r="E56" s="176"/>
      <c r="F56" s="176"/>
      <c r="G56" s="176"/>
      <c r="H56" s="176"/>
    </row>
    <row r="57" spans="2:14">
      <c r="B57" t="s">
        <v>59</v>
      </c>
      <c r="D57" s="224">
        <v>0.64</v>
      </c>
      <c r="E57" s="224">
        <v>3.51</v>
      </c>
      <c r="F57" s="224">
        <v>6.33</v>
      </c>
      <c r="G57" s="224">
        <v>7.06</v>
      </c>
      <c r="H57" s="224">
        <v>7.89</v>
      </c>
    </row>
    <row r="58" spans="2:14">
      <c r="B58" s="1" t="s">
        <v>60</v>
      </c>
      <c r="D58" s="224"/>
      <c r="E58" s="224"/>
      <c r="F58" s="224"/>
      <c r="G58" s="224"/>
      <c r="H58" s="224"/>
    </row>
    <row r="59" spans="2:14">
      <c r="B59" s="13" t="s">
        <v>61</v>
      </c>
      <c r="D59" s="224">
        <v>5.66</v>
      </c>
      <c r="E59" s="224">
        <v>0</v>
      </c>
      <c r="F59" s="224">
        <v>21.15</v>
      </c>
      <c r="G59" s="224">
        <v>228</v>
      </c>
      <c r="H59" s="224">
        <v>382.28</v>
      </c>
    </row>
    <row r="60" spans="2:14">
      <c r="B60" s="13" t="s">
        <v>75</v>
      </c>
      <c r="D60" s="224">
        <v>0</v>
      </c>
      <c r="E60" s="224">
        <v>12.68</v>
      </c>
      <c r="F60" s="224">
        <v>25.39</v>
      </c>
      <c r="G60" s="224">
        <v>20.99</v>
      </c>
      <c r="H60" s="224">
        <v>18.170000000000002</v>
      </c>
    </row>
    <row r="61" spans="2:14">
      <c r="B61" s="13" t="s">
        <v>62</v>
      </c>
      <c r="D61" s="224">
        <v>19.41</v>
      </c>
      <c r="E61" s="224">
        <v>14.89</v>
      </c>
      <c r="F61" s="224">
        <v>11.46</v>
      </c>
      <c r="G61" s="224">
        <v>8.2799999999999994</v>
      </c>
      <c r="H61" s="224">
        <v>41.53</v>
      </c>
    </row>
    <row r="62" spans="2:14">
      <c r="B62" t="s">
        <v>63</v>
      </c>
      <c r="D62" s="224">
        <v>89.91</v>
      </c>
      <c r="E62" s="224">
        <v>103.03</v>
      </c>
      <c r="F62" s="224">
        <v>91.97</v>
      </c>
      <c r="G62" s="224">
        <v>98.43</v>
      </c>
      <c r="H62" s="224">
        <v>95.21</v>
      </c>
      <c r="J62" s="3"/>
      <c r="K62" s="3"/>
      <c r="L62" s="3"/>
      <c r="M62" s="3"/>
      <c r="N62" s="3"/>
    </row>
    <row r="63" spans="2:14">
      <c r="B63" t="s">
        <v>64</v>
      </c>
      <c r="D63" s="224">
        <v>0</v>
      </c>
      <c r="E63" s="224">
        <v>12.35</v>
      </c>
      <c r="F63" s="224">
        <v>5.28</v>
      </c>
      <c r="G63" s="224">
        <v>58.88</v>
      </c>
      <c r="H63" s="224">
        <v>58.32</v>
      </c>
    </row>
    <row r="64" spans="2:14">
      <c r="B64" t="s">
        <v>65</v>
      </c>
      <c r="D64" s="224">
        <v>6.32</v>
      </c>
      <c r="E64" s="224">
        <v>6.32</v>
      </c>
      <c r="F64" s="224">
        <v>4.17</v>
      </c>
      <c r="G64" s="224">
        <v>3.49</v>
      </c>
      <c r="H64" s="224">
        <v>2.82</v>
      </c>
    </row>
    <row r="65" spans="2:14">
      <c r="D65" s="224"/>
      <c r="E65" s="224"/>
      <c r="F65" s="224"/>
      <c r="G65" s="224"/>
      <c r="H65" s="224"/>
    </row>
    <row r="66" spans="2:14">
      <c r="B66" s="4" t="s">
        <v>66</v>
      </c>
      <c r="C66" s="5"/>
      <c r="D66" s="177">
        <f>SUM(D57:D64)</f>
        <v>121.94</v>
      </c>
      <c r="E66" s="177">
        <f>SUM(E57:E64)</f>
        <v>152.78</v>
      </c>
      <c r="F66" s="177">
        <f t="shared" ref="F66:H66" si="10">SUM(F57:F64)</f>
        <v>165.75</v>
      </c>
      <c r="G66" s="177">
        <f>SUM(G57:G64)</f>
        <v>425.13</v>
      </c>
      <c r="H66" s="177">
        <f t="shared" si="10"/>
        <v>606.22000000000014</v>
      </c>
    </row>
    <row r="67" spans="2:14">
      <c r="D67" s="176"/>
      <c r="E67" s="176"/>
      <c r="F67" s="176"/>
      <c r="G67" s="176"/>
      <c r="H67" s="176"/>
      <c r="M67" s="20"/>
    </row>
    <row r="68" spans="2:14">
      <c r="B68" s="1" t="s">
        <v>67</v>
      </c>
      <c r="D68" s="176"/>
      <c r="E68" s="176"/>
      <c r="F68" s="176"/>
      <c r="G68" s="176"/>
      <c r="H68" s="176"/>
      <c r="J68" s="3"/>
      <c r="K68" s="3"/>
      <c r="L68" s="3"/>
      <c r="M68" s="3"/>
      <c r="N68" s="3"/>
    </row>
    <row r="69" spans="2:14">
      <c r="B69" t="s">
        <v>59</v>
      </c>
      <c r="D69" s="224">
        <v>421.55</v>
      </c>
      <c r="E69" s="224">
        <v>354.19</v>
      </c>
      <c r="F69" s="224">
        <v>520.1</v>
      </c>
      <c r="G69" s="224">
        <v>646.54</v>
      </c>
      <c r="H69" s="224">
        <v>578.41999999999996</v>
      </c>
    </row>
    <row r="70" spans="2:14">
      <c r="B70" s="1" t="s">
        <v>60</v>
      </c>
      <c r="D70" s="224"/>
      <c r="E70" s="224"/>
      <c r="F70" s="224"/>
      <c r="G70" s="224"/>
      <c r="H70" s="224"/>
      <c r="J70" s="29"/>
      <c r="K70" s="29"/>
      <c r="L70" s="29"/>
      <c r="M70" s="29"/>
      <c r="N70" s="29"/>
    </row>
    <row r="71" spans="2:14">
      <c r="B71" s="13" t="s">
        <v>61</v>
      </c>
      <c r="D71" s="224">
        <v>254.95</v>
      </c>
      <c r="E71" s="224">
        <v>343.19</v>
      </c>
      <c r="F71" s="224">
        <v>594.82000000000005</v>
      </c>
      <c r="G71" s="224">
        <v>485.31</v>
      </c>
      <c r="H71" s="224">
        <v>481.02</v>
      </c>
    </row>
    <row r="72" spans="2:14">
      <c r="B72" s="13" t="s">
        <v>75</v>
      </c>
      <c r="D72" s="224">
        <v>0</v>
      </c>
      <c r="E72" s="224">
        <v>4.96</v>
      </c>
      <c r="F72" s="224">
        <v>9.2200000000000006</v>
      </c>
      <c r="G72" s="224">
        <v>9.33</v>
      </c>
      <c r="H72" s="224">
        <v>10.5</v>
      </c>
    </row>
    <row r="73" spans="2:14">
      <c r="B73" s="13" t="s">
        <v>68</v>
      </c>
      <c r="D73" s="224">
        <v>2464.5300000000002</v>
      </c>
      <c r="E73" s="224">
        <v>2942.05</v>
      </c>
      <c r="F73" s="224">
        <v>3012.63</v>
      </c>
      <c r="G73" s="224">
        <v>3775.45</v>
      </c>
      <c r="H73" s="224">
        <v>3892.81</v>
      </c>
      <c r="J73" s="3"/>
      <c r="K73" s="3"/>
      <c r="L73" s="3"/>
      <c r="M73" s="3"/>
      <c r="N73" s="3"/>
    </row>
    <row r="74" spans="2:14">
      <c r="B74" s="13" t="s">
        <v>62</v>
      </c>
      <c r="D74" s="224">
        <v>94.52</v>
      </c>
      <c r="E74" s="224">
        <v>103.54</v>
      </c>
      <c r="F74" s="224">
        <v>99.13</v>
      </c>
      <c r="G74" s="224">
        <v>310.05</v>
      </c>
      <c r="H74" s="224">
        <v>364.72</v>
      </c>
      <c r="I74" s="2"/>
      <c r="J74" s="3"/>
      <c r="K74" s="3"/>
      <c r="L74" s="3"/>
      <c r="M74" s="3"/>
      <c r="N74" s="3"/>
    </row>
    <row r="75" spans="2:14">
      <c r="B75" t="s">
        <v>63</v>
      </c>
      <c r="D75" s="224">
        <v>119.55</v>
      </c>
      <c r="E75" s="224">
        <v>158.85</v>
      </c>
      <c r="F75" s="224">
        <v>166</v>
      </c>
      <c r="G75" s="224">
        <v>211.07</v>
      </c>
      <c r="H75" s="224">
        <v>239.81</v>
      </c>
      <c r="J75" s="3"/>
      <c r="K75" s="3"/>
      <c r="L75" s="3"/>
      <c r="M75" s="3"/>
      <c r="N75" s="3"/>
    </row>
    <row r="76" spans="2:14">
      <c r="B76" t="s">
        <v>69</v>
      </c>
      <c r="D76" s="224">
        <v>75.95</v>
      </c>
      <c r="E76" s="224">
        <v>60.29</v>
      </c>
      <c r="F76" s="224">
        <v>47.65</v>
      </c>
      <c r="G76" s="224">
        <v>55.67</v>
      </c>
      <c r="H76" s="224">
        <v>116.81</v>
      </c>
    </row>
    <row r="77" spans="2:14">
      <c r="B77" t="s">
        <v>70</v>
      </c>
      <c r="D77" s="224">
        <v>73.040000000000006</v>
      </c>
      <c r="E77" s="224">
        <v>88.84</v>
      </c>
      <c r="F77" s="224">
        <v>169.99</v>
      </c>
      <c r="G77" s="224">
        <v>262.95999999999998</v>
      </c>
      <c r="H77" s="224">
        <v>321.41000000000003</v>
      </c>
    </row>
    <row r="78" spans="2:14">
      <c r="D78" s="176"/>
      <c r="E78" s="176"/>
      <c r="F78" s="176"/>
      <c r="G78" s="176"/>
      <c r="H78" s="176"/>
    </row>
    <row r="79" spans="2:14">
      <c r="B79" s="4" t="s">
        <v>71</v>
      </c>
      <c r="C79" s="5"/>
      <c r="D79" s="177">
        <f>SUM(D69:D77)</f>
        <v>3504.09</v>
      </c>
      <c r="E79" s="177">
        <f t="shared" ref="E79:H79" si="11">SUM(E69:E77)</f>
        <v>4055.9100000000003</v>
      </c>
      <c r="F79" s="177">
        <f t="shared" si="11"/>
        <v>4619.54</v>
      </c>
      <c r="G79" s="177">
        <f t="shared" si="11"/>
        <v>5756.3799999999992</v>
      </c>
      <c r="H79" s="177">
        <f t="shared" si="11"/>
        <v>6005.5000000000009</v>
      </c>
    </row>
    <row r="80" spans="2:14">
      <c r="B80" s="16" t="s">
        <v>72</v>
      </c>
      <c r="C80" s="17"/>
      <c r="D80" s="226">
        <f>D79+D66</f>
        <v>3626.03</v>
      </c>
      <c r="E80" s="226">
        <f t="shared" ref="E80:H80" si="12">E79+E66</f>
        <v>4208.6900000000005</v>
      </c>
      <c r="F80" s="226">
        <f t="shared" si="12"/>
        <v>4785.29</v>
      </c>
      <c r="G80" s="226">
        <f t="shared" si="12"/>
        <v>6181.5099999999993</v>
      </c>
      <c r="H80" s="226">
        <f t="shared" si="12"/>
        <v>6611.7200000000012</v>
      </c>
    </row>
    <row r="81" spans="2:9">
      <c r="B81" s="4"/>
      <c r="C81" s="5"/>
      <c r="D81" s="177"/>
      <c r="E81" s="177"/>
      <c r="F81" s="177"/>
      <c r="G81" s="177"/>
      <c r="H81" s="177"/>
    </row>
    <row r="82" spans="2:9" ht="15.75" thickBot="1">
      <c r="B82" s="8" t="s">
        <v>73</v>
      </c>
      <c r="C82" s="9"/>
      <c r="D82" s="178">
        <f>D80+D53</f>
        <v>8655.4800000000014</v>
      </c>
      <c r="E82" s="178">
        <f t="shared" ref="E82:H82" si="13">E80+E53</f>
        <v>9746.33</v>
      </c>
      <c r="F82" s="178">
        <f t="shared" si="13"/>
        <v>10279.009999999998</v>
      </c>
      <c r="G82" s="178">
        <f t="shared" si="13"/>
        <v>12035.72</v>
      </c>
      <c r="H82" s="178">
        <f t="shared" si="13"/>
        <v>13152.02</v>
      </c>
    </row>
    <row r="83" spans="2:9">
      <c r="D83" s="3"/>
      <c r="E83" s="3"/>
      <c r="F83" s="3"/>
      <c r="G83" s="3"/>
      <c r="H83" s="3"/>
    </row>
    <row r="84" spans="2:9" ht="15.75" thickBot="1">
      <c r="B84" s="8" t="s">
        <v>74</v>
      </c>
      <c r="C84" s="8"/>
      <c r="D84" s="10">
        <f>D82-D45</f>
        <v>0</v>
      </c>
      <c r="E84" s="10">
        <f t="shared" ref="E84:H84" si="14">E82-E45</f>
        <v>0</v>
      </c>
      <c r="F84" s="10">
        <f t="shared" si="14"/>
        <v>0</v>
      </c>
      <c r="G84" s="10">
        <f t="shared" si="14"/>
        <v>0</v>
      </c>
      <c r="H84" s="10">
        <f t="shared" si="14"/>
        <v>0</v>
      </c>
      <c r="I84" s="1"/>
    </row>
    <row r="87" spans="2:9">
      <c r="B87" s="129"/>
      <c r="C87" s="129"/>
      <c r="D87" s="129"/>
      <c r="E87" s="129"/>
      <c r="F87" s="129"/>
      <c r="G87" s="129"/>
      <c r="H87" s="12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0:H83"/>
  <sheetViews>
    <sheetView showGridLines="0" topLeftCell="A63" workbookViewId="0">
      <selection activeCell="B83" sqref="B83:H83"/>
    </sheetView>
  </sheetViews>
  <sheetFormatPr defaultRowHeight="15"/>
  <cols>
    <col min="1" max="1" width="1.85546875" customWidth="1"/>
    <col min="2" max="2" width="89.140625" bestFit="1" customWidth="1"/>
    <col min="4" max="4" width="12.7109375" bestFit="1" customWidth="1"/>
  </cols>
  <sheetData>
    <row r="10" spans="2:8">
      <c r="B10" s="11" t="s">
        <v>13</v>
      </c>
      <c r="C10" s="11"/>
      <c r="D10" s="11">
        <v>2021</v>
      </c>
      <c r="E10" s="11">
        <f>D10+1</f>
        <v>2022</v>
      </c>
      <c r="F10" s="11">
        <f t="shared" ref="F10:H10" si="0">E10+1</f>
        <v>2023</v>
      </c>
      <c r="G10" s="11">
        <f t="shared" si="0"/>
        <v>2024</v>
      </c>
      <c r="H10" s="11">
        <f t="shared" si="0"/>
        <v>2025</v>
      </c>
    </row>
    <row r="11" spans="2:8">
      <c r="B11" s="1" t="s">
        <v>76</v>
      </c>
    </row>
    <row r="12" spans="2:8">
      <c r="B12" s="333" t="s">
        <v>77</v>
      </c>
      <c r="C12" s="333"/>
      <c r="D12" s="333"/>
      <c r="E12" s="333"/>
      <c r="F12" s="333"/>
      <c r="G12" s="333"/>
      <c r="H12" s="333"/>
    </row>
    <row r="13" spans="2:8">
      <c r="B13" s="1" t="s">
        <v>78</v>
      </c>
      <c r="D13" s="179">
        <f>'Historical P&amp;L'!D29</f>
        <v>709.20999999999935</v>
      </c>
      <c r="E13" s="179">
        <f>'Historical P&amp;L'!E29</f>
        <v>697.29999999999973</v>
      </c>
      <c r="F13" s="179">
        <f>'Historical P&amp;L'!F29</f>
        <v>307.14000000000061</v>
      </c>
      <c r="G13" s="179">
        <f>'Historical P&amp;L'!G29</f>
        <v>485.80000000000166</v>
      </c>
      <c r="H13" s="179">
        <f>'Historical P&amp;L'!H29</f>
        <v>1190.75</v>
      </c>
    </row>
    <row r="14" spans="2:8">
      <c r="B14" t="s">
        <v>79</v>
      </c>
      <c r="D14" s="176"/>
      <c r="E14" s="176"/>
      <c r="F14" s="176"/>
      <c r="G14" s="176"/>
      <c r="H14" s="176"/>
    </row>
    <row r="15" spans="2:8">
      <c r="B15" t="s">
        <v>80</v>
      </c>
      <c r="D15" s="176">
        <f>-'Historical P&amp;L'!D26</f>
        <v>60.97</v>
      </c>
      <c r="E15" s="176">
        <f>-'Historical P&amp;L'!E26</f>
        <v>110.31</v>
      </c>
      <c r="F15" s="176">
        <f>-'Historical P&amp;L'!F26</f>
        <v>120.65</v>
      </c>
      <c r="G15" s="176">
        <f>-'Historical P&amp;L'!G26</f>
        <v>138.61000000000001</v>
      </c>
      <c r="H15" s="176">
        <f>-'Historical P&amp;L'!H26</f>
        <v>126</v>
      </c>
    </row>
    <row r="16" spans="2:8">
      <c r="B16" t="s">
        <v>81</v>
      </c>
      <c r="D16" s="176">
        <f>'Historical P&amp;L'!D21</f>
        <v>33.89</v>
      </c>
      <c r="E16" s="176">
        <f>'Historical P&amp;L'!E21</f>
        <v>37.26</v>
      </c>
      <c r="F16" s="176">
        <f>'Historical P&amp;L'!F21</f>
        <v>39.619999999999997</v>
      </c>
      <c r="G16" s="176">
        <f>'Historical P&amp;L'!G21</f>
        <v>47.59</v>
      </c>
      <c r="H16" s="176">
        <f>'Historical P&amp;L'!H21</f>
        <v>61.78</v>
      </c>
    </row>
    <row r="17" spans="1:8">
      <c r="B17" t="s">
        <v>82</v>
      </c>
      <c r="D17" s="224">
        <v>140.03</v>
      </c>
      <c r="E17" s="224">
        <v>93.49</v>
      </c>
      <c r="F17" s="224">
        <v>360.04</v>
      </c>
      <c r="G17" s="224">
        <v>399.96</v>
      </c>
      <c r="H17" s="224">
        <v>67.73</v>
      </c>
    </row>
    <row r="18" spans="1:8">
      <c r="B18" t="s">
        <v>83</v>
      </c>
      <c r="D18" s="224">
        <v>-20.84</v>
      </c>
      <c r="E18" s="224">
        <v>3.88</v>
      </c>
      <c r="F18" s="224">
        <v>-3.34</v>
      </c>
      <c r="G18" s="224">
        <v>1.48</v>
      </c>
      <c r="H18" s="224">
        <v>-10.07</v>
      </c>
    </row>
    <row r="19" spans="1:8">
      <c r="B19" t="s">
        <v>84</v>
      </c>
      <c r="D19" s="224">
        <v>-13.03</v>
      </c>
      <c r="E19" s="224">
        <v>-4.01</v>
      </c>
      <c r="F19" s="224">
        <v>-44.59</v>
      </c>
      <c r="G19" s="224">
        <v>-62.58</v>
      </c>
      <c r="H19" s="224">
        <v>-90.81</v>
      </c>
    </row>
    <row r="20" spans="1:8">
      <c r="B20" t="s">
        <v>85</v>
      </c>
      <c r="D20" s="224">
        <v>-4.84</v>
      </c>
      <c r="E20" s="224">
        <v>-5.0199999999999996</v>
      </c>
      <c r="F20" s="224">
        <v>-6.91</v>
      </c>
      <c r="G20" s="224">
        <v>-10.32</v>
      </c>
      <c r="H20" s="224">
        <v>-9.56</v>
      </c>
    </row>
    <row r="21" spans="1:8">
      <c r="B21" t="s">
        <v>86</v>
      </c>
      <c r="D21" s="224">
        <v>-95.57</v>
      </c>
      <c r="E21" s="224">
        <v>-81.09</v>
      </c>
      <c r="F21" s="224">
        <v>-63.24</v>
      </c>
      <c r="G21" s="224">
        <v>-131.4</v>
      </c>
      <c r="H21" s="224">
        <v>-156.02000000000001</v>
      </c>
    </row>
    <row r="22" spans="1:8">
      <c r="B22" t="s">
        <v>9</v>
      </c>
      <c r="D22" s="176">
        <f>'Historical P&amp;L'!D20</f>
        <v>26.15</v>
      </c>
      <c r="E22" s="176">
        <f>'Historical P&amp;L'!E20</f>
        <v>25.87</v>
      </c>
      <c r="F22" s="176">
        <f>'Historical P&amp;L'!F20</f>
        <v>29.59</v>
      </c>
      <c r="G22" s="176">
        <f>'Historical P&amp;L'!G20</f>
        <v>55.88</v>
      </c>
      <c r="H22" s="176">
        <f>'Historical P&amp;L'!H20</f>
        <v>62.11</v>
      </c>
    </row>
    <row r="23" spans="1:8">
      <c r="B23" t="s">
        <v>87</v>
      </c>
      <c r="D23" s="224">
        <v>-19.649999999999999</v>
      </c>
      <c r="E23" s="224">
        <v>-9.7899999999999991</v>
      </c>
      <c r="F23" s="224">
        <v>-7.66</v>
      </c>
      <c r="G23" s="224">
        <v>-5.51</v>
      </c>
      <c r="H23" s="224">
        <v>-9.9499999999999993</v>
      </c>
    </row>
    <row r="24" spans="1:8">
      <c r="B24" t="s">
        <v>88</v>
      </c>
      <c r="D24" s="224">
        <v>-0.66</v>
      </c>
      <c r="E24" s="224">
        <v>1.1399999999999999</v>
      </c>
      <c r="F24" s="224">
        <v>1.9</v>
      </c>
      <c r="G24" s="224">
        <v>0.34</v>
      </c>
      <c r="H24" s="224">
        <v>-15.7</v>
      </c>
    </row>
    <row r="25" spans="1:8">
      <c r="B25" t="s">
        <v>89</v>
      </c>
      <c r="D25" s="224">
        <v>-32.31</v>
      </c>
      <c r="E25" s="224">
        <v>-24.4</v>
      </c>
      <c r="F25" s="224">
        <v>-24.6</v>
      </c>
      <c r="G25" s="224">
        <v>-26.94</v>
      </c>
      <c r="H25" s="224">
        <v>-36.520000000000003</v>
      </c>
    </row>
    <row r="26" spans="1:8">
      <c r="A26" s="5"/>
      <c r="B26" s="5"/>
      <c r="C26" s="5"/>
      <c r="D26" s="177">
        <f>SUM(D15:D25)</f>
        <v>74.139999999999986</v>
      </c>
      <c r="E26" s="177">
        <f>SUM(E15:E25)</f>
        <v>147.63999999999999</v>
      </c>
      <c r="F26" s="177">
        <f t="shared" ref="F26:H26" si="1">SUM(F15:F25)</f>
        <v>401.45999999999987</v>
      </c>
      <c r="G26" s="177">
        <f t="shared" si="1"/>
        <v>407.1099999999999</v>
      </c>
      <c r="H26" s="177">
        <f t="shared" si="1"/>
        <v>-11.010000000000023</v>
      </c>
    </row>
    <row r="27" spans="1:8">
      <c r="B27" s="1" t="s">
        <v>184</v>
      </c>
      <c r="D27" s="176"/>
      <c r="E27" s="176"/>
      <c r="F27" s="176"/>
      <c r="G27" s="176"/>
      <c r="H27" s="176"/>
    </row>
    <row r="28" spans="1:8">
      <c r="B28" t="s">
        <v>90</v>
      </c>
      <c r="D28" s="176"/>
      <c r="E28" s="176"/>
      <c r="F28" s="176"/>
      <c r="G28" s="176"/>
      <c r="H28" s="176"/>
    </row>
    <row r="29" spans="1:8">
      <c r="B29" t="s">
        <v>91</v>
      </c>
      <c r="D29" s="176"/>
      <c r="E29" s="176"/>
      <c r="F29" s="176"/>
      <c r="G29" s="176"/>
      <c r="H29" s="176"/>
    </row>
    <row r="30" spans="1:8">
      <c r="B30" t="s">
        <v>42</v>
      </c>
      <c r="D30" s="224">
        <v>189.34</v>
      </c>
      <c r="E30" s="224">
        <v>-381.79</v>
      </c>
      <c r="F30" s="224">
        <v>69.42</v>
      </c>
      <c r="G30" s="224">
        <v>-543.4</v>
      </c>
      <c r="H30" s="224">
        <v>-579.41999999999996</v>
      </c>
    </row>
    <row r="31" spans="1:8">
      <c r="B31" t="s">
        <v>34</v>
      </c>
      <c r="D31" s="224">
        <v>-87.01</v>
      </c>
      <c r="E31" s="224">
        <v>-386.81</v>
      </c>
      <c r="F31" s="224">
        <v>-287.48</v>
      </c>
      <c r="G31" s="224">
        <v>-635.79999999999995</v>
      </c>
      <c r="H31" s="224">
        <v>-190.89</v>
      </c>
    </row>
    <row r="32" spans="1:8">
      <c r="B32" t="s">
        <v>92</v>
      </c>
      <c r="D32" s="224">
        <v>-187.88</v>
      </c>
      <c r="E32" s="224">
        <v>300.2</v>
      </c>
      <c r="F32" s="224">
        <v>-248.34</v>
      </c>
      <c r="G32" s="224">
        <v>130.63</v>
      </c>
      <c r="H32" s="224">
        <v>-412.53</v>
      </c>
    </row>
    <row r="33" spans="2:8">
      <c r="B33" t="s">
        <v>36</v>
      </c>
      <c r="D33" s="224">
        <v>8.64</v>
      </c>
      <c r="E33" s="224">
        <v>-5.93</v>
      </c>
      <c r="F33" s="224">
        <v>-211.19</v>
      </c>
      <c r="G33" s="224">
        <v>-42.17</v>
      </c>
      <c r="H33" s="224">
        <v>-63.66</v>
      </c>
    </row>
    <row r="34" spans="2:8">
      <c r="B34" t="s">
        <v>93</v>
      </c>
      <c r="D34" s="224">
        <v>191.34</v>
      </c>
      <c r="E34" s="224">
        <v>-46.53</v>
      </c>
      <c r="F34" s="224">
        <v>-33.5</v>
      </c>
      <c r="G34" s="224">
        <v>1.54</v>
      </c>
      <c r="H34" s="224">
        <v>-112.44</v>
      </c>
    </row>
    <row r="35" spans="2:8">
      <c r="B35" t="s">
        <v>94</v>
      </c>
      <c r="D35" s="224"/>
      <c r="E35" s="224"/>
      <c r="F35" s="224"/>
      <c r="G35" s="224"/>
      <c r="H35" s="224"/>
    </row>
    <row r="36" spans="2:8">
      <c r="B36" t="s">
        <v>68</v>
      </c>
      <c r="D36" s="224">
        <v>-182.3</v>
      </c>
      <c r="E36" s="224">
        <v>485.27</v>
      </c>
      <c r="F36" s="224">
        <v>80.760000000000005</v>
      </c>
      <c r="G36" s="224">
        <v>846.79</v>
      </c>
      <c r="H36" s="224">
        <v>139.97</v>
      </c>
    </row>
    <row r="37" spans="2:8">
      <c r="B37" t="s">
        <v>95</v>
      </c>
      <c r="D37" s="224">
        <v>-135.47</v>
      </c>
      <c r="E37" s="224">
        <v>-64.5</v>
      </c>
      <c r="F37" s="224">
        <v>168.73</v>
      </c>
      <c r="G37" s="224">
        <v>127.19</v>
      </c>
      <c r="H37" s="224">
        <v>-73.790000000000006</v>
      </c>
    </row>
    <row r="38" spans="2:8">
      <c r="B38" t="s">
        <v>62</v>
      </c>
      <c r="D38" s="224">
        <v>34.18</v>
      </c>
      <c r="E38" s="224">
        <v>7.66</v>
      </c>
      <c r="F38" s="224">
        <v>-17.760000000000002</v>
      </c>
      <c r="G38" s="224">
        <v>70.8</v>
      </c>
      <c r="H38" s="224">
        <v>113.23</v>
      </c>
    </row>
    <row r="39" spans="2:8">
      <c r="B39" t="s">
        <v>96</v>
      </c>
      <c r="D39" s="224">
        <v>30.65</v>
      </c>
      <c r="E39" s="224">
        <v>15.77</v>
      </c>
      <c r="F39" s="224">
        <v>78.959999999999994</v>
      </c>
      <c r="G39" s="224">
        <v>92.25</v>
      </c>
      <c r="H39" s="224">
        <v>57.81</v>
      </c>
    </row>
    <row r="40" spans="2:8">
      <c r="B40" t="s">
        <v>97</v>
      </c>
      <c r="D40" s="224">
        <v>-19.440000000000001</v>
      </c>
      <c r="E40" s="224">
        <v>32.83</v>
      </c>
      <c r="F40" s="224">
        <v>16.760000000000002</v>
      </c>
      <c r="G40" s="224">
        <v>32.29</v>
      </c>
      <c r="H40" s="224">
        <v>28.57</v>
      </c>
    </row>
    <row r="41" spans="2:8">
      <c r="B41" s="5"/>
      <c r="C41" s="5"/>
      <c r="D41" s="177">
        <f>SUM(D30:D40)</f>
        <v>-157.94999999999999</v>
      </c>
      <c r="E41" s="177">
        <f>SUM(E30:E40)</f>
        <v>-43.830000000000041</v>
      </c>
      <c r="F41" s="177">
        <f t="shared" ref="F41:H41" si="2">SUM(F30:F40)</f>
        <v>-383.63999999999993</v>
      </c>
      <c r="G41" s="177">
        <f t="shared" si="2"/>
        <v>80.120000000000147</v>
      </c>
      <c r="H41" s="177">
        <f t="shared" si="2"/>
        <v>-1093.1500000000001</v>
      </c>
    </row>
    <row r="42" spans="2:8">
      <c r="B42" s="1" t="s">
        <v>98</v>
      </c>
      <c r="D42" s="179">
        <f>D13+D26+D41</f>
        <v>625.39999999999941</v>
      </c>
      <c r="E42" s="179">
        <f>E13+E26+E41</f>
        <v>801.10999999999967</v>
      </c>
      <c r="F42" s="179">
        <f t="shared" ref="F42:H42" si="3">F13+F26+F41</f>
        <v>324.96000000000055</v>
      </c>
      <c r="G42" s="179">
        <f t="shared" si="3"/>
        <v>973.03000000000168</v>
      </c>
      <c r="H42" s="179">
        <f t="shared" si="3"/>
        <v>86.589999999999918</v>
      </c>
    </row>
    <row r="43" spans="2:8">
      <c r="B43" t="s">
        <v>100</v>
      </c>
      <c r="D43" s="224">
        <v>-69.290000000000006</v>
      </c>
      <c r="E43" s="224">
        <v>-216.88</v>
      </c>
      <c r="F43" s="224">
        <v>-165.58</v>
      </c>
      <c r="G43" s="224">
        <v>-211.52</v>
      </c>
      <c r="H43" s="224">
        <v>-310.7</v>
      </c>
    </row>
    <row r="44" spans="2:8">
      <c r="B44" s="16" t="s">
        <v>99</v>
      </c>
      <c r="C44" s="17"/>
      <c r="D44" s="226">
        <f>SUM(D42:D43)</f>
        <v>556.10999999999945</v>
      </c>
      <c r="E44" s="226">
        <f>SUM(E42:E43)</f>
        <v>584.22999999999968</v>
      </c>
      <c r="F44" s="226">
        <f t="shared" ref="F44:H44" si="4">SUM(F42:F43)</f>
        <v>159.38000000000054</v>
      </c>
      <c r="G44" s="226">
        <f t="shared" si="4"/>
        <v>761.5100000000017</v>
      </c>
      <c r="H44" s="226">
        <f t="shared" si="4"/>
        <v>-224.11000000000007</v>
      </c>
    </row>
    <row r="45" spans="2:8">
      <c r="D45" s="50"/>
      <c r="E45" s="50"/>
      <c r="F45" s="50"/>
      <c r="G45" s="50"/>
      <c r="H45" s="50"/>
    </row>
    <row r="46" spans="2:8">
      <c r="B46" s="333" t="s">
        <v>101</v>
      </c>
      <c r="C46" s="333"/>
      <c r="D46" s="333"/>
      <c r="E46" s="333"/>
      <c r="F46" s="333"/>
      <c r="G46" s="333"/>
      <c r="H46" s="333"/>
    </row>
    <row r="47" spans="2:8">
      <c r="B47" t="s">
        <v>102</v>
      </c>
      <c r="D47" s="224">
        <v>-20.82</v>
      </c>
      <c r="E47" s="224">
        <v>-48.16</v>
      </c>
      <c r="F47" s="224">
        <v>-179.93</v>
      </c>
      <c r="G47" s="224">
        <v>-293.05</v>
      </c>
      <c r="H47" s="224">
        <v>-208.18</v>
      </c>
    </row>
    <row r="48" spans="2:8">
      <c r="B48" t="s">
        <v>103</v>
      </c>
      <c r="D48" s="224">
        <v>2.17</v>
      </c>
      <c r="E48" s="224">
        <v>1.26</v>
      </c>
      <c r="F48" s="224">
        <v>2.4900000000000002</v>
      </c>
      <c r="G48" s="224">
        <v>4.76</v>
      </c>
      <c r="H48" s="224">
        <v>17.440000000000001</v>
      </c>
    </row>
    <row r="49" spans="2:8">
      <c r="B49" t="s">
        <v>104</v>
      </c>
      <c r="D49" s="224">
        <v>29.42</v>
      </c>
      <c r="E49" s="224">
        <v>43.64</v>
      </c>
      <c r="F49" s="224">
        <v>-186.74</v>
      </c>
      <c r="G49" s="224">
        <v>-385.05</v>
      </c>
      <c r="H49" s="224">
        <v>-1365.71</v>
      </c>
    </row>
    <row r="50" spans="2:8">
      <c r="B50" t="s">
        <v>127</v>
      </c>
      <c r="D50" s="176"/>
      <c r="E50" s="224"/>
      <c r="F50" s="224"/>
      <c r="G50" s="224">
        <v>31.99</v>
      </c>
      <c r="H50" s="224">
        <v>1347.73</v>
      </c>
    </row>
    <row r="51" spans="2:8">
      <c r="B51" t="s">
        <v>105</v>
      </c>
      <c r="D51" s="224">
        <v>-1173.8900000000001</v>
      </c>
      <c r="E51" s="224">
        <v>-1103.8399999999999</v>
      </c>
      <c r="F51" s="224">
        <v>-1697.84</v>
      </c>
      <c r="G51" s="224">
        <v>-1466.99</v>
      </c>
      <c r="H51" s="224">
        <v>-2342.9299999999998</v>
      </c>
    </row>
    <row r="52" spans="2:8">
      <c r="B52" t="s">
        <v>128</v>
      </c>
      <c r="D52" s="224"/>
      <c r="E52" s="224"/>
      <c r="F52" s="224">
        <v>-185</v>
      </c>
      <c r="G52" s="224">
        <v>-50</v>
      </c>
      <c r="H52" s="224">
        <v>-146.99</v>
      </c>
    </row>
    <row r="53" spans="2:8">
      <c r="B53" t="s">
        <v>129</v>
      </c>
      <c r="D53" s="224"/>
      <c r="E53" s="224"/>
      <c r="F53" s="224"/>
      <c r="G53" s="224">
        <v>-108.78</v>
      </c>
      <c r="H53" s="224">
        <v>-102.41</v>
      </c>
    </row>
    <row r="54" spans="2:8">
      <c r="B54" t="s">
        <v>130</v>
      </c>
      <c r="D54" s="224"/>
      <c r="E54" s="224"/>
      <c r="F54" s="224"/>
      <c r="G54" s="224">
        <v>185</v>
      </c>
      <c r="H54" s="224">
        <v>54.05</v>
      </c>
    </row>
    <row r="55" spans="2:8">
      <c r="B55" t="s">
        <v>106</v>
      </c>
      <c r="D55" s="224">
        <v>848.22</v>
      </c>
      <c r="E55" s="224">
        <v>712.82</v>
      </c>
      <c r="F55" s="224">
        <v>2094.85</v>
      </c>
      <c r="G55" s="224">
        <v>1476.27</v>
      </c>
      <c r="H55" s="224">
        <v>2774.01</v>
      </c>
    </row>
    <row r="56" spans="2:8">
      <c r="B56" t="s">
        <v>107</v>
      </c>
      <c r="D56" s="224">
        <v>20.76</v>
      </c>
      <c r="E56" s="224">
        <v>9.2200000000000006</v>
      </c>
      <c r="F56" s="224">
        <v>36.19</v>
      </c>
      <c r="G56" s="224">
        <v>44.63</v>
      </c>
      <c r="H56" s="224">
        <v>78.78</v>
      </c>
    </row>
    <row r="57" spans="2:8">
      <c r="B57" t="s">
        <v>108</v>
      </c>
      <c r="D57" s="224"/>
      <c r="E57" s="224"/>
      <c r="F57" s="224"/>
      <c r="G57" s="224"/>
      <c r="H57" s="224"/>
    </row>
    <row r="58" spans="2:8">
      <c r="B58" t="s">
        <v>109</v>
      </c>
      <c r="D58" s="224">
        <v>6.99</v>
      </c>
      <c r="E58" s="224">
        <v>1.34</v>
      </c>
      <c r="F58" s="224">
        <v>1.93</v>
      </c>
      <c r="G58" s="224">
        <v>2.41</v>
      </c>
      <c r="H58" s="224">
        <v>9.56</v>
      </c>
    </row>
    <row r="59" spans="2:8">
      <c r="B59" t="s">
        <v>110</v>
      </c>
      <c r="D59" s="224">
        <v>4.5199999999999996</v>
      </c>
      <c r="E59" s="224">
        <v>5.0199999999999996</v>
      </c>
      <c r="F59" s="224">
        <v>6.91</v>
      </c>
      <c r="G59" s="224">
        <v>7.9</v>
      </c>
      <c r="H59" s="224">
        <v>7.19</v>
      </c>
    </row>
    <row r="60" spans="2:8">
      <c r="B60" t="s">
        <v>111</v>
      </c>
      <c r="D60" s="224">
        <v>31.83</v>
      </c>
      <c r="E60" s="224">
        <v>25.42</v>
      </c>
      <c r="F60" s="224">
        <v>25.33</v>
      </c>
      <c r="G60" s="224">
        <v>24.21</v>
      </c>
      <c r="H60" s="224">
        <v>35.630000000000003</v>
      </c>
    </row>
    <row r="61" spans="2:8">
      <c r="B61" t="s">
        <v>112</v>
      </c>
      <c r="D61" s="224">
        <v>-5.1100000000000003</v>
      </c>
      <c r="E61" s="224">
        <v>-11.35</v>
      </c>
      <c r="F61" s="224">
        <v>0.21</v>
      </c>
      <c r="G61" s="224">
        <v>4.34</v>
      </c>
      <c r="H61" s="224">
        <v>-0.23</v>
      </c>
    </row>
    <row r="62" spans="2:8">
      <c r="B62" s="16" t="s">
        <v>113</v>
      </c>
      <c r="C62" s="17"/>
      <c r="D62" s="226">
        <f>SUM(D47:D61)</f>
        <v>-255.91000000000014</v>
      </c>
      <c r="E62" s="226">
        <f>SUM(E47:E61)</f>
        <v>-364.62999999999988</v>
      </c>
      <c r="F62" s="226">
        <f>SUM(F47:F61)</f>
        <v>-81.60000000000008</v>
      </c>
      <c r="G62" s="226">
        <f>SUM(G47:G61)</f>
        <v>-522.36000000000035</v>
      </c>
      <c r="H62" s="226">
        <f>SUM(H47:H61)</f>
        <v>157.94000000000113</v>
      </c>
    </row>
    <row r="63" spans="2:8">
      <c r="D63" s="50"/>
      <c r="E63" s="50"/>
      <c r="F63" s="50"/>
      <c r="G63" s="50"/>
      <c r="H63" s="50"/>
    </row>
    <row r="64" spans="2:8">
      <c r="B64" s="333" t="s">
        <v>114</v>
      </c>
      <c r="C64" s="333"/>
      <c r="D64" s="333"/>
      <c r="E64" s="333"/>
      <c r="F64" s="333"/>
      <c r="G64" s="333"/>
      <c r="H64" s="333"/>
    </row>
    <row r="65" spans="2:8">
      <c r="B65" t="s">
        <v>115</v>
      </c>
      <c r="D65" s="50"/>
      <c r="E65" s="50"/>
      <c r="F65" s="50"/>
      <c r="G65" s="50"/>
      <c r="H65" s="50"/>
    </row>
    <row r="66" spans="2:8">
      <c r="B66" t="s">
        <v>116</v>
      </c>
      <c r="D66" s="224">
        <v>-1.51</v>
      </c>
      <c r="E66" s="224"/>
      <c r="F66" s="224"/>
      <c r="G66" s="224"/>
      <c r="H66" s="224"/>
    </row>
    <row r="67" spans="2:8">
      <c r="B67" t="s">
        <v>117</v>
      </c>
      <c r="D67" s="224">
        <v>-511</v>
      </c>
      <c r="E67" s="224">
        <v>-16.559999999999999</v>
      </c>
      <c r="F67" s="224">
        <v>-1230.72</v>
      </c>
      <c r="G67" s="224">
        <v>-492.97</v>
      </c>
      <c r="H67" s="224">
        <v>-303.58999999999997</v>
      </c>
    </row>
    <row r="68" spans="2:8">
      <c r="B68" t="s">
        <v>118</v>
      </c>
      <c r="D68" s="224">
        <v>553.45000000000005</v>
      </c>
      <c r="E68" s="224">
        <v>108.35</v>
      </c>
      <c r="F68" s="224">
        <v>1503.5</v>
      </c>
      <c r="G68" s="224">
        <v>590.32000000000005</v>
      </c>
      <c r="H68" s="224">
        <v>453.58</v>
      </c>
    </row>
    <row r="69" spans="2:8">
      <c r="B69" t="s">
        <v>119</v>
      </c>
      <c r="D69" s="224">
        <v>-21.18</v>
      </c>
      <c r="E69" s="224">
        <v>-22.52</v>
      </c>
      <c r="F69" s="224">
        <v>-28.41</v>
      </c>
      <c r="G69" s="224">
        <v>-52.09</v>
      </c>
      <c r="H69" s="224">
        <v>-53.51</v>
      </c>
    </row>
    <row r="70" spans="2:8">
      <c r="B70" t="s">
        <v>120</v>
      </c>
      <c r="D70" s="224">
        <v>-5.48</v>
      </c>
      <c r="E70" s="224">
        <v>-8.6999999999999993</v>
      </c>
      <c r="F70" s="224">
        <v>-6.47</v>
      </c>
      <c r="G70" s="224">
        <v>-18.34</v>
      </c>
      <c r="H70" s="224">
        <v>-14.2</v>
      </c>
    </row>
    <row r="71" spans="2:8">
      <c r="B71" t="s">
        <v>126</v>
      </c>
      <c r="D71" s="224">
        <v>-135.79</v>
      </c>
      <c r="E71" s="224">
        <v>-167.61</v>
      </c>
      <c r="F71" s="224">
        <v>-182.85</v>
      </c>
      <c r="G71" s="224">
        <v>-143.24</v>
      </c>
      <c r="H71" s="224">
        <v>-181.99</v>
      </c>
    </row>
    <row r="72" spans="2:8">
      <c r="D72" s="176"/>
      <c r="E72" s="176"/>
      <c r="F72" s="176"/>
      <c r="G72" s="176"/>
      <c r="H72" s="176"/>
    </row>
    <row r="73" spans="2:8">
      <c r="B73" s="16" t="s">
        <v>121</v>
      </c>
      <c r="C73" s="17"/>
      <c r="D73" s="226">
        <f>SUM(D66:D71)</f>
        <v>-121.50999999999993</v>
      </c>
      <c r="E73" s="226">
        <f>SUM(E66:E71)</f>
        <v>-107.04000000000002</v>
      </c>
      <c r="F73" s="226">
        <f t="shared" ref="F73:H73" si="5">SUM(F66:F71)</f>
        <v>55.049999999999983</v>
      </c>
      <c r="G73" s="226">
        <f t="shared" si="5"/>
        <v>-116.32</v>
      </c>
      <c r="H73" s="226">
        <f t="shared" si="5"/>
        <v>-99.71</v>
      </c>
    </row>
    <row r="74" spans="2:8">
      <c r="D74" s="176"/>
      <c r="E74" s="176"/>
      <c r="F74" s="176"/>
      <c r="G74" s="176"/>
      <c r="H74" s="176"/>
    </row>
    <row r="75" spans="2:8">
      <c r="B75" s="16" t="s">
        <v>122</v>
      </c>
      <c r="C75" s="16"/>
      <c r="D75" s="226">
        <f>D44+D62+D73</f>
        <v>178.68999999999937</v>
      </c>
      <c r="E75" s="226">
        <f>E44+E62+E73</f>
        <v>112.55999999999977</v>
      </c>
      <c r="F75" s="226">
        <f>F44+F62+F73</f>
        <v>132.83000000000044</v>
      </c>
      <c r="G75" s="226">
        <f>G44+G62+G73</f>
        <v>122.83000000000135</v>
      </c>
      <c r="H75" s="226">
        <f>H44+H62+H73</f>
        <v>-165.87999999999892</v>
      </c>
    </row>
    <row r="76" spans="2:8">
      <c r="D76" s="176"/>
      <c r="E76" s="176"/>
      <c r="F76" s="176"/>
      <c r="G76" s="176"/>
      <c r="H76" s="176"/>
    </row>
    <row r="77" spans="2:8">
      <c r="B77" s="16" t="s">
        <v>123</v>
      </c>
      <c r="C77" s="16"/>
      <c r="D77" s="226">
        <v>269.27999999999997</v>
      </c>
      <c r="E77" s="226">
        <f>D75+D77</f>
        <v>447.96999999999935</v>
      </c>
      <c r="F77" s="226">
        <f>E75+E77</f>
        <v>560.52999999999906</v>
      </c>
      <c r="G77" s="226">
        <f t="shared" ref="G77:H77" si="6">F75+F77</f>
        <v>693.35999999999945</v>
      </c>
      <c r="H77" s="226">
        <f t="shared" si="6"/>
        <v>816.19000000000074</v>
      </c>
    </row>
    <row r="78" spans="2:8">
      <c r="B78" t="s">
        <v>125</v>
      </c>
      <c r="D78" s="224">
        <v>0.18</v>
      </c>
      <c r="E78" s="224">
        <v>-1.63</v>
      </c>
      <c r="F78" s="224">
        <v>-0.64</v>
      </c>
      <c r="G78" s="224">
        <v>-0.89</v>
      </c>
      <c r="H78" s="224">
        <v>-0.52</v>
      </c>
    </row>
    <row r="79" spans="2:8" ht="15.75" thickBot="1">
      <c r="B79" s="8" t="s">
        <v>124</v>
      </c>
      <c r="C79" s="9"/>
      <c r="D79" s="178">
        <f>D75+D77+D78</f>
        <v>448.14999999999935</v>
      </c>
      <c r="E79" s="178">
        <f t="shared" ref="E79:H79" si="7">E75+E77+E78</f>
        <v>558.89999999999907</v>
      </c>
      <c r="F79" s="178">
        <f t="shared" si="7"/>
        <v>692.71999999999946</v>
      </c>
      <c r="G79" s="178">
        <f t="shared" si="7"/>
        <v>815.30000000000075</v>
      </c>
      <c r="H79" s="178">
        <f t="shared" si="7"/>
        <v>649.79000000000178</v>
      </c>
    </row>
    <row r="80" spans="2:8">
      <c r="D80" s="50"/>
      <c r="E80" s="50"/>
      <c r="F80" s="50"/>
      <c r="G80" s="50"/>
      <c r="H80" s="50"/>
    </row>
    <row r="81" spans="2:8">
      <c r="B81" s="1" t="s">
        <v>74</v>
      </c>
      <c r="C81" s="1"/>
      <c r="D81" s="51">
        <f>ROUND(D79-'Historical B_sheet'!D37,2)</f>
        <v>0</v>
      </c>
      <c r="E81" s="51">
        <f>ROUND(E79-'Historical B_sheet'!E37,2)</f>
        <v>0</v>
      </c>
      <c r="F81" s="51">
        <f>ROUND(F79-'Historical B_sheet'!F37,2)</f>
        <v>0</v>
      </c>
      <c r="G81" s="51">
        <f>ROUND(G79-'Historical B_sheet'!G37,2)</f>
        <v>0</v>
      </c>
      <c r="H81" s="51">
        <f>ROUND(H79-'Historical B_sheet'!H37,2)</f>
        <v>0</v>
      </c>
    </row>
    <row r="83" spans="2:8">
      <c r="B83" s="129"/>
      <c r="C83" s="129"/>
      <c r="D83" s="129"/>
      <c r="E83" s="129"/>
      <c r="F83" s="129"/>
      <c r="G83" s="129"/>
      <c r="H83" s="129"/>
    </row>
  </sheetData>
  <mergeCells count="3">
    <mergeCell ref="B46:H46"/>
    <mergeCell ref="B12:H12"/>
    <mergeCell ref="B64:H6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0:R63"/>
  <sheetViews>
    <sheetView showGridLines="0" topLeftCell="A3" workbookViewId="0">
      <selection activeCell="I15" sqref="I15"/>
    </sheetView>
  </sheetViews>
  <sheetFormatPr defaultRowHeight="15"/>
  <cols>
    <col min="1" max="1" width="2" customWidth="1"/>
    <col min="2" max="2" width="42.42578125" bestFit="1" customWidth="1"/>
  </cols>
  <sheetData>
    <row r="10" spans="2:18">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row>
    <row r="11" spans="2:18">
      <c r="D11" s="244"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2" spans="2:18">
      <c r="B12" s="1" t="s">
        <v>197</v>
      </c>
    </row>
    <row r="13" spans="2:18">
      <c r="B13" s="1" t="s">
        <v>23</v>
      </c>
    </row>
    <row r="14" spans="2:18">
      <c r="B14" s="1" t="s">
        <v>198</v>
      </c>
    </row>
    <row r="15" spans="2:18">
      <c r="B15" s="46" t="s">
        <v>33</v>
      </c>
      <c r="D15" s="227">
        <f>'Historical B_sheet'!D22</f>
        <v>2513.9299999999998</v>
      </c>
      <c r="E15" s="227">
        <f>'Historical B_sheet'!E22</f>
        <v>2915.05</v>
      </c>
      <c r="F15" s="227">
        <f>'Historical B_sheet'!F22</f>
        <v>2530.96</v>
      </c>
      <c r="G15" s="227">
        <f>'Historical B_sheet'!G22</f>
        <v>2767.89</v>
      </c>
      <c r="H15" s="227">
        <f>'Historical B_sheet'!H22</f>
        <v>2637.56</v>
      </c>
      <c r="I15" s="176">
        <f t="shared" ref="I15:I21" si="1">H15</f>
        <v>2637.56</v>
      </c>
      <c r="J15" s="176">
        <f t="shared" ref="J15:R20" si="2">I15</f>
        <v>2637.56</v>
      </c>
      <c r="K15" s="176">
        <f t="shared" si="2"/>
        <v>2637.56</v>
      </c>
      <c r="L15" s="176">
        <f t="shared" si="2"/>
        <v>2637.56</v>
      </c>
      <c r="M15" s="176">
        <f t="shared" si="2"/>
        <v>2637.56</v>
      </c>
      <c r="N15" s="176">
        <f t="shared" si="2"/>
        <v>2637.56</v>
      </c>
      <c r="O15" s="176">
        <f t="shared" si="2"/>
        <v>2637.56</v>
      </c>
      <c r="P15" s="176">
        <f t="shared" si="2"/>
        <v>2637.56</v>
      </c>
      <c r="Q15" s="176">
        <f t="shared" si="2"/>
        <v>2637.56</v>
      </c>
      <c r="R15" s="176">
        <f t="shared" si="2"/>
        <v>2637.56</v>
      </c>
    </row>
    <row r="16" spans="2:18">
      <c r="B16" s="46" t="s">
        <v>35</v>
      </c>
      <c r="D16" s="227">
        <f>'Historical B_sheet'!D23</f>
        <v>0.17</v>
      </c>
      <c r="E16" s="227">
        <f>'Historical B_sheet'!E23</f>
        <v>0.1</v>
      </c>
      <c r="F16" s="227">
        <f>'Historical B_sheet'!F23</f>
        <v>0.08</v>
      </c>
      <c r="G16" s="227">
        <f>'Historical B_sheet'!G23</f>
        <v>7.0000000000000007E-2</v>
      </c>
      <c r="H16" s="227">
        <f>'Historical B_sheet'!H23</f>
        <v>7.0000000000000007E-2</v>
      </c>
      <c r="I16" s="176">
        <f t="shared" si="1"/>
        <v>7.0000000000000007E-2</v>
      </c>
      <c r="J16" s="176">
        <f t="shared" si="2"/>
        <v>7.0000000000000007E-2</v>
      </c>
      <c r="K16" s="176">
        <f t="shared" si="2"/>
        <v>7.0000000000000007E-2</v>
      </c>
      <c r="L16" s="176">
        <f t="shared" si="2"/>
        <v>7.0000000000000007E-2</v>
      </c>
      <c r="M16" s="176">
        <f t="shared" si="2"/>
        <v>7.0000000000000007E-2</v>
      </c>
      <c r="N16" s="176">
        <f t="shared" si="2"/>
        <v>7.0000000000000007E-2</v>
      </c>
      <c r="O16" s="176">
        <f t="shared" si="2"/>
        <v>7.0000000000000007E-2</v>
      </c>
      <c r="P16" s="176">
        <f t="shared" si="2"/>
        <v>7.0000000000000007E-2</v>
      </c>
      <c r="Q16" s="176">
        <f t="shared" si="2"/>
        <v>7.0000000000000007E-2</v>
      </c>
      <c r="R16" s="176">
        <f t="shared" si="2"/>
        <v>7.0000000000000007E-2</v>
      </c>
    </row>
    <row r="17" spans="2:18">
      <c r="B17" s="46" t="s">
        <v>36</v>
      </c>
      <c r="D17" s="227">
        <f>'Historical B_sheet'!D24</f>
        <v>96.08</v>
      </c>
      <c r="E17" s="227">
        <f>'Historical B_sheet'!E24</f>
        <v>83.39</v>
      </c>
      <c r="F17" s="227">
        <f>'Historical B_sheet'!F24</f>
        <v>271.86</v>
      </c>
      <c r="G17" s="227">
        <f>'Historical B_sheet'!G24</f>
        <v>237.4</v>
      </c>
      <c r="H17" s="227">
        <f>'Historical B_sheet'!H24</f>
        <v>237.23</v>
      </c>
      <c r="I17" s="176">
        <f t="shared" si="1"/>
        <v>237.23</v>
      </c>
      <c r="J17" s="176">
        <f t="shared" si="2"/>
        <v>237.23</v>
      </c>
      <c r="K17" s="176">
        <f t="shared" si="2"/>
        <v>237.23</v>
      </c>
      <c r="L17" s="176">
        <f t="shared" si="2"/>
        <v>237.23</v>
      </c>
      <c r="M17" s="176">
        <f t="shared" si="2"/>
        <v>237.23</v>
      </c>
      <c r="N17" s="176">
        <f t="shared" si="2"/>
        <v>237.23</v>
      </c>
      <c r="O17" s="176">
        <f t="shared" si="2"/>
        <v>237.23</v>
      </c>
      <c r="P17" s="176">
        <f t="shared" si="2"/>
        <v>237.23</v>
      </c>
      <c r="Q17" s="176">
        <f t="shared" si="2"/>
        <v>237.23</v>
      </c>
      <c r="R17" s="176">
        <f t="shared" si="2"/>
        <v>237.23</v>
      </c>
    </row>
    <row r="18" spans="2:18">
      <c r="B18" t="s">
        <v>37</v>
      </c>
      <c r="D18" s="227">
        <f>'Historical B_sheet'!D25</f>
        <v>2.67</v>
      </c>
      <c r="E18" s="227">
        <f>'Historical B_sheet'!E25</f>
        <v>11.98</v>
      </c>
      <c r="F18" s="227">
        <f>'Historical B_sheet'!F25</f>
        <v>14.54</v>
      </c>
      <c r="G18" s="227">
        <f>'Historical B_sheet'!G25</f>
        <v>14.25</v>
      </c>
      <c r="H18" s="227">
        <f>'Historical B_sheet'!H25</f>
        <v>15.42</v>
      </c>
      <c r="I18" s="176">
        <f t="shared" si="1"/>
        <v>15.42</v>
      </c>
      <c r="J18" s="176">
        <f t="shared" si="2"/>
        <v>15.42</v>
      </c>
      <c r="K18" s="176">
        <f t="shared" si="2"/>
        <v>15.42</v>
      </c>
      <c r="L18" s="176">
        <f t="shared" si="2"/>
        <v>15.42</v>
      </c>
      <c r="M18" s="176">
        <f t="shared" si="2"/>
        <v>15.42</v>
      </c>
      <c r="N18" s="176">
        <f t="shared" si="2"/>
        <v>15.42</v>
      </c>
      <c r="O18" s="176">
        <f t="shared" si="2"/>
        <v>15.42</v>
      </c>
      <c r="P18" s="176">
        <f t="shared" si="2"/>
        <v>15.42</v>
      </c>
      <c r="Q18" s="176">
        <f t="shared" si="2"/>
        <v>15.42</v>
      </c>
      <c r="R18" s="176">
        <f t="shared" si="2"/>
        <v>15.42</v>
      </c>
    </row>
    <row r="19" spans="2:18">
      <c r="B19" t="s">
        <v>38</v>
      </c>
      <c r="D19" s="227">
        <f>'Historical B_sheet'!D26</f>
        <v>55.77</v>
      </c>
      <c r="E19" s="227">
        <f>'Historical B_sheet'!E26</f>
        <v>44</v>
      </c>
      <c r="F19" s="227">
        <f>'Historical B_sheet'!F26</f>
        <v>35.56</v>
      </c>
      <c r="G19" s="227">
        <f>'Historical B_sheet'!G26</f>
        <v>41.29</v>
      </c>
      <c r="H19" s="227">
        <f>'Historical B_sheet'!H26</f>
        <v>44.37</v>
      </c>
      <c r="I19" s="176">
        <f t="shared" si="1"/>
        <v>44.37</v>
      </c>
      <c r="J19" s="176">
        <f t="shared" si="2"/>
        <v>44.37</v>
      </c>
      <c r="K19" s="176">
        <f t="shared" si="2"/>
        <v>44.37</v>
      </c>
      <c r="L19" s="176">
        <f t="shared" si="2"/>
        <v>44.37</v>
      </c>
      <c r="M19" s="176">
        <f t="shared" si="2"/>
        <v>44.37</v>
      </c>
      <c r="N19" s="176">
        <f t="shared" si="2"/>
        <v>44.37</v>
      </c>
      <c r="O19" s="176">
        <f t="shared" si="2"/>
        <v>44.37</v>
      </c>
      <c r="P19" s="176">
        <f t="shared" si="2"/>
        <v>44.37</v>
      </c>
      <c r="Q19" s="176">
        <f t="shared" si="2"/>
        <v>44.37</v>
      </c>
      <c r="R19" s="176">
        <f t="shared" si="2"/>
        <v>44.37</v>
      </c>
    </row>
    <row r="20" spans="2:18">
      <c r="B20" t="s">
        <v>39</v>
      </c>
      <c r="D20" s="227">
        <f>'Historical B_sheet'!D27</f>
        <v>117.48</v>
      </c>
      <c r="E20" s="227">
        <f>'Historical B_sheet'!E27</f>
        <v>103.55</v>
      </c>
      <c r="F20" s="227">
        <f>'Historical B_sheet'!F27</f>
        <v>86.08</v>
      </c>
      <c r="G20" s="227">
        <f>'Historical B_sheet'!G27</f>
        <v>96.02</v>
      </c>
      <c r="H20" s="227">
        <f>'Historical B_sheet'!H27</f>
        <v>76.63</v>
      </c>
      <c r="I20" s="176">
        <f t="shared" si="1"/>
        <v>76.63</v>
      </c>
      <c r="J20" s="176">
        <f t="shared" si="2"/>
        <v>76.63</v>
      </c>
      <c r="K20" s="176">
        <f t="shared" si="2"/>
        <v>76.63</v>
      </c>
      <c r="L20" s="176">
        <f t="shared" si="2"/>
        <v>76.63</v>
      </c>
      <c r="M20" s="176">
        <f t="shared" si="2"/>
        <v>76.63</v>
      </c>
      <c r="N20" s="176">
        <f t="shared" si="2"/>
        <v>76.63</v>
      </c>
      <c r="O20" s="176">
        <f t="shared" si="2"/>
        <v>76.63</v>
      </c>
      <c r="P20" s="176">
        <f t="shared" si="2"/>
        <v>76.63</v>
      </c>
      <c r="Q20" s="176">
        <f t="shared" si="2"/>
        <v>76.63</v>
      </c>
      <c r="R20" s="176">
        <f t="shared" si="2"/>
        <v>76.63</v>
      </c>
    </row>
    <row r="21" spans="2:18">
      <c r="B21" t="s">
        <v>28</v>
      </c>
      <c r="D21" s="227">
        <f>'Historical B_sheet'!D17</f>
        <v>72.31</v>
      </c>
      <c r="E21" s="227">
        <f>'Historical B_sheet'!E17</f>
        <v>72.31</v>
      </c>
      <c r="F21" s="227">
        <f>'Historical B_sheet'!F17</f>
        <v>72.31</v>
      </c>
      <c r="G21" s="227">
        <f>'Historical B_sheet'!G17</f>
        <v>72.31</v>
      </c>
      <c r="H21" s="227">
        <f>'Historical B_sheet'!H17</f>
        <v>72.31</v>
      </c>
      <c r="I21" s="176">
        <f t="shared" si="1"/>
        <v>72.31</v>
      </c>
      <c r="J21" s="176">
        <f t="shared" ref="J21:R21" si="3">I21</f>
        <v>72.31</v>
      </c>
      <c r="K21" s="176">
        <f t="shared" si="3"/>
        <v>72.31</v>
      </c>
      <c r="L21" s="176">
        <f t="shared" si="3"/>
        <v>72.31</v>
      </c>
      <c r="M21" s="176">
        <f t="shared" si="3"/>
        <v>72.31</v>
      </c>
      <c r="N21" s="176">
        <f t="shared" si="3"/>
        <v>72.31</v>
      </c>
      <c r="O21" s="176">
        <f t="shared" si="3"/>
        <v>72.31</v>
      </c>
      <c r="P21" s="176">
        <f t="shared" si="3"/>
        <v>72.31</v>
      </c>
      <c r="Q21" s="176">
        <f t="shared" si="3"/>
        <v>72.31</v>
      </c>
      <c r="R21" s="176">
        <f t="shared" si="3"/>
        <v>72.31</v>
      </c>
    </row>
    <row r="22" spans="2:18">
      <c r="D22" s="176"/>
      <c r="E22" s="176"/>
      <c r="F22" s="176"/>
      <c r="G22" s="176"/>
      <c r="H22" s="176"/>
      <c r="I22" s="176"/>
      <c r="J22" s="176"/>
      <c r="K22" s="176"/>
      <c r="L22" s="176"/>
      <c r="M22" s="176"/>
      <c r="N22" s="176"/>
      <c r="O22" s="176"/>
      <c r="P22" s="176"/>
      <c r="Q22" s="176"/>
      <c r="R22" s="176"/>
    </row>
    <row r="23" spans="2:18">
      <c r="B23" s="1" t="s">
        <v>41</v>
      </c>
      <c r="D23" s="176"/>
      <c r="E23" s="176"/>
      <c r="F23" s="176"/>
      <c r="G23" s="176"/>
      <c r="H23" s="176"/>
      <c r="I23" s="176"/>
      <c r="J23" s="176"/>
      <c r="K23" s="176"/>
      <c r="L23" s="176"/>
      <c r="M23" s="176"/>
      <c r="N23" s="176"/>
      <c r="O23" s="176"/>
      <c r="P23" s="176"/>
      <c r="Q23" s="176"/>
      <c r="R23" s="176"/>
    </row>
    <row r="24" spans="2:18">
      <c r="B24" t="s">
        <v>43</v>
      </c>
      <c r="D24" s="227">
        <f>'Historical B_sheet'!D33</f>
        <v>1063.72</v>
      </c>
      <c r="E24" s="227">
        <f>'Historical B_sheet'!E33</f>
        <v>748.32</v>
      </c>
      <c r="F24" s="227">
        <f>'Historical B_sheet'!F33</f>
        <v>978.06</v>
      </c>
      <c r="G24" s="227">
        <f>'Historical B_sheet'!G33</f>
        <v>875.97</v>
      </c>
      <c r="H24" s="227">
        <f>'Historical B_sheet'!H33</f>
        <v>1299.7</v>
      </c>
      <c r="I24" s="176">
        <f>H24</f>
        <v>1299.7</v>
      </c>
      <c r="J24" s="176">
        <f t="shared" ref="J24:R24" si="4">I24</f>
        <v>1299.7</v>
      </c>
      <c r="K24" s="176">
        <f t="shared" si="4"/>
        <v>1299.7</v>
      </c>
      <c r="L24" s="176">
        <f t="shared" si="4"/>
        <v>1299.7</v>
      </c>
      <c r="M24" s="176">
        <f t="shared" si="4"/>
        <v>1299.7</v>
      </c>
      <c r="N24" s="176">
        <f t="shared" si="4"/>
        <v>1299.7</v>
      </c>
      <c r="O24" s="176">
        <f t="shared" si="4"/>
        <v>1299.7</v>
      </c>
      <c r="P24" s="176">
        <f t="shared" si="4"/>
        <v>1299.7</v>
      </c>
      <c r="Q24" s="176">
        <f t="shared" si="4"/>
        <v>1299.7</v>
      </c>
      <c r="R24" s="176">
        <f t="shared" si="4"/>
        <v>1299.7</v>
      </c>
    </row>
    <row r="25" spans="2:18">
      <c r="B25" s="46" t="s">
        <v>33</v>
      </c>
      <c r="D25" s="227">
        <f>'Historical B_sheet'!D35</f>
        <v>249.32</v>
      </c>
      <c r="E25" s="227">
        <f>'Historical B_sheet'!E35</f>
        <v>434.27</v>
      </c>
      <c r="F25" s="227">
        <f>'Historical B_sheet'!F35</f>
        <v>307.16000000000003</v>
      </c>
      <c r="G25" s="227">
        <f>'Historical B_sheet'!G35</f>
        <v>501.46</v>
      </c>
      <c r="H25" s="227">
        <f>'Historical B_sheet'!H35</f>
        <v>398.66</v>
      </c>
      <c r="I25" s="176">
        <f>H25</f>
        <v>398.66</v>
      </c>
      <c r="J25" s="176">
        <f t="shared" ref="J25:R25" si="5">I25</f>
        <v>398.66</v>
      </c>
      <c r="K25" s="176">
        <f t="shared" si="5"/>
        <v>398.66</v>
      </c>
      <c r="L25" s="176">
        <f t="shared" si="5"/>
        <v>398.66</v>
      </c>
      <c r="M25" s="176">
        <f t="shared" si="5"/>
        <v>398.66</v>
      </c>
      <c r="N25" s="176">
        <f t="shared" si="5"/>
        <v>398.66</v>
      </c>
      <c r="O25" s="176">
        <f t="shared" si="5"/>
        <v>398.66</v>
      </c>
      <c r="P25" s="176">
        <f t="shared" si="5"/>
        <v>398.66</v>
      </c>
      <c r="Q25" s="176">
        <f t="shared" si="5"/>
        <v>398.66</v>
      </c>
      <c r="R25" s="176">
        <f t="shared" si="5"/>
        <v>398.66</v>
      </c>
    </row>
    <row r="26" spans="2:18">
      <c r="B26" s="46" t="s">
        <v>35</v>
      </c>
      <c r="D26" s="227">
        <f>'Historical B_sheet'!D39</f>
        <v>2.13</v>
      </c>
      <c r="E26" s="227">
        <f>'Historical B_sheet'!E39</f>
        <v>3.09</v>
      </c>
      <c r="F26" s="227">
        <f>'Historical B_sheet'!F39</f>
        <v>0.49</v>
      </c>
      <c r="G26" s="227">
        <f>'Historical B_sheet'!G39</f>
        <v>1.27</v>
      </c>
      <c r="H26" s="227">
        <f>'Historical B_sheet'!H39</f>
        <v>1.04</v>
      </c>
      <c r="I26" s="176">
        <f>H26</f>
        <v>1.04</v>
      </c>
      <c r="J26" s="176">
        <f t="shared" ref="J26:R26" si="6">I26</f>
        <v>1.04</v>
      </c>
      <c r="K26" s="176">
        <f t="shared" si="6"/>
        <v>1.04</v>
      </c>
      <c r="L26" s="176">
        <f t="shared" si="6"/>
        <v>1.04</v>
      </c>
      <c r="M26" s="176">
        <f t="shared" si="6"/>
        <v>1.04</v>
      </c>
      <c r="N26" s="176">
        <f t="shared" si="6"/>
        <v>1.04</v>
      </c>
      <c r="O26" s="176">
        <f t="shared" si="6"/>
        <v>1.04</v>
      </c>
      <c r="P26" s="176">
        <f t="shared" si="6"/>
        <v>1.04</v>
      </c>
      <c r="Q26" s="176">
        <f t="shared" si="6"/>
        <v>1.04</v>
      </c>
      <c r="R26" s="176">
        <f t="shared" si="6"/>
        <v>1.04</v>
      </c>
    </row>
    <row r="27" spans="2:18">
      <c r="B27" s="46" t="s">
        <v>36</v>
      </c>
      <c r="D27" s="227">
        <f>'Historical B_sheet'!D40</f>
        <v>108.98</v>
      </c>
      <c r="E27" s="227">
        <f>'Historical B_sheet'!E40</f>
        <v>79.849999999999994</v>
      </c>
      <c r="F27" s="227">
        <f>'Historical B_sheet'!F40</f>
        <v>352.89</v>
      </c>
      <c r="G27" s="227">
        <f>'Historical B_sheet'!G40</f>
        <v>642.85</v>
      </c>
      <c r="H27" s="227">
        <f>'Historical B_sheet'!H40</f>
        <v>842.55</v>
      </c>
      <c r="I27" s="176">
        <f>H27</f>
        <v>842.55</v>
      </c>
      <c r="J27" s="176">
        <f t="shared" ref="J27:R27" si="7">I27</f>
        <v>842.55</v>
      </c>
      <c r="K27" s="176">
        <f t="shared" si="7"/>
        <v>842.55</v>
      </c>
      <c r="L27" s="176">
        <f t="shared" si="7"/>
        <v>842.55</v>
      </c>
      <c r="M27" s="176">
        <f t="shared" si="7"/>
        <v>842.55</v>
      </c>
      <c r="N27" s="176">
        <f t="shared" si="7"/>
        <v>842.55</v>
      </c>
      <c r="O27" s="176">
        <f t="shared" si="7"/>
        <v>842.55</v>
      </c>
      <c r="P27" s="176">
        <f t="shared" si="7"/>
        <v>842.55</v>
      </c>
      <c r="Q27" s="176">
        <f t="shared" si="7"/>
        <v>842.55</v>
      </c>
      <c r="R27" s="176">
        <f t="shared" si="7"/>
        <v>842.55</v>
      </c>
    </row>
    <row r="28" spans="2:18">
      <c r="B28" t="s">
        <v>47</v>
      </c>
      <c r="D28" s="227">
        <f>'Historical B_sheet'!D41</f>
        <v>225.94</v>
      </c>
      <c r="E28" s="227">
        <f>'Historical B_sheet'!E41</f>
        <v>270.95999999999998</v>
      </c>
      <c r="F28" s="227">
        <f>'Historical B_sheet'!F41</f>
        <v>315.69</v>
      </c>
      <c r="G28" s="227">
        <f>'Historical B_sheet'!G41</f>
        <v>315.08</v>
      </c>
      <c r="H28" s="227">
        <f>'Historical B_sheet'!H41</f>
        <v>431.45</v>
      </c>
      <c r="I28" s="176">
        <f>H28</f>
        <v>431.45</v>
      </c>
      <c r="J28" s="176">
        <f t="shared" ref="J28:R28" si="8">I28</f>
        <v>431.45</v>
      </c>
      <c r="K28" s="176">
        <f t="shared" si="8"/>
        <v>431.45</v>
      </c>
      <c r="L28" s="176">
        <f t="shared" si="8"/>
        <v>431.45</v>
      </c>
      <c r="M28" s="176">
        <f t="shared" si="8"/>
        <v>431.45</v>
      </c>
      <c r="N28" s="176">
        <f t="shared" si="8"/>
        <v>431.45</v>
      </c>
      <c r="O28" s="176">
        <f t="shared" si="8"/>
        <v>431.45</v>
      </c>
      <c r="P28" s="176">
        <f t="shared" si="8"/>
        <v>431.45</v>
      </c>
      <c r="Q28" s="176">
        <f t="shared" si="8"/>
        <v>431.45</v>
      </c>
      <c r="R28" s="176">
        <f t="shared" si="8"/>
        <v>431.45</v>
      </c>
    </row>
    <row r="29" spans="2:18">
      <c r="D29" s="228"/>
      <c r="E29" s="228"/>
      <c r="F29" s="228"/>
      <c r="G29" s="228"/>
      <c r="H29" s="228"/>
      <c r="I29" s="176"/>
      <c r="J29" s="176"/>
      <c r="K29" s="176"/>
      <c r="L29" s="176"/>
      <c r="M29" s="176"/>
      <c r="N29" s="176"/>
      <c r="O29" s="176"/>
      <c r="P29" s="176"/>
      <c r="Q29" s="176"/>
      <c r="R29" s="176"/>
    </row>
    <row r="30" spans="2:18">
      <c r="B30" s="1" t="s">
        <v>50</v>
      </c>
      <c r="D30" s="176"/>
      <c r="E30" s="176"/>
      <c r="F30" s="176"/>
      <c r="G30" s="176"/>
      <c r="H30" s="176"/>
      <c r="I30" s="176"/>
      <c r="J30" s="176"/>
      <c r="K30" s="176"/>
      <c r="L30" s="176"/>
      <c r="M30" s="176"/>
      <c r="N30" s="176"/>
      <c r="O30" s="176"/>
      <c r="P30" s="176"/>
      <c r="Q30" s="176"/>
      <c r="R30" s="176"/>
    </row>
    <row r="31" spans="2:18">
      <c r="B31" s="1" t="s">
        <v>51</v>
      </c>
      <c r="D31" s="176"/>
      <c r="E31" s="176"/>
      <c r="F31" s="176"/>
      <c r="G31" s="176"/>
      <c r="H31" s="176"/>
      <c r="I31" s="176"/>
      <c r="J31" s="176"/>
      <c r="K31" s="176"/>
      <c r="L31" s="176"/>
      <c r="M31" s="176"/>
      <c r="N31" s="176"/>
      <c r="O31" s="176"/>
      <c r="P31" s="176"/>
      <c r="Q31" s="176"/>
      <c r="R31" s="176"/>
    </row>
    <row r="32" spans="2:18">
      <c r="B32" t="s">
        <v>52</v>
      </c>
      <c r="D32" s="227">
        <f>'Historical B_sheet'!D49</f>
        <v>33.08</v>
      </c>
      <c r="E32" s="227">
        <f>'Historical B_sheet'!E49</f>
        <v>33.08</v>
      </c>
      <c r="F32" s="227">
        <f>'Historical B_sheet'!F49</f>
        <v>33.08</v>
      </c>
      <c r="G32" s="227">
        <f>'Historical B_sheet'!G49</f>
        <v>33.08</v>
      </c>
      <c r="H32" s="227">
        <f>'Historical B_sheet'!H49</f>
        <v>33.08</v>
      </c>
      <c r="I32" s="176">
        <f>H32</f>
        <v>33.08</v>
      </c>
      <c r="J32" s="176">
        <f t="shared" ref="J32:R32" si="9">I32</f>
        <v>33.08</v>
      </c>
      <c r="K32" s="176">
        <f t="shared" si="9"/>
        <v>33.08</v>
      </c>
      <c r="L32" s="176">
        <f t="shared" si="9"/>
        <v>33.08</v>
      </c>
      <c r="M32" s="176">
        <f t="shared" si="9"/>
        <v>33.08</v>
      </c>
      <c r="N32" s="176">
        <f t="shared" si="9"/>
        <v>33.08</v>
      </c>
      <c r="O32" s="176">
        <f t="shared" si="9"/>
        <v>33.08</v>
      </c>
      <c r="P32" s="176">
        <f t="shared" si="9"/>
        <v>33.08</v>
      </c>
      <c r="Q32" s="176">
        <f t="shared" si="9"/>
        <v>33.08</v>
      </c>
      <c r="R32" s="176">
        <f t="shared" si="9"/>
        <v>33.08</v>
      </c>
    </row>
    <row r="33" spans="2:18">
      <c r="B33" t="s">
        <v>53</v>
      </c>
      <c r="D33" s="227">
        <f>'Historical B_sheet'!D50</f>
        <v>4960.2700000000004</v>
      </c>
      <c r="E33" s="227">
        <f>'Historical B_sheet'!E50</f>
        <v>5466.48</v>
      </c>
      <c r="F33" s="227">
        <f>'Historical B_sheet'!F50</f>
        <v>5418.99</v>
      </c>
      <c r="G33" s="227">
        <f>'Historical B_sheet'!G50</f>
        <v>5787.42</v>
      </c>
      <c r="H33" s="227">
        <f>'Historical B_sheet'!H50</f>
        <v>6480.17</v>
      </c>
      <c r="I33" s="176">
        <f>H33+'P&amp;L Statement'!J32+'P&amp;L Statement'!J34</f>
        <v>7256.8544306672275</v>
      </c>
      <c r="J33" s="176">
        <f>I33+'P&amp;L Statement'!K32+'P&amp;L Statement'!K34</f>
        <v>8221.8106219819765</v>
      </c>
      <c r="K33" s="176">
        <f>J33+'P&amp;L Statement'!L32+'P&amp;L Statement'!L34</f>
        <v>9422.6017609619576</v>
      </c>
      <c r="L33" s="176">
        <f>K33+'P&amp;L Statement'!M32+'P&amp;L Statement'!M34</f>
        <v>10920.546061375986</v>
      </c>
      <c r="M33" s="176">
        <f>L33+'P&amp;L Statement'!N32+'P&amp;L Statement'!N34</f>
        <v>13401.481640374133</v>
      </c>
      <c r="N33" s="176">
        <f>M33+'P&amp;L Statement'!O32+'P&amp;L Statement'!O34</f>
        <v>16463.540155976058</v>
      </c>
      <c r="O33" s="176">
        <f>N33+'P&amp;L Statement'!P32+'P&amp;L Statement'!P34</f>
        <v>20252.125059503473</v>
      </c>
      <c r="P33" s="176">
        <f>O33+'P&amp;L Statement'!Q32+'P&amp;L Statement'!Q34</f>
        <v>24950.820019869741</v>
      </c>
      <c r="Q33" s="176">
        <f>P33+'P&amp;L Statement'!R32+'P&amp;L Statement'!R34</f>
        <v>30791.316797154297</v>
      </c>
      <c r="R33" s="176">
        <f>Q33+'P&amp;L Statement'!S32+'P&amp;L Statement'!S34</f>
        <v>30791.316797154297</v>
      </c>
    </row>
    <row r="34" spans="2:18">
      <c r="B34" s="4" t="s">
        <v>54</v>
      </c>
      <c r="C34" s="4"/>
      <c r="D34" s="177">
        <f>SUM(D32:D33)</f>
        <v>4993.3500000000004</v>
      </c>
      <c r="E34" s="177">
        <f t="shared" ref="E34:H34" si="10">SUM(E32:E33)</f>
        <v>5499.5599999999995</v>
      </c>
      <c r="F34" s="177">
        <f t="shared" si="10"/>
        <v>5452.07</v>
      </c>
      <c r="G34" s="177">
        <f t="shared" si="10"/>
        <v>5820.5</v>
      </c>
      <c r="H34" s="177">
        <f t="shared" si="10"/>
        <v>6513.25</v>
      </c>
      <c r="I34" s="177">
        <f t="shared" ref="I34" si="11">SUM(I32:I33)</f>
        <v>7289.9344306672274</v>
      </c>
      <c r="J34" s="177">
        <f t="shared" ref="J34" si="12">SUM(J32:J33)</f>
        <v>8254.8906219819764</v>
      </c>
      <c r="K34" s="177">
        <f t="shared" ref="K34" si="13">SUM(K32:K33)</f>
        <v>9455.6817609619575</v>
      </c>
      <c r="L34" s="177">
        <f t="shared" ref="L34" si="14">SUM(L32:L33)</f>
        <v>10953.626061375986</v>
      </c>
      <c r="M34" s="177">
        <f t="shared" ref="M34" si="15">SUM(M32:M33)</f>
        <v>13434.561640374133</v>
      </c>
      <c r="N34" s="177">
        <f t="shared" ref="N34" si="16">SUM(N32:N33)</f>
        <v>16496.620155976059</v>
      </c>
      <c r="O34" s="177">
        <f t="shared" ref="O34" si="17">SUM(O32:O33)</f>
        <v>20285.205059503474</v>
      </c>
      <c r="P34" s="177">
        <f t="shared" ref="P34" si="18">SUM(P32:P33)</f>
        <v>24983.900019869743</v>
      </c>
      <c r="Q34" s="177">
        <f t="shared" ref="Q34" si="19">SUM(Q32:Q33)</f>
        <v>30824.396797154299</v>
      </c>
      <c r="R34" s="177">
        <f t="shared" ref="R34" si="20">SUM(R32:R33)</f>
        <v>30824.396797154299</v>
      </c>
    </row>
    <row r="35" spans="2:18">
      <c r="B35" s="14" t="s">
        <v>55</v>
      </c>
      <c r="D35" s="227">
        <f>'Historical B_sheet'!D52</f>
        <v>36.1</v>
      </c>
      <c r="E35" s="227">
        <f>'Historical B_sheet'!E52</f>
        <v>38.08</v>
      </c>
      <c r="F35" s="227">
        <f>'Historical B_sheet'!F52</f>
        <v>41.65</v>
      </c>
      <c r="G35" s="227">
        <f>'Historical B_sheet'!G52</f>
        <v>33.71</v>
      </c>
      <c r="H35" s="227">
        <f>'Historical B_sheet'!H52</f>
        <v>27.05</v>
      </c>
      <c r="I35" s="176">
        <f>H35</f>
        <v>27.05</v>
      </c>
      <c r="J35" s="176">
        <f t="shared" ref="J35:R35" si="21">I35</f>
        <v>27.05</v>
      </c>
      <c r="K35" s="176">
        <f t="shared" si="21"/>
        <v>27.05</v>
      </c>
      <c r="L35" s="176">
        <f t="shared" si="21"/>
        <v>27.05</v>
      </c>
      <c r="M35" s="176">
        <f t="shared" si="21"/>
        <v>27.05</v>
      </c>
      <c r="N35" s="176">
        <f t="shared" si="21"/>
        <v>27.05</v>
      </c>
      <c r="O35" s="176">
        <f t="shared" si="21"/>
        <v>27.05</v>
      </c>
      <c r="P35" s="176">
        <f t="shared" si="21"/>
        <v>27.05</v>
      </c>
      <c r="Q35" s="176">
        <f t="shared" si="21"/>
        <v>27.05</v>
      </c>
      <c r="R35" s="176">
        <f t="shared" si="21"/>
        <v>27.05</v>
      </c>
    </row>
    <row r="36" spans="2:18">
      <c r="B36" s="4" t="s">
        <v>56</v>
      </c>
      <c r="C36" s="4"/>
      <c r="D36" s="177">
        <f>D34+D35</f>
        <v>5029.4500000000007</v>
      </c>
      <c r="E36" s="177">
        <f t="shared" ref="E36:H36" si="22">E34+E35</f>
        <v>5537.6399999999994</v>
      </c>
      <c r="F36" s="177">
        <f t="shared" si="22"/>
        <v>5493.7199999999993</v>
      </c>
      <c r="G36" s="177">
        <f t="shared" si="22"/>
        <v>5854.21</v>
      </c>
      <c r="H36" s="177">
        <f t="shared" si="22"/>
        <v>6540.3</v>
      </c>
      <c r="I36" s="177">
        <f t="shared" ref="I36" si="23">I34+I35</f>
        <v>7316.9844306672276</v>
      </c>
      <c r="J36" s="177">
        <f t="shared" ref="J36" si="24">J34+J35</f>
        <v>8281.9406219819757</v>
      </c>
      <c r="K36" s="177">
        <f t="shared" ref="K36" si="25">K34+K35</f>
        <v>9482.7317609619568</v>
      </c>
      <c r="L36" s="177">
        <f t="shared" ref="L36" si="26">L34+L35</f>
        <v>10980.676061375985</v>
      </c>
      <c r="M36" s="177">
        <f t="shared" ref="M36" si="27">M34+M35</f>
        <v>13461.611640374133</v>
      </c>
      <c r="N36" s="177">
        <f t="shared" ref="N36" si="28">N34+N35</f>
        <v>16523.670155976059</v>
      </c>
      <c r="O36" s="177">
        <f t="shared" ref="O36" si="29">O34+O35</f>
        <v>20312.255059503474</v>
      </c>
      <c r="P36" s="177">
        <f t="shared" ref="P36" si="30">P34+P35</f>
        <v>25010.950019869742</v>
      </c>
      <c r="Q36" s="177">
        <f t="shared" ref="Q36" si="31">Q34+Q35</f>
        <v>30851.446797154298</v>
      </c>
      <c r="R36" s="177">
        <f t="shared" ref="R36" si="32">R34+R35</f>
        <v>30851.446797154298</v>
      </c>
    </row>
    <row r="37" spans="2:18">
      <c r="D37" s="176"/>
      <c r="E37" s="176"/>
      <c r="F37" s="176"/>
      <c r="G37" s="176"/>
      <c r="H37" s="176"/>
      <c r="I37" s="176"/>
      <c r="J37" s="176"/>
      <c r="K37" s="176"/>
      <c r="L37" s="176"/>
      <c r="M37" s="176"/>
      <c r="N37" s="176"/>
      <c r="O37" s="176"/>
      <c r="P37" s="176"/>
      <c r="Q37" s="176"/>
      <c r="R37" s="176"/>
    </row>
    <row r="38" spans="2:18">
      <c r="B38" s="1" t="s">
        <v>199</v>
      </c>
      <c r="D38" s="176"/>
      <c r="E38" s="176"/>
      <c r="F38" s="176"/>
      <c r="G38" s="176"/>
      <c r="H38" s="176"/>
      <c r="I38" s="176"/>
      <c r="J38" s="176"/>
      <c r="K38" s="176"/>
      <c r="L38" s="176"/>
      <c r="M38" s="176"/>
      <c r="N38" s="176"/>
      <c r="O38" s="176"/>
      <c r="P38" s="176"/>
      <c r="Q38" s="176"/>
      <c r="R38" s="176"/>
    </row>
    <row r="39" spans="2:18">
      <c r="B39" s="1" t="s">
        <v>58</v>
      </c>
      <c r="D39" s="176"/>
      <c r="E39" s="176"/>
      <c r="F39" s="176"/>
      <c r="G39" s="176"/>
      <c r="H39" s="176"/>
      <c r="I39" s="176"/>
      <c r="J39" s="176"/>
      <c r="K39" s="176"/>
      <c r="L39" s="176"/>
      <c r="M39" s="176"/>
      <c r="N39" s="176"/>
      <c r="O39" s="176"/>
      <c r="P39" s="176"/>
      <c r="Q39" s="176"/>
      <c r="R39" s="176"/>
    </row>
    <row r="40" spans="2:18">
      <c r="B40" t="s">
        <v>59</v>
      </c>
      <c r="D40" s="227">
        <f>'Historical B_sheet'!D57</f>
        <v>0.64</v>
      </c>
      <c r="E40" s="227">
        <f>'Historical B_sheet'!E57</f>
        <v>3.51</v>
      </c>
      <c r="F40" s="227">
        <f>'Historical B_sheet'!F57</f>
        <v>6.33</v>
      </c>
      <c r="G40" s="227">
        <f>'Historical B_sheet'!G57</f>
        <v>7.06</v>
      </c>
      <c r="H40" s="227">
        <f>'Historical B_sheet'!H57</f>
        <v>7.89</v>
      </c>
      <c r="I40" s="176">
        <f>H40</f>
        <v>7.89</v>
      </c>
      <c r="J40" s="176">
        <f t="shared" ref="J40:R40" si="33">I40</f>
        <v>7.89</v>
      </c>
      <c r="K40" s="176">
        <f t="shared" si="33"/>
        <v>7.89</v>
      </c>
      <c r="L40" s="176">
        <f t="shared" si="33"/>
        <v>7.89</v>
      </c>
      <c r="M40" s="176">
        <f t="shared" si="33"/>
        <v>7.89</v>
      </c>
      <c r="N40" s="176">
        <f t="shared" si="33"/>
        <v>7.89</v>
      </c>
      <c r="O40" s="176">
        <f t="shared" si="33"/>
        <v>7.89</v>
      </c>
      <c r="P40" s="176">
        <f t="shared" si="33"/>
        <v>7.89</v>
      </c>
      <c r="Q40" s="176">
        <f t="shared" si="33"/>
        <v>7.89</v>
      </c>
      <c r="R40" s="176">
        <f t="shared" si="33"/>
        <v>7.89</v>
      </c>
    </row>
    <row r="41" spans="2:18">
      <c r="B41" s="13" t="s">
        <v>62</v>
      </c>
      <c r="D41" s="227">
        <f>'Historical B_sheet'!D61</f>
        <v>19.41</v>
      </c>
      <c r="E41" s="227">
        <f>'Historical B_sheet'!E61</f>
        <v>14.89</v>
      </c>
      <c r="F41" s="227">
        <f>'Historical B_sheet'!F61</f>
        <v>11.46</v>
      </c>
      <c r="G41" s="227">
        <f>'Historical B_sheet'!G61</f>
        <v>8.2799999999999994</v>
      </c>
      <c r="H41" s="227">
        <f>'Historical B_sheet'!H61</f>
        <v>41.53</v>
      </c>
      <c r="I41" s="176">
        <f>H41</f>
        <v>41.53</v>
      </c>
      <c r="J41" s="176">
        <f t="shared" ref="J41:R41" si="34">I41</f>
        <v>41.53</v>
      </c>
      <c r="K41" s="176">
        <f t="shared" si="34"/>
        <v>41.53</v>
      </c>
      <c r="L41" s="176">
        <f t="shared" si="34"/>
        <v>41.53</v>
      </c>
      <c r="M41" s="176">
        <f t="shared" si="34"/>
        <v>41.53</v>
      </c>
      <c r="N41" s="176">
        <f t="shared" si="34"/>
        <v>41.53</v>
      </c>
      <c r="O41" s="176">
        <f t="shared" si="34"/>
        <v>41.53</v>
      </c>
      <c r="P41" s="176">
        <f t="shared" si="34"/>
        <v>41.53</v>
      </c>
      <c r="Q41" s="176">
        <f t="shared" si="34"/>
        <v>41.53</v>
      </c>
      <c r="R41" s="176">
        <f t="shared" si="34"/>
        <v>41.53</v>
      </c>
    </row>
    <row r="42" spans="2:18">
      <c r="B42" t="s">
        <v>63</v>
      </c>
      <c r="D42" s="227">
        <f>'Historical B_sheet'!D62</f>
        <v>89.91</v>
      </c>
      <c r="E42" s="227">
        <f>'Historical B_sheet'!E62</f>
        <v>103.03</v>
      </c>
      <c r="F42" s="227">
        <f>'Historical B_sheet'!F62</f>
        <v>91.97</v>
      </c>
      <c r="G42" s="227">
        <f>'Historical B_sheet'!G62</f>
        <v>98.43</v>
      </c>
      <c r="H42" s="227">
        <f>'Historical B_sheet'!H62</f>
        <v>95.21</v>
      </c>
      <c r="I42" s="176">
        <f>H42</f>
        <v>95.21</v>
      </c>
      <c r="J42" s="176">
        <f t="shared" ref="J42:R42" si="35">I42</f>
        <v>95.21</v>
      </c>
      <c r="K42" s="176">
        <f t="shared" si="35"/>
        <v>95.21</v>
      </c>
      <c r="L42" s="176">
        <f t="shared" si="35"/>
        <v>95.21</v>
      </c>
      <c r="M42" s="176">
        <f t="shared" si="35"/>
        <v>95.21</v>
      </c>
      <c r="N42" s="176">
        <f t="shared" si="35"/>
        <v>95.21</v>
      </c>
      <c r="O42" s="176">
        <f t="shared" si="35"/>
        <v>95.21</v>
      </c>
      <c r="P42" s="176">
        <f t="shared" si="35"/>
        <v>95.21</v>
      </c>
      <c r="Q42" s="176">
        <f t="shared" si="35"/>
        <v>95.21</v>
      </c>
      <c r="R42" s="176">
        <f t="shared" si="35"/>
        <v>95.21</v>
      </c>
    </row>
    <row r="43" spans="2:18">
      <c r="B43" t="s">
        <v>64</v>
      </c>
      <c r="D43" s="227">
        <f>'Historical B_sheet'!D63</f>
        <v>0</v>
      </c>
      <c r="E43" s="227">
        <f>'Historical B_sheet'!E63</f>
        <v>12.35</v>
      </c>
      <c r="F43" s="227">
        <f>'Historical B_sheet'!F63</f>
        <v>5.28</v>
      </c>
      <c r="G43" s="227">
        <f>'Historical B_sheet'!G63</f>
        <v>58.88</v>
      </c>
      <c r="H43" s="227">
        <f>'Historical B_sheet'!H63</f>
        <v>58.32</v>
      </c>
      <c r="I43" s="176">
        <f>H43</f>
        <v>58.32</v>
      </c>
      <c r="J43" s="176">
        <f t="shared" ref="J43:R43" si="36">I43</f>
        <v>58.32</v>
      </c>
      <c r="K43" s="176">
        <f t="shared" si="36"/>
        <v>58.32</v>
      </c>
      <c r="L43" s="176">
        <f t="shared" si="36"/>
        <v>58.32</v>
      </c>
      <c r="M43" s="176">
        <f t="shared" si="36"/>
        <v>58.32</v>
      </c>
      <c r="N43" s="176">
        <f t="shared" si="36"/>
        <v>58.32</v>
      </c>
      <c r="O43" s="176">
        <f t="shared" si="36"/>
        <v>58.32</v>
      </c>
      <c r="P43" s="176">
        <f t="shared" si="36"/>
        <v>58.32</v>
      </c>
      <c r="Q43" s="176">
        <f t="shared" si="36"/>
        <v>58.32</v>
      </c>
      <c r="R43" s="176">
        <f t="shared" si="36"/>
        <v>58.32</v>
      </c>
    </row>
    <row r="44" spans="2:18">
      <c r="B44" t="s">
        <v>65</v>
      </c>
      <c r="D44" s="227">
        <f>'Historical B_sheet'!D64</f>
        <v>6.32</v>
      </c>
      <c r="E44" s="227">
        <f>'Historical B_sheet'!E64</f>
        <v>6.32</v>
      </c>
      <c r="F44" s="227">
        <f>'Historical B_sheet'!F64</f>
        <v>4.17</v>
      </c>
      <c r="G44" s="227">
        <f>'Historical B_sheet'!G64</f>
        <v>3.49</v>
      </c>
      <c r="H44" s="227">
        <f>'Historical B_sheet'!H64</f>
        <v>2.82</v>
      </c>
      <c r="I44" s="176">
        <f>H44</f>
        <v>2.82</v>
      </c>
      <c r="J44" s="176">
        <f t="shared" ref="J44:R44" si="37">I44</f>
        <v>2.82</v>
      </c>
      <c r="K44" s="176">
        <f t="shared" si="37"/>
        <v>2.82</v>
      </c>
      <c r="L44" s="176">
        <f t="shared" si="37"/>
        <v>2.82</v>
      </c>
      <c r="M44" s="176">
        <f t="shared" si="37"/>
        <v>2.82</v>
      </c>
      <c r="N44" s="176">
        <f t="shared" si="37"/>
        <v>2.82</v>
      </c>
      <c r="O44" s="176">
        <f t="shared" si="37"/>
        <v>2.82</v>
      </c>
      <c r="P44" s="176">
        <f t="shared" si="37"/>
        <v>2.82</v>
      </c>
      <c r="Q44" s="176">
        <f t="shared" si="37"/>
        <v>2.82</v>
      </c>
      <c r="R44" s="176">
        <f t="shared" si="37"/>
        <v>2.82</v>
      </c>
    </row>
    <row r="45" spans="2:18">
      <c r="D45" s="176"/>
      <c r="E45" s="176"/>
      <c r="F45" s="176"/>
      <c r="G45" s="176"/>
      <c r="H45" s="176"/>
      <c r="I45" s="176"/>
      <c r="J45" s="176"/>
      <c r="K45" s="176"/>
      <c r="L45" s="176"/>
      <c r="M45" s="176"/>
      <c r="N45" s="176"/>
      <c r="O45" s="176"/>
      <c r="P45" s="176"/>
      <c r="Q45" s="176"/>
      <c r="R45" s="176"/>
    </row>
    <row r="46" spans="2:18">
      <c r="B46" s="1" t="s">
        <v>67</v>
      </c>
      <c r="D46" s="176"/>
      <c r="E46" s="176"/>
      <c r="F46" s="176"/>
      <c r="G46" s="176"/>
      <c r="H46" s="176"/>
      <c r="I46" s="176"/>
      <c r="J46" s="176"/>
      <c r="K46" s="176"/>
      <c r="L46" s="176"/>
      <c r="M46" s="176"/>
      <c r="N46" s="176"/>
      <c r="O46" s="176"/>
      <c r="P46" s="176"/>
      <c r="Q46" s="176"/>
      <c r="R46" s="176"/>
    </row>
    <row r="47" spans="2:18">
      <c r="B47" t="s">
        <v>59</v>
      </c>
      <c r="D47" s="227">
        <f>'Historical B_sheet'!D69</f>
        <v>421.55</v>
      </c>
      <c r="E47" s="227">
        <f>'Historical B_sheet'!E69</f>
        <v>354.19</v>
      </c>
      <c r="F47" s="227">
        <f>'Historical B_sheet'!F69</f>
        <v>520.1</v>
      </c>
      <c r="G47" s="227">
        <f>'Historical B_sheet'!G69</f>
        <v>646.54</v>
      </c>
      <c r="H47" s="227">
        <f>'Historical B_sheet'!H69</f>
        <v>578.41999999999996</v>
      </c>
      <c r="I47" s="176">
        <f>H47</f>
        <v>578.41999999999996</v>
      </c>
      <c r="J47" s="176">
        <f t="shared" ref="J47:R47" si="38">I47</f>
        <v>578.41999999999996</v>
      </c>
      <c r="K47" s="176">
        <f t="shared" si="38"/>
        <v>578.41999999999996</v>
      </c>
      <c r="L47" s="176">
        <f t="shared" si="38"/>
        <v>578.41999999999996</v>
      </c>
      <c r="M47" s="176">
        <f t="shared" si="38"/>
        <v>578.41999999999996</v>
      </c>
      <c r="N47" s="176">
        <f t="shared" si="38"/>
        <v>578.41999999999996</v>
      </c>
      <c r="O47" s="176">
        <f t="shared" si="38"/>
        <v>578.41999999999996</v>
      </c>
      <c r="P47" s="176">
        <f t="shared" si="38"/>
        <v>578.41999999999996</v>
      </c>
      <c r="Q47" s="176">
        <f t="shared" si="38"/>
        <v>578.41999999999996</v>
      </c>
      <c r="R47" s="176">
        <f t="shared" si="38"/>
        <v>578.41999999999996</v>
      </c>
    </row>
    <row r="48" spans="2:18">
      <c r="B48" s="46" t="s">
        <v>62</v>
      </c>
      <c r="D48" s="227">
        <f>'Historical B_sheet'!D74</f>
        <v>94.52</v>
      </c>
      <c r="E48" s="227">
        <f>'Historical B_sheet'!E74</f>
        <v>103.54</v>
      </c>
      <c r="F48" s="227">
        <f>'Historical B_sheet'!F74</f>
        <v>99.13</v>
      </c>
      <c r="G48" s="227">
        <f>'Historical B_sheet'!G74</f>
        <v>310.05</v>
      </c>
      <c r="H48" s="227">
        <f>'Historical B_sheet'!H74</f>
        <v>364.72</v>
      </c>
      <c r="I48" s="176">
        <f>H48</f>
        <v>364.72</v>
      </c>
      <c r="J48" s="176">
        <f t="shared" ref="J48:R48" si="39">I48</f>
        <v>364.72</v>
      </c>
      <c r="K48" s="176">
        <f t="shared" si="39"/>
        <v>364.72</v>
      </c>
      <c r="L48" s="176">
        <f t="shared" si="39"/>
        <v>364.72</v>
      </c>
      <c r="M48" s="176">
        <f t="shared" si="39"/>
        <v>364.72</v>
      </c>
      <c r="N48" s="176">
        <f t="shared" si="39"/>
        <v>364.72</v>
      </c>
      <c r="O48" s="176">
        <f t="shared" si="39"/>
        <v>364.72</v>
      </c>
      <c r="P48" s="176">
        <f t="shared" si="39"/>
        <v>364.72</v>
      </c>
      <c r="Q48" s="176">
        <f t="shared" si="39"/>
        <v>364.72</v>
      </c>
      <c r="R48" s="176">
        <f t="shared" si="39"/>
        <v>364.72</v>
      </c>
    </row>
    <row r="49" spans="2:18">
      <c r="B49" t="s">
        <v>63</v>
      </c>
      <c r="D49" s="227">
        <f>'Historical B_sheet'!D75</f>
        <v>119.55</v>
      </c>
      <c r="E49" s="227">
        <f>'Historical B_sheet'!E75</f>
        <v>158.85</v>
      </c>
      <c r="F49" s="227">
        <f>'Historical B_sheet'!F75</f>
        <v>166</v>
      </c>
      <c r="G49" s="227">
        <f>'Historical B_sheet'!G75</f>
        <v>211.07</v>
      </c>
      <c r="H49" s="227">
        <f>'Historical B_sheet'!H75</f>
        <v>239.81</v>
      </c>
      <c r="I49" s="176">
        <f>H49</f>
        <v>239.81</v>
      </c>
      <c r="J49" s="176">
        <f t="shared" ref="J49:R49" si="40">I49</f>
        <v>239.81</v>
      </c>
      <c r="K49" s="176">
        <f t="shared" si="40"/>
        <v>239.81</v>
      </c>
      <c r="L49" s="176">
        <f t="shared" si="40"/>
        <v>239.81</v>
      </c>
      <c r="M49" s="176">
        <f t="shared" si="40"/>
        <v>239.81</v>
      </c>
      <c r="N49" s="176">
        <f t="shared" si="40"/>
        <v>239.81</v>
      </c>
      <c r="O49" s="176">
        <f t="shared" si="40"/>
        <v>239.81</v>
      </c>
      <c r="P49" s="176">
        <f t="shared" si="40"/>
        <v>239.81</v>
      </c>
      <c r="Q49" s="176">
        <f t="shared" si="40"/>
        <v>239.81</v>
      </c>
      <c r="R49" s="176">
        <f t="shared" si="40"/>
        <v>239.81</v>
      </c>
    </row>
    <row r="50" spans="2:18">
      <c r="B50" t="s">
        <v>69</v>
      </c>
      <c r="D50" s="227">
        <f>'Historical B_sheet'!D76</f>
        <v>75.95</v>
      </c>
      <c r="E50" s="227">
        <f>'Historical B_sheet'!E76</f>
        <v>60.29</v>
      </c>
      <c r="F50" s="227">
        <f>'Historical B_sheet'!F76</f>
        <v>47.65</v>
      </c>
      <c r="G50" s="227">
        <f>'Historical B_sheet'!G76</f>
        <v>55.67</v>
      </c>
      <c r="H50" s="227">
        <f>'Historical B_sheet'!H76</f>
        <v>116.81</v>
      </c>
      <c r="I50" s="176">
        <f>H50</f>
        <v>116.81</v>
      </c>
      <c r="J50" s="176">
        <f t="shared" ref="J50:R50" si="41">I50</f>
        <v>116.81</v>
      </c>
      <c r="K50" s="176">
        <f t="shared" si="41"/>
        <v>116.81</v>
      </c>
      <c r="L50" s="176">
        <f t="shared" si="41"/>
        <v>116.81</v>
      </c>
      <c r="M50" s="176">
        <f t="shared" si="41"/>
        <v>116.81</v>
      </c>
      <c r="N50" s="176">
        <f t="shared" si="41"/>
        <v>116.81</v>
      </c>
      <c r="O50" s="176">
        <f t="shared" si="41"/>
        <v>116.81</v>
      </c>
      <c r="P50" s="176">
        <f t="shared" si="41"/>
        <v>116.81</v>
      </c>
      <c r="Q50" s="176">
        <f t="shared" si="41"/>
        <v>116.81</v>
      </c>
      <c r="R50" s="176">
        <f t="shared" si="41"/>
        <v>116.81</v>
      </c>
    </row>
    <row r="51" spans="2:18">
      <c r="B51" t="s">
        <v>70</v>
      </c>
      <c r="D51" s="227">
        <f>'Historical B_sheet'!D77</f>
        <v>73.040000000000006</v>
      </c>
      <c r="E51" s="227">
        <f>'Historical B_sheet'!E77</f>
        <v>88.84</v>
      </c>
      <c r="F51" s="227">
        <f>'Historical B_sheet'!F77</f>
        <v>169.99</v>
      </c>
      <c r="G51" s="227">
        <f>'Historical B_sheet'!G77</f>
        <v>262.95999999999998</v>
      </c>
      <c r="H51" s="227">
        <f>'Historical B_sheet'!H77</f>
        <v>321.41000000000003</v>
      </c>
      <c r="I51" s="176">
        <f>H51</f>
        <v>321.41000000000003</v>
      </c>
      <c r="J51" s="176">
        <f t="shared" ref="J51:R51" si="42">I51</f>
        <v>321.41000000000003</v>
      </c>
      <c r="K51" s="176">
        <f t="shared" si="42"/>
        <v>321.41000000000003</v>
      </c>
      <c r="L51" s="176">
        <f t="shared" si="42"/>
        <v>321.41000000000003</v>
      </c>
      <c r="M51" s="176">
        <f t="shared" si="42"/>
        <v>321.41000000000003</v>
      </c>
      <c r="N51" s="176">
        <f t="shared" si="42"/>
        <v>321.41000000000003</v>
      </c>
      <c r="O51" s="176">
        <f t="shared" si="42"/>
        <v>321.41000000000003</v>
      </c>
      <c r="P51" s="176">
        <f t="shared" si="42"/>
        <v>321.41000000000003</v>
      </c>
      <c r="Q51" s="176">
        <f t="shared" si="42"/>
        <v>321.41000000000003</v>
      </c>
      <c r="R51" s="176">
        <f t="shared" si="42"/>
        <v>321.41000000000003</v>
      </c>
    </row>
    <row r="52" spans="2:18">
      <c r="D52" s="30"/>
      <c r="E52" s="30"/>
      <c r="F52" s="30"/>
      <c r="G52" s="30"/>
      <c r="H52" s="30"/>
      <c r="I52" s="15"/>
      <c r="J52" s="15"/>
      <c r="K52" s="15"/>
      <c r="L52" s="15"/>
      <c r="M52" s="15"/>
      <c r="N52" s="15"/>
      <c r="O52" s="15"/>
      <c r="P52" s="15"/>
      <c r="Q52" s="15"/>
      <c r="R52" s="15"/>
    </row>
    <row r="53" spans="2:18">
      <c r="B53" s="129"/>
      <c r="C53" s="129"/>
      <c r="D53" s="280"/>
      <c r="E53" s="280"/>
      <c r="F53" s="280"/>
      <c r="G53" s="280"/>
      <c r="H53" s="280"/>
      <c r="I53" s="280"/>
      <c r="J53" s="280"/>
      <c r="K53" s="280"/>
      <c r="L53" s="280"/>
      <c r="M53" s="280"/>
      <c r="N53" s="280"/>
      <c r="O53" s="280"/>
      <c r="P53" s="280"/>
      <c r="Q53" s="280"/>
      <c r="R53" s="280"/>
    </row>
    <row r="54" spans="2:18">
      <c r="D54" s="15"/>
      <c r="E54" s="15"/>
      <c r="F54" s="15"/>
      <c r="G54" s="15"/>
      <c r="H54" s="15"/>
      <c r="I54" s="15"/>
      <c r="J54" s="15"/>
      <c r="K54" s="15"/>
      <c r="L54" s="15"/>
      <c r="M54" s="15"/>
      <c r="N54" s="15"/>
      <c r="O54" s="15"/>
      <c r="P54" s="15"/>
      <c r="Q54" s="15"/>
      <c r="R54" s="15"/>
    </row>
    <row r="55" spans="2:18">
      <c r="D55" s="15"/>
      <c r="E55" s="15"/>
      <c r="F55" s="15"/>
      <c r="G55" s="15"/>
      <c r="H55" s="15"/>
      <c r="I55" s="15"/>
      <c r="J55" s="15"/>
      <c r="K55" s="15"/>
      <c r="L55" s="15"/>
      <c r="M55" s="15"/>
      <c r="N55" s="15"/>
      <c r="O55" s="15"/>
      <c r="P55" s="15"/>
      <c r="Q55" s="15"/>
      <c r="R55" s="15"/>
    </row>
    <row r="56" spans="2:18">
      <c r="D56" s="15"/>
      <c r="E56" s="15"/>
      <c r="F56" s="15"/>
      <c r="G56" s="15"/>
      <c r="H56" s="15"/>
      <c r="I56" s="15"/>
      <c r="J56" s="15"/>
      <c r="K56" s="15"/>
      <c r="L56" s="15"/>
      <c r="M56" s="15"/>
      <c r="N56" s="15"/>
      <c r="O56" s="15"/>
      <c r="P56" s="15"/>
      <c r="Q56" s="15"/>
      <c r="R56" s="15"/>
    </row>
    <row r="57" spans="2:18">
      <c r="D57" s="15"/>
      <c r="E57" s="15"/>
      <c r="F57" s="15"/>
      <c r="G57" s="15"/>
      <c r="H57" s="15"/>
      <c r="I57" s="15"/>
      <c r="J57" s="15"/>
      <c r="K57" s="15"/>
      <c r="L57" s="15"/>
      <c r="M57" s="15"/>
      <c r="N57" s="15"/>
      <c r="O57" s="15"/>
      <c r="P57" s="15"/>
      <c r="Q57" s="15"/>
      <c r="R57" s="15"/>
    </row>
    <row r="58" spans="2:18">
      <c r="D58" s="15"/>
      <c r="E58" s="15"/>
      <c r="F58" s="15"/>
      <c r="G58" s="15"/>
      <c r="H58" s="15"/>
      <c r="I58" s="15"/>
      <c r="J58" s="15"/>
      <c r="K58" s="15"/>
      <c r="L58" s="15"/>
      <c r="M58" s="15"/>
      <c r="N58" s="15"/>
      <c r="O58" s="15"/>
      <c r="P58" s="15"/>
      <c r="Q58" s="15"/>
      <c r="R58" s="15"/>
    </row>
    <row r="59" spans="2:18">
      <c r="D59" s="15"/>
      <c r="E59" s="15"/>
      <c r="F59" s="15"/>
      <c r="G59" s="15"/>
      <c r="H59" s="15"/>
      <c r="I59" s="15"/>
      <c r="J59" s="15"/>
      <c r="K59" s="15"/>
      <c r="L59" s="15"/>
      <c r="M59" s="15"/>
      <c r="N59" s="15"/>
      <c r="O59" s="15"/>
      <c r="P59" s="15"/>
      <c r="Q59" s="15"/>
      <c r="R59" s="15"/>
    </row>
    <row r="60" spans="2:18">
      <c r="D60" s="15"/>
      <c r="E60" s="15"/>
      <c r="F60" s="15"/>
      <c r="G60" s="15"/>
      <c r="H60" s="15"/>
      <c r="I60" s="15"/>
      <c r="J60" s="15"/>
      <c r="K60" s="15"/>
      <c r="L60" s="15"/>
      <c r="M60" s="15"/>
      <c r="N60" s="15"/>
      <c r="O60" s="15"/>
      <c r="P60" s="15"/>
      <c r="Q60" s="15"/>
      <c r="R60" s="15"/>
    </row>
    <row r="61" spans="2:18">
      <c r="D61" s="15"/>
      <c r="E61" s="15"/>
      <c r="F61" s="15"/>
      <c r="G61" s="15"/>
      <c r="H61" s="15"/>
      <c r="I61" s="15"/>
      <c r="J61" s="15"/>
      <c r="K61" s="15"/>
      <c r="L61" s="15"/>
      <c r="M61" s="15"/>
      <c r="N61" s="15"/>
      <c r="O61" s="15"/>
      <c r="P61" s="15"/>
      <c r="Q61" s="15"/>
      <c r="R61" s="15"/>
    </row>
    <row r="62" spans="2:18">
      <c r="D62" s="15"/>
      <c r="E62" s="15"/>
      <c r="F62" s="15"/>
      <c r="G62" s="15"/>
      <c r="H62" s="15"/>
      <c r="I62" s="15"/>
      <c r="J62" s="15"/>
      <c r="K62" s="15"/>
      <c r="L62" s="15"/>
      <c r="M62" s="15"/>
      <c r="N62" s="15"/>
      <c r="O62" s="15"/>
      <c r="P62" s="15"/>
      <c r="Q62" s="15"/>
      <c r="R62" s="15"/>
    </row>
    <row r="63" spans="2:18">
      <c r="D63" s="15"/>
      <c r="E63" s="15"/>
      <c r="F63" s="15"/>
      <c r="G63" s="15"/>
      <c r="H63" s="15"/>
      <c r="I63" s="15"/>
      <c r="J63" s="15"/>
      <c r="K63" s="15"/>
      <c r="L63" s="15"/>
      <c r="M63" s="15"/>
      <c r="N63" s="15"/>
      <c r="O63" s="15"/>
      <c r="P63" s="15"/>
      <c r="Q63" s="15"/>
      <c r="R63" s="1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0:H107"/>
  <sheetViews>
    <sheetView showGridLines="0" topLeftCell="A85" workbookViewId="0">
      <selection activeCell="B107" sqref="B107:H107"/>
    </sheetView>
  </sheetViews>
  <sheetFormatPr defaultRowHeight="15"/>
  <cols>
    <col min="1" max="1" width="1.85546875" customWidth="1"/>
    <col min="2" max="2" width="86.5703125" bestFit="1" customWidth="1"/>
  </cols>
  <sheetData>
    <row r="10" spans="2:8">
      <c r="B10" s="11" t="s">
        <v>13</v>
      </c>
      <c r="C10" s="11"/>
      <c r="D10" s="11">
        <v>2021</v>
      </c>
      <c r="E10" s="11">
        <f>D10+1</f>
        <v>2022</v>
      </c>
      <c r="F10" s="11">
        <f t="shared" ref="F10:H10" si="0">E10+1</f>
        <v>2023</v>
      </c>
      <c r="G10" s="11">
        <f t="shared" si="0"/>
        <v>2024</v>
      </c>
      <c r="H10" s="11">
        <f t="shared" si="0"/>
        <v>2025</v>
      </c>
    </row>
    <row r="11" spans="2:8">
      <c r="B11" s="54" t="s">
        <v>434</v>
      </c>
    </row>
    <row r="12" spans="2:8">
      <c r="B12" s="1" t="s">
        <v>0</v>
      </c>
      <c r="C12" s="1"/>
      <c r="D12" s="157">
        <f>'Historical P&amp;L'!D12/'Historical P&amp;L'!D$12</f>
        <v>1</v>
      </c>
      <c r="E12" s="157">
        <f>'Historical P&amp;L'!E12/'Historical P&amp;L'!E$12</f>
        <v>1</v>
      </c>
      <c r="F12" s="157">
        <f>'Historical P&amp;L'!F12/'Historical P&amp;L'!F$12</f>
        <v>1</v>
      </c>
      <c r="G12" s="157">
        <f>'Historical P&amp;L'!G12/'Historical P&amp;L'!G$12</f>
        <v>1</v>
      </c>
      <c r="H12" s="157">
        <f>'Historical P&amp;L'!H12/'Historical P&amp;L'!H$12</f>
        <v>1</v>
      </c>
    </row>
    <row r="13" spans="2:8">
      <c r="B13" t="s">
        <v>2</v>
      </c>
      <c r="C13" s="169"/>
      <c r="D13" s="270">
        <f>'Historical P&amp;L'!D13/'Historical P&amp;L'!D$12</f>
        <v>2.4995433959167687E-2</v>
      </c>
      <c r="E13" s="270">
        <f>'Historical P&amp;L'!E13/'Historical P&amp;L'!E$12</f>
        <v>2.3844122781037123E-2</v>
      </c>
      <c r="F13" s="270">
        <f>'Historical P&amp;L'!F13/'Historical P&amp;L'!F$12</f>
        <v>1.7733875017502263E-2</v>
      </c>
      <c r="G13" s="270">
        <f>'Historical P&amp;L'!G13/'Historical P&amp;L'!G$12</f>
        <v>2.0291301884993524E-2</v>
      </c>
      <c r="H13" s="270">
        <f>'Historical P&amp;L'!H13/'Historical P&amp;L'!H$12</f>
        <v>2.10513476145461E-2</v>
      </c>
    </row>
    <row r="14" spans="2:8" ht="6.75" customHeight="1">
      <c r="B14" s="4"/>
      <c r="D14" s="144"/>
      <c r="E14" s="144"/>
      <c r="F14" s="144"/>
      <c r="G14" s="144"/>
      <c r="H14" s="144"/>
    </row>
    <row r="15" spans="2:8">
      <c r="B15" s="1" t="s">
        <v>4</v>
      </c>
      <c r="D15" s="144"/>
      <c r="E15" s="144"/>
      <c r="F15" s="144"/>
      <c r="G15" s="144"/>
      <c r="H15" s="144"/>
    </row>
    <row r="16" spans="2:8">
      <c r="B16" t="s">
        <v>5</v>
      </c>
      <c r="D16" s="144">
        <f>'Historical P&amp;L'!D16/'Historical P&amp;L'!D$12</f>
        <v>0.45487031120546129</v>
      </c>
      <c r="E16" s="144">
        <f>'Historical P&amp;L'!E16/'Historical P&amp;L'!E$12</f>
        <v>0.50818393209359192</v>
      </c>
      <c r="F16" s="144">
        <f>'Historical P&amp;L'!F16/'Historical P&amp;L'!F$12</f>
        <v>0.50620659306415461</v>
      </c>
      <c r="G16" s="144">
        <f>'Historical P&amp;L'!G16/'Historical P&amp;L'!G$12</f>
        <v>0.543045105402441</v>
      </c>
      <c r="H16" s="144">
        <f>'Historical P&amp;L'!H16/'Historical P&amp;L'!H$12</f>
        <v>0.52722187222430195</v>
      </c>
    </row>
    <row r="17" spans="2:8">
      <c r="B17" t="s">
        <v>6</v>
      </c>
      <c r="D17" s="144">
        <f>'Historical P&amp;L'!D17/'Historical P&amp;L'!D$12</f>
        <v>0.24646826667796046</v>
      </c>
      <c r="E17" s="144">
        <f>'Historical P&amp;L'!E17/'Historical P&amp;L'!E$12</f>
        <v>0.25745325762970339</v>
      </c>
      <c r="F17" s="144">
        <f>'Historical P&amp;L'!F17/'Historical P&amp;L'!F$12</f>
        <v>0.24174498382422147</v>
      </c>
      <c r="G17" s="144">
        <f>'Historical P&amp;L'!G17/'Historical P&amp;L'!G$12</f>
        <v>0.27459917748359336</v>
      </c>
      <c r="H17" s="144">
        <f>'Historical P&amp;L'!H17/'Historical P&amp;L'!H$12</f>
        <v>0.2606257530271936</v>
      </c>
    </row>
    <row r="18" spans="2:8">
      <c r="B18" t="s">
        <v>7</v>
      </c>
      <c r="D18" s="144">
        <f>'Historical P&amp;L'!D18/'Historical P&amp;L'!D$12</f>
        <v>3.6965078390318408E-2</v>
      </c>
      <c r="E18" s="144">
        <f>'Historical P&amp;L'!E18/'Historical P&amp;L'!E$12</f>
        <v>-2.2465325258839618E-2</v>
      </c>
      <c r="F18" s="144">
        <f>'Historical P&amp;L'!F18/'Historical P&amp;L'!F$12</f>
        <v>2.8799518253415968E-2</v>
      </c>
      <c r="G18" s="144">
        <f>'Historical P&amp;L'!G18/'Historical P&amp;L'!G$12</f>
        <v>-3.133910894857149E-2</v>
      </c>
      <c r="H18" s="144">
        <f>'Historical P&amp;L'!H18/'Historical P&amp;L'!H$12</f>
        <v>-1.1843410570052533E-2</v>
      </c>
    </row>
    <row r="19" spans="2:8">
      <c r="B19" t="s">
        <v>8</v>
      </c>
      <c r="D19" s="144">
        <f>'Historical P&amp;L'!D19/'Historical P&amp;L'!D$12</f>
        <v>7.9631752115598919E-2</v>
      </c>
      <c r="E19" s="144">
        <f>'Historical P&amp;L'!E19/'Historical P&amp;L'!E$12</f>
        <v>7.7840303990824825E-2</v>
      </c>
      <c r="F19" s="144">
        <f>'Historical P&amp;L'!F19/'Historical P&amp;L'!F$12</f>
        <v>7.0241726034002291E-2</v>
      </c>
      <c r="G19" s="144">
        <f>'Historical P&amp;L'!G19/'Historical P&amp;L'!G$12</f>
        <v>6.2394591550017989E-2</v>
      </c>
      <c r="H19" s="144">
        <f>'Historical P&amp;L'!H19/'Historical P&amp;L'!H$12</f>
        <v>5.7748791750228221E-2</v>
      </c>
    </row>
    <row r="20" spans="2:8">
      <c r="B20" t="s">
        <v>9</v>
      </c>
      <c r="D20" s="144">
        <f>'Historical P&amp;L'!D20/'Historical P&amp;L'!D$12</f>
        <v>3.4609266018862379E-3</v>
      </c>
      <c r="E20" s="144">
        <f>'Historical P&amp;L'!E20/'Historical P&amp;L'!E$12</f>
        <v>3.2604654386882521E-3</v>
      </c>
      <c r="F20" s="144">
        <f>'Historical P&amp;L'!F20/'Historical P&amp;L'!F$12</f>
        <v>3.1151401707800062E-3</v>
      </c>
      <c r="G20" s="144">
        <f>'Historical P&amp;L'!G20/'Historical P&amp;L'!G$12</f>
        <v>4.4771300218488441E-3</v>
      </c>
      <c r="H20" s="144">
        <f>'Historical P&amp;L'!H20/'Historical P&amp;L'!H$12</f>
        <v>4.029770080562961E-3</v>
      </c>
    </row>
    <row r="21" spans="2:8">
      <c r="B21" t="s">
        <v>10</v>
      </c>
      <c r="D21" s="144">
        <f>'Historical P&amp;L'!D21/'Historical P&amp;L'!D$12</f>
        <v>4.4853079364407114E-3</v>
      </c>
      <c r="E21" s="144">
        <f>'Historical P&amp;L'!E21/'Historical P&amp;L'!E$12</f>
        <v>4.6959776670090552E-3</v>
      </c>
      <c r="F21" s="144">
        <f>'Historical P&amp;L'!F21/'Historical P&amp;L'!F$12</f>
        <v>4.1710663591180749E-3</v>
      </c>
      <c r="G21" s="144">
        <f>'Historical P&amp;L'!G21/'Historical P&amp;L'!G$12</f>
        <v>3.8129315987792856E-3</v>
      </c>
      <c r="H21" s="144">
        <f>'Historical P&amp;L'!H21/'Historical P&amp;L'!H$12</f>
        <v>4.0083592912120384E-3</v>
      </c>
    </row>
    <row r="22" spans="2:8">
      <c r="B22" t="s">
        <v>11</v>
      </c>
      <c r="C22" s="169"/>
      <c r="D22" s="270">
        <f>'Historical P&amp;L'!D22/'Historical P&amp;L'!D$12</f>
        <v>9.7181230792849974E-2</v>
      </c>
      <c r="E22" s="270">
        <f>'Historical P&amp;L'!E22/'Historical P&amp;L'!E$12</f>
        <v>9.3090258303978227E-2</v>
      </c>
      <c r="F22" s="270">
        <f>'Historical P&amp;L'!F22/'Historical P&amp;L'!F$12</f>
        <v>9.274990340854658E-2</v>
      </c>
      <c r="G22" s="270">
        <f>'Historical P&amp;L'!G22/'Historical P&amp;L'!G$12</f>
        <v>0.1132734726841388</v>
      </c>
      <c r="H22" s="270">
        <f>'Historical P&amp;L'!H22/'Historical P&amp;L'!H$12</f>
        <v>9.3827918241927641E-2</v>
      </c>
    </row>
    <row r="23" spans="2:8">
      <c r="B23" s="4" t="s">
        <v>12</v>
      </c>
      <c r="D23" s="144">
        <f>'Historical P&amp;L'!D23/'Historical P&amp;L'!D$12</f>
        <v>0.92306287372051599</v>
      </c>
      <c r="E23" s="144">
        <f>'Historical P&amp;L'!E23/'Historical P&amp;L'!E$12</f>
        <v>0.922058869864956</v>
      </c>
      <c r="F23" s="144">
        <f>'Historical P&amp;L'!F23/'Historical P&amp;L'!F$12</f>
        <v>0.94702893111423903</v>
      </c>
      <c r="G23" s="144">
        <f>'Historical P&amp;L'!G23/'Historical P&amp;L'!G$12</f>
        <v>0.97026329979224757</v>
      </c>
      <c r="H23" s="144">
        <f>'Historical P&amp;L'!H23/'Historical P&amp;L'!H$12</f>
        <v>0.93561905404537393</v>
      </c>
    </row>
    <row r="24" spans="2:8">
      <c r="B24" s="6"/>
      <c r="D24" s="144"/>
      <c r="E24" s="144"/>
      <c r="F24" s="144"/>
      <c r="G24" s="144"/>
      <c r="H24" s="144"/>
    </row>
    <row r="25" spans="2:8">
      <c r="B25" s="4" t="s">
        <v>20</v>
      </c>
      <c r="C25" s="4"/>
      <c r="D25" s="165">
        <f>'Historical P&amp;L'!D25/'Historical P&amp;L'!D$12</f>
        <v>0.10193256023865166</v>
      </c>
      <c r="E25" s="165">
        <f>'Historical P&amp;L'!E25/'Historical P&amp;L'!E$12</f>
        <v>0.10178525291608111</v>
      </c>
      <c r="F25" s="165">
        <f>'Historical P&amp;L'!F25/'Historical P&amp;L'!F$12</f>
        <v>7.0704943903263318E-2</v>
      </c>
      <c r="G25" s="165">
        <f>'Historical P&amp;L'!G25/'Historical P&amp;L'!G$12</f>
        <v>5.0028002092745952E-2</v>
      </c>
      <c r="H25" s="165">
        <f>'Historical P&amp;L'!H25/'Historical P&amp;L'!H$12</f>
        <v>8.5432293569172091E-2</v>
      </c>
    </row>
    <row r="26" spans="2:8">
      <c r="B26" t="s">
        <v>19</v>
      </c>
      <c r="D26" s="144">
        <f>'Historical P&amp;L'!D26/'Historical P&amp;L'!D$12</f>
        <v>-8.0693191172850447E-3</v>
      </c>
      <c r="E26" s="144">
        <f>'Historical P&amp;L'!E26/'Historical P&amp;L'!E$12</f>
        <v>-1.3902664961024394E-2</v>
      </c>
      <c r="F26" s="144">
        <f>'Historical P&amp;L'!F26/'Historical P&amp;L'!F$12</f>
        <v>-1.2701644528712665E-2</v>
      </c>
      <c r="G26" s="144">
        <f>'Historical P&amp;L'!G26/'Historical P&amp;L'!G$12</f>
        <v>-1.1105493778247464E-2</v>
      </c>
      <c r="H26" s="144">
        <f>'Historical P&amp;L'!H26/'Historical P&amp;L'!H$12</f>
        <v>-8.1750286612611994E-3</v>
      </c>
    </row>
    <row r="27" spans="2:8">
      <c r="B27" s="4" t="s">
        <v>15</v>
      </c>
      <c r="C27" s="5"/>
      <c r="D27" s="271">
        <f>'Historical P&amp;L'!D27/'Historical P&amp;L'!D$12</f>
        <v>9.3863241121366611E-2</v>
      </c>
      <c r="E27" s="271">
        <f>'Historical P&amp;L'!E27/'Historical P&amp;L'!E$12</f>
        <v>8.7882587955056712E-2</v>
      </c>
      <c r="F27" s="271">
        <f>'Historical P&amp;L'!F27/'Historical P&amp;L'!F$12</f>
        <v>5.8003299374550663E-2</v>
      </c>
      <c r="G27" s="271">
        <f>'Historical P&amp;L'!G27/'Historical P&amp;L'!G$12</f>
        <v>3.8922508314498491E-2</v>
      </c>
      <c r="H27" s="271">
        <f>'Historical P&amp;L'!H27/'Historical P&amp;L'!H$12</f>
        <v>7.7257264907910891E-2</v>
      </c>
    </row>
    <row r="28" spans="2:8">
      <c r="B28" t="s">
        <v>14</v>
      </c>
      <c r="D28" s="144">
        <f>'Historical P&amp;L'!D28/'Historical P&amp;L'!D$12</f>
        <v>0</v>
      </c>
      <c r="E28" s="144">
        <f>'Historical P&amp;L'!E28/'Historical P&amp;L'!E$12</f>
        <v>0</v>
      </c>
      <c r="F28" s="144">
        <f>'Historical P&amp;L'!F28/'Historical P&amp;L'!F$12</f>
        <v>-2.56685865643657E-2</v>
      </c>
      <c r="G28" s="144">
        <f>'Historical P&amp;L'!G28/'Historical P&amp;L'!G$12</f>
        <v>0</v>
      </c>
      <c r="H28" s="144">
        <f>'Historical P&amp;L'!H28/'Historical P&amp;L'!H$12</f>
        <v>0</v>
      </c>
    </row>
    <row r="29" spans="2:8">
      <c r="B29" s="4" t="s">
        <v>78</v>
      </c>
      <c r="C29" s="4"/>
      <c r="D29" s="165">
        <f>'Historical P&amp;L'!D29/'Historical P&amp;L'!D$12</f>
        <v>9.3863241121366611E-2</v>
      </c>
      <c r="E29" s="165">
        <f>'Historical P&amp;L'!E29/'Historical P&amp;L'!E$12</f>
        <v>8.7882587955056712E-2</v>
      </c>
      <c r="F29" s="165">
        <f>'Historical P&amp;L'!F29/'Historical P&amp;L'!F$12</f>
        <v>3.2334712810184962E-2</v>
      </c>
      <c r="G29" s="165">
        <f>'Historical P&amp;L'!G29/'Historical P&amp;L'!G$12</f>
        <v>3.8922508314498491E-2</v>
      </c>
      <c r="H29" s="165">
        <f>'Historical P&amp;L'!H29/'Historical P&amp;L'!H$12</f>
        <v>7.7257264907910891E-2</v>
      </c>
    </row>
    <row r="30" spans="2:8">
      <c r="B30" t="s">
        <v>17</v>
      </c>
      <c r="D30" s="144">
        <f>-'Historical P&amp;L'!D30/'Historical P&amp;L'!D$12</f>
        <v>2.3878408317870557E-2</v>
      </c>
      <c r="E30" s="144">
        <f>-'Historical P&amp;L'!E30/'Historical P&amp;L'!E$12</f>
        <v>2.4110051736415256E-2</v>
      </c>
      <c r="F30" s="144">
        <f>-'Historical P&amp;L'!F30/'Historical P&amp;L'!F$12</f>
        <v>1.7993908685019218E-2</v>
      </c>
      <c r="G30" s="144">
        <f>-'Historical P&amp;L'!G30/'Historical P&amp;L'!G$12</f>
        <v>1.9043826680265778E-2</v>
      </c>
      <c r="H30" s="144">
        <f>-'Historical P&amp;L'!H30/'Historical P&amp;L'!H$12</f>
        <v>2.3128194181585553E-2</v>
      </c>
    </row>
    <row r="31" spans="2:8" ht="15.75" thickBot="1">
      <c r="B31" s="8" t="s">
        <v>18</v>
      </c>
      <c r="C31" s="8"/>
      <c r="D31" s="272">
        <f>'Historical P&amp;L'!D31/'Historical P&amp;L'!D$12</f>
        <v>6.9984832803496058E-2</v>
      </c>
      <c r="E31" s="272">
        <f>'Historical P&amp;L'!E31/'Historical P&amp;L'!E$12</f>
        <v>6.3772536218641457E-2</v>
      </c>
      <c r="F31" s="272">
        <f>'Historical P&amp;L'!F31/'Historical P&amp;L'!F$12</f>
        <v>1.4340804125165744E-2</v>
      </c>
      <c r="G31" s="272">
        <f>'Historical P&amp;L'!G31/'Historical P&amp;L'!G$12</f>
        <v>1.9878681634232714E-2</v>
      </c>
      <c r="H31" s="272">
        <f>'Historical P&amp;L'!H31/'Historical P&amp;L'!H$12</f>
        <v>5.4129070726325342E-2</v>
      </c>
    </row>
    <row r="34" spans="2:8">
      <c r="B34" s="1" t="s">
        <v>22</v>
      </c>
    </row>
    <row r="35" spans="2:8">
      <c r="B35" s="1" t="s">
        <v>23</v>
      </c>
    </row>
    <row r="36" spans="2:8">
      <c r="B36" s="1" t="s">
        <v>24</v>
      </c>
    </row>
    <row r="37" spans="2:8">
      <c r="B37" t="s">
        <v>25</v>
      </c>
      <c r="D37" s="144">
        <f>'Historical B_sheet'!D14/'Historical B_sheet'!D$45</f>
        <v>2.7539778267640848E-2</v>
      </c>
      <c r="E37" s="144">
        <f>'Historical B_sheet'!E14/'Historical B_sheet'!E$45</f>
        <v>2.3644797580217373E-2</v>
      </c>
      <c r="F37" s="144">
        <f>'Historical B_sheet'!F14/'Historical B_sheet'!F$45</f>
        <v>3.5126923701796188E-2</v>
      </c>
      <c r="G37" s="144">
        <f>'Historical B_sheet'!G14/'Historical B_sheet'!G$45</f>
        <v>3.2417670068761978E-2</v>
      </c>
      <c r="H37" s="144">
        <f>'Historical B_sheet'!H14/'Historical B_sheet'!H$45</f>
        <v>6.2334150951716925E-2</v>
      </c>
    </row>
    <row r="38" spans="2:8">
      <c r="B38" t="s">
        <v>26</v>
      </c>
      <c r="D38" s="144">
        <f>'Historical B_sheet'!D15/'Historical B_sheet'!D$45</f>
        <v>1.0178522739351255E-3</v>
      </c>
      <c r="E38" s="144">
        <f>'Historical B_sheet'!E15/'Historical B_sheet'!E$45</f>
        <v>6.0833154633590288E-3</v>
      </c>
      <c r="F38" s="144">
        <f>'Historical B_sheet'!F15/'Historical B_sheet'!F$45</f>
        <v>9.5583134951712292E-3</v>
      </c>
      <c r="G38" s="144">
        <f>'Historical B_sheet'!G15/'Historical B_sheet'!G$45</f>
        <v>3.0534940992312874E-2</v>
      </c>
      <c r="H38" s="144">
        <f>'Historical B_sheet'!H15/'Historical B_sheet'!H$45</f>
        <v>6.2613955879020858E-3</v>
      </c>
    </row>
    <row r="39" spans="2:8">
      <c r="B39" t="s">
        <v>27</v>
      </c>
      <c r="D39" s="144">
        <f>'Historical B_sheet'!D16/'Historical B_sheet'!D$45</f>
        <v>6.4178994117021814E-3</v>
      </c>
      <c r="E39" s="144">
        <f>'Historical B_sheet'!E16/'Historical B_sheet'!E$45</f>
        <v>5.4707772053685846E-3</v>
      </c>
      <c r="F39" s="144">
        <f>'Historical B_sheet'!F16/'Historical B_sheet'!F$45</f>
        <v>4.8068831531441264E-3</v>
      </c>
      <c r="G39" s="144">
        <f>'Historical B_sheet'!G16/'Historical B_sheet'!G$45</f>
        <v>3.7330546074518176E-3</v>
      </c>
      <c r="H39" s="144">
        <f>'Historical B_sheet'!H16/'Historical B_sheet'!H$45</f>
        <v>3.3409316591671845E-3</v>
      </c>
    </row>
    <row r="40" spans="2:8">
      <c r="B40" t="s">
        <v>28</v>
      </c>
      <c r="D40" s="144">
        <f>'Historical B_sheet'!D17/'Historical B_sheet'!D$45</f>
        <v>8.3542449407774041E-3</v>
      </c>
      <c r="E40" s="144">
        <f>'Historical B_sheet'!E17/'Historical B_sheet'!E$45</f>
        <v>7.4192029204839154E-3</v>
      </c>
      <c r="F40" s="144">
        <f>'Historical B_sheet'!F17/'Historical B_sheet'!F$45</f>
        <v>7.0347241611789478E-3</v>
      </c>
      <c r="G40" s="144">
        <f>'Historical B_sheet'!G17/'Historical B_sheet'!G$45</f>
        <v>6.0079496698161794E-3</v>
      </c>
      <c r="H40" s="144">
        <f>'Historical B_sheet'!H17/'Historical B_sheet'!H$45</f>
        <v>5.4980147536271996E-3</v>
      </c>
    </row>
    <row r="41" spans="2:8">
      <c r="B41" t="s">
        <v>29</v>
      </c>
      <c r="D41" s="144">
        <f>'Historical B_sheet'!D18/'Historical B_sheet'!D$45</f>
        <v>1.5354434416115571E-3</v>
      </c>
      <c r="E41" s="144">
        <f>'Historical B_sheet'!E18/'Historical B_sheet'!E$45</f>
        <v>2.0961736366406636E-3</v>
      </c>
      <c r="F41" s="144">
        <f>'Historical B_sheet'!F18/'Historical B_sheet'!F$45</f>
        <v>3.4721242609940064E-3</v>
      </c>
      <c r="G41" s="144">
        <f>'Historical B_sheet'!G18/'Historical B_sheet'!G$45</f>
        <v>2.8872389852871278E-3</v>
      </c>
      <c r="H41" s="144">
        <f>'Historical B_sheet'!H18/'Historical B_sheet'!H$45</f>
        <v>2.585914559132361E-3</v>
      </c>
    </row>
    <row r="42" spans="2:8">
      <c r="B42" t="s">
        <v>30</v>
      </c>
      <c r="D42" s="144">
        <f>'Historical B_sheet'!D19/'Historical B_sheet'!D$45</f>
        <v>9.7741546396040452E-4</v>
      </c>
      <c r="E42" s="144">
        <f>'Historical B_sheet'!E19/'Historical B_sheet'!E$45</f>
        <v>7.356615259282212E-4</v>
      </c>
      <c r="F42" s="144">
        <f>'Historical B_sheet'!F19/'Historical B_sheet'!F$45</f>
        <v>6.0219807160417211E-4</v>
      </c>
      <c r="G42" s="144">
        <f>'Historical B_sheet'!G19/'Historical B_sheet'!G$45</f>
        <v>4.6445081806489337E-4</v>
      </c>
      <c r="H42" s="144">
        <f>'Historical B_sheet'!H19/'Historical B_sheet'!H$45</f>
        <v>2.585154219655992E-4</v>
      </c>
    </row>
    <row r="43" spans="2:8">
      <c r="B43" t="s">
        <v>31</v>
      </c>
      <c r="D43" s="144">
        <f>'Historical B_sheet'!D20/'Historical B_sheet'!D$45</f>
        <v>3.2716845281833017E-2</v>
      </c>
      <c r="E43" s="144">
        <f>'Historical B_sheet'!E20/'Historical B_sheet'!E$45</f>
        <v>2.729950658350374E-2</v>
      </c>
      <c r="F43" s="144">
        <f>'Historical B_sheet'!F20/'Historical B_sheet'!F$45</f>
        <v>2.6317709584872475E-2</v>
      </c>
      <c r="G43" s="144">
        <f>'Historical B_sheet'!G20/'Historical B_sheet'!G$45</f>
        <v>1.9849248736261722E-2</v>
      </c>
      <c r="H43" s="144">
        <f>'Historical B_sheet'!H20/'Historical B_sheet'!H$45</f>
        <v>1.5738266821370406E-2</v>
      </c>
    </row>
    <row r="44" spans="2:8">
      <c r="B44" s="1" t="s">
        <v>32</v>
      </c>
      <c r="D44" s="144"/>
      <c r="E44" s="144"/>
      <c r="F44" s="144"/>
      <c r="G44" s="144"/>
      <c r="H44" s="144"/>
    </row>
    <row r="45" spans="2:8">
      <c r="B45" s="13" t="s">
        <v>33</v>
      </c>
      <c r="D45" s="144">
        <f>'Historical B_sheet'!D22/'Historical B_sheet'!D$45</f>
        <v>0.2904437419992883</v>
      </c>
      <c r="E45" s="144">
        <f>'Historical B_sheet'!E22/'Historical B_sheet'!E$45</f>
        <v>0.29909206850168218</v>
      </c>
      <c r="F45" s="144">
        <f>'Historical B_sheet'!F22/'Historical B_sheet'!F$45</f>
        <v>0.24622604706095241</v>
      </c>
      <c r="G45" s="144">
        <f>'Historical B_sheet'!G22/'Historical B_sheet'!G$45</f>
        <v>0.22997294719385289</v>
      </c>
      <c r="H45" s="144">
        <f>'Historical B_sheet'!H22/'Historical B_sheet'!H$45</f>
        <v>0.20054409892928993</v>
      </c>
    </row>
    <row r="46" spans="2:8">
      <c r="B46" s="13" t="s">
        <v>35</v>
      </c>
      <c r="D46" s="144">
        <f>'Historical B_sheet'!D23/'Historical B_sheet'!D$45</f>
        <v>1.9640736273436023E-5</v>
      </c>
      <c r="E46" s="144">
        <f>'Historical B_sheet'!E23/'Historical B_sheet'!E$45</f>
        <v>1.0260272328148134E-5</v>
      </c>
      <c r="F46" s="144">
        <f>'Historical B_sheet'!F23/'Historical B_sheet'!F$45</f>
        <v>7.7828506830910768E-6</v>
      </c>
      <c r="G46" s="144">
        <f>'Historical B_sheet'!G23/'Historical B_sheet'!G$45</f>
        <v>5.8160209775568048E-6</v>
      </c>
      <c r="H46" s="144">
        <f>'Historical B_sheet'!H23/'Historical B_sheet'!H$45</f>
        <v>5.3223763345858664E-6</v>
      </c>
    </row>
    <row r="47" spans="2:8">
      <c r="B47" s="13" t="s">
        <v>36</v>
      </c>
      <c r="D47" s="144">
        <f>'Historical B_sheet'!D24/'Historical B_sheet'!D$45</f>
        <v>1.1100482006774898E-2</v>
      </c>
      <c r="E47" s="144">
        <f>'Historical B_sheet'!E24/'Historical B_sheet'!E$45</f>
        <v>8.5560410944427283E-3</v>
      </c>
      <c r="F47" s="144">
        <f>'Historical B_sheet'!F24/'Historical B_sheet'!F$45</f>
        <v>2.6448072333814254E-2</v>
      </c>
      <c r="G47" s="144">
        <f>'Historical B_sheet'!G24/'Historical B_sheet'!G$45</f>
        <v>1.9724619715314078E-2</v>
      </c>
      <c r="H47" s="144">
        <f>'Historical B_sheet'!H24/'Historical B_sheet'!H$45</f>
        <v>1.8037533397911497E-2</v>
      </c>
    </row>
    <row r="48" spans="2:8">
      <c r="B48" t="s">
        <v>37</v>
      </c>
      <c r="D48" s="144">
        <f>'Historical B_sheet'!D25/'Historical B_sheet'!D$45</f>
        <v>3.0847509323573045E-4</v>
      </c>
      <c r="E48" s="144">
        <f>'Historical B_sheet'!E25/'Historical B_sheet'!E$45</f>
        <v>1.2291806249121464E-3</v>
      </c>
      <c r="F48" s="144">
        <f>'Historical B_sheet'!F25/'Historical B_sheet'!F$45</f>
        <v>1.4145331116518032E-3</v>
      </c>
      <c r="G48" s="144">
        <f>'Historical B_sheet'!G25/'Historical B_sheet'!G$45</f>
        <v>1.1839756990026352E-3</v>
      </c>
      <c r="H48" s="144">
        <f>'Historical B_sheet'!H25/'Historical B_sheet'!H$45</f>
        <v>1.1724434725616294E-3</v>
      </c>
    </row>
    <row r="49" spans="2:8">
      <c r="B49" t="s">
        <v>38</v>
      </c>
      <c r="D49" s="144">
        <f>'Historical B_sheet'!D26/'Historical B_sheet'!D$45</f>
        <v>6.4433168351148646E-3</v>
      </c>
      <c r="E49" s="144">
        <f>'Historical B_sheet'!E26/'Historical B_sheet'!E$45</f>
        <v>4.5145198243851789E-3</v>
      </c>
      <c r="F49" s="144">
        <f>'Historical B_sheet'!F26/'Historical B_sheet'!F$45</f>
        <v>3.459477128633984E-3</v>
      </c>
      <c r="G49" s="144">
        <f>'Historical B_sheet'!G26/'Historical B_sheet'!G$45</f>
        <v>3.4306215166188636E-3</v>
      </c>
      <c r="H49" s="144">
        <f>'Historical B_sheet'!H26/'Historical B_sheet'!H$45</f>
        <v>3.3736262566510691E-3</v>
      </c>
    </row>
    <row r="50" spans="2:8">
      <c r="B50" t="s">
        <v>39</v>
      </c>
      <c r="D50" s="144">
        <f>'Historical B_sheet'!D27/'Historical B_sheet'!D$45</f>
        <v>1.357290410237214E-2</v>
      </c>
      <c r="E50" s="144">
        <f>'Historical B_sheet'!E27/'Historical B_sheet'!E$45</f>
        <v>1.0624511995797392E-2</v>
      </c>
      <c r="F50" s="144">
        <f>'Historical B_sheet'!F27/'Historical B_sheet'!F$45</f>
        <v>8.3743473350059994E-3</v>
      </c>
      <c r="G50" s="144">
        <f>'Historical B_sheet'!G27/'Historical B_sheet'!G$45</f>
        <v>7.9779190609286336E-3</v>
      </c>
      <c r="H50" s="144">
        <f>'Historical B_sheet'!H27/'Historical B_sheet'!H$45</f>
        <v>5.8264814074187841E-3</v>
      </c>
    </row>
    <row r="51" spans="2:8">
      <c r="D51" s="144"/>
      <c r="E51" s="144"/>
      <c r="F51" s="144"/>
      <c r="G51" s="144"/>
      <c r="H51" s="144"/>
    </row>
    <row r="52" spans="2:8">
      <c r="B52" s="4" t="s">
        <v>40</v>
      </c>
      <c r="C52" s="4"/>
      <c r="D52" s="165">
        <f>'Historical B_sheet'!D29/'Historical B_sheet'!D$45</f>
        <v>0.40044803985451988</v>
      </c>
      <c r="E52" s="165">
        <f>'Historical B_sheet'!E29/'Historical B_sheet'!E$45</f>
        <v>0.39677601722904932</v>
      </c>
      <c r="F52" s="165">
        <f>'Historical B_sheet'!F29/'Historical B_sheet'!F$45</f>
        <v>0.37284913624950267</v>
      </c>
      <c r="G52" s="165">
        <f>'Historical B_sheet'!G29/'Historical B_sheet'!G$45</f>
        <v>0.35819045308465136</v>
      </c>
      <c r="H52" s="165">
        <f>'Historical B_sheet'!H29/'Historical B_sheet'!H$45</f>
        <v>0.32497669559504927</v>
      </c>
    </row>
    <row r="53" spans="2:8">
      <c r="D53" s="144"/>
      <c r="E53" s="144"/>
      <c r="F53" s="144"/>
      <c r="G53" s="144"/>
      <c r="H53" s="144"/>
    </row>
    <row r="54" spans="2:8">
      <c r="B54" s="1" t="s">
        <v>41</v>
      </c>
      <c r="D54" s="144"/>
      <c r="E54" s="144"/>
      <c r="F54" s="144"/>
      <c r="G54" s="144"/>
      <c r="H54" s="144"/>
    </row>
    <row r="55" spans="2:8">
      <c r="B55" t="s">
        <v>42</v>
      </c>
      <c r="D55" s="144">
        <f>'Historical B_sheet'!D32/'Historical B_sheet'!D$45</f>
        <v>0.14783697726758077</v>
      </c>
      <c r="E55" s="144">
        <f>'Historical B_sheet'!E32/'Historical B_sheet'!E$45</f>
        <v>0.17046313843262029</v>
      </c>
      <c r="F55" s="144">
        <f>'Historical B_sheet'!F32/'Historical B_sheet'!F$45</f>
        <v>0.15487581002450629</v>
      </c>
      <c r="G55" s="144">
        <f>'Historical B_sheet'!G32/'Historical B_sheet'!G$45</f>
        <v>0.17742021250078929</v>
      </c>
      <c r="H55" s="144">
        <f>'Historical B_sheet'!H32/'Historical B_sheet'!H$45</f>
        <v>0.20641772138424364</v>
      </c>
    </row>
    <row r="56" spans="2:8">
      <c r="B56" t="s">
        <v>43</v>
      </c>
      <c r="D56" s="144">
        <f>'Historical B_sheet'!D33/'Historical B_sheet'!D$45</f>
        <v>0.12289555287517273</v>
      </c>
      <c r="E56" s="144">
        <f>'Historical B_sheet'!E33/'Historical B_sheet'!E$45</f>
        <v>7.6779669885998117E-2</v>
      </c>
      <c r="F56" s="144">
        <f>'Historical B_sheet'!F33/'Historical B_sheet'!F$45</f>
        <v>9.5151186738800728E-2</v>
      </c>
      <c r="G56" s="144">
        <f>'Historical B_sheet'!G33/'Historical B_sheet'!G$45</f>
        <v>7.2780855653006196E-2</v>
      </c>
      <c r="H56" s="144">
        <f>'Historical B_sheet'!H33/'Historical B_sheet'!H$45</f>
        <v>9.8821321743732135E-2</v>
      </c>
    </row>
    <row r="57" spans="2:8">
      <c r="B57" s="1" t="s">
        <v>32</v>
      </c>
      <c r="D57" s="144"/>
      <c r="E57" s="144"/>
      <c r="F57" s="144"/>
      <c r="G57" s="144"/>
      <c r="H57" s="144"/>
    </row>
    <row r="58" spans="2:8">
      <c r="B58" s="13" t="s">
        <v>33</v>
      </c>
      <c r="D58" s="144">
        <f>'Historical B_sheet'!D35/'Historical B_sheet'!D$45</f>
        <v>2.8804872751135698E-2</v>
      </c>
      <c r="E58" s="144">
        <f>'Historical B_sheet'!E35/'Historical B_sheet'!E$45</f>
        <v>4.4557284639448899E-2</v>
      </c>
      <c r="F58" s="144">
        <f>'Historical B_sheet'!F35/'Historical B_sheet'!F$45</f>
        <v>2.9882255197728191E-2</v>
      </c>
      <c r="G58" s="144">
        <f>'Historical B_sheet'!G35/'Historical B_sheet'!G$45</f>
        <v>4.1664312562937643E-2</v>
      </c>
      <c r="H58" s="144">
        <f>'Historical B_sheet'!H35/'Historical B_sheet'!H$45</f>
        <v>3.0311693564942878E-2</v>
      </c>
    </row>
    <row r="59" spans="2:8">
      <c r="B59" s="13" t="s">
        <v>44</v>
      </c>
      <c r="D59" s="144">
        <f>'Historical B_sheet'!D36/'Historical B_sheet'!D$45</f>
        <v>0.20806818339364197</v>
      </c>
      <c r="E59" s="144">
        <f>'Historical B_sheet'!E36/'Historical B_sheet'!E$45</f>
        <v>0.21645788722524273</v>
      </c>
      <c r="F59" s="144">
        <f>'Historical B_sheet'!F36/'Historical B_sheet'!F$45</f>
        <v>0.2132355158716647</v>
      </c>
      <c r="G59" s="144">
        <f>'Historical B_sheet'!G36/'Historical B_sheet'!G$45</f>
        <v>0.19943219018056246</v>
      </c>
      <c r="H59" s="144">
        <f>'Historical B_sheet'!H36/'Historical B_sheet'!H$45</f>
        <v>0.19095697847174806</v>
      </c>
    </row>
    <row r="60" spans="2:8">
      <c r="B60" s="13" t="s">
        <v>45</v>
      </c>
      <c r="D60" s="144">
        <f>'Historical B_sheet'!D37/'Historical B_sheet'!D$45</f>
        <v>5.1776446829060893E-2</v>
      </c>
      <c r="E60" s="144">
        <f>'Historical B_sheet'!E37/'Historical B_sheet'!E$45</f>
        <v>5.734466204201992E-2</v>
      </c>
      <c r="F60" s="144">
        <f>'Historical B_sheet'!F37/'Historical B_sheet'!F$45</f>
        <v>6.7391704064885635E-2</v>
      </c>
      <c r="G60" s="144">
        <f>'Historical B_sheet'!G37/'Historical B_sheet'!G$45</f>
        <v>6.7740027185743748E-2</v>
      </c>
      <c r="H60" s="144">
        <f>'Historical B_sheet'!H37/'Historical B_sheet'!H$45</f>
        <v>4.940609883500785E-2</v>
      </c>
    </row>
    <row r="61" spans="2:8">
      <c r="B61" s="13" t="s">
        <v>46</v>
      </c>
      <c r="D61" s="144">
        <f>'Historical B_sheet'!D38/'Historical B_sheet'!D$45</f>
        <v>1.2292790232315252E-3</v>
      </c>
      <c r="E61" s="144">
        <f>'Historical B_sheet'!E38/'Historical B_sheet'!E$45</f>
        <v>1.3102367763045165E-3</v>
      </c>
      <c r="F61" s="144">
        <f>'Historical B_sheet'!F38/'Historical B_sheet'!F$45</f>
        <v>1.5234930212150784E-3</v>
      </c>
      <c r="G61" s="144">
        <f>'Historical B_sheet'!G38/'Historical B_sheet'!G$45</f>
        <v>3.0758442369878988E-3</v>
      </c>
      <c r="H61" s="144">
        <f>'Historical B_sheet'!H38/'Historical B_sheet'!H$45</f>
        <v>2.1631658102709696E-3</v>
      </c>
    </row>
    <row r="62" spans="2:8">
      <c r="B62" s="13" t="s">
        <v>35</v>
      </c>
      <c r="D62" s="144">
        <f>'Historical B_sheet'!D39/'Historical B_sheet'!D$45</f>
        <v>2.4608687213187482E-4</v>
      </c>
      <c r="E62" s="144">
        <f>'Historical B_sheet'!E39/'Historical B_sheet'!E$45</f>
        <v>3.1704241493977733E-4</v>
      </c>
      <c r="F62" s="144">
        <f>'Historical B_sheet'!F39/'Historical B_sheet'!F$45</f>
        <v>4.7669960433932844E-5</v>
      </c>
      <c r="G62" s="144">
        <f>'Historical B_sheet'!G39/'Historical B_sheet'!G$45</f>
        <v>1.0551923773567345E-4</v>
      </c>
      <c r="H62" s="144">
        <f>'Historical B_sheet'!H39/'Historical B_sheet'!H$45</f>
        <v>7.907530554241858E-5</v>
      </c>
    </row>
    <row r="63" spans="2:8">
      <c r="B63" s="13" t="s">
        <v>36</v>
      </c>
      <c r="D63" s="144">
        <f>'Historical B_sheet'!D40/'Historical B_sheet'!D$45</f>
        <v>1.2590867288700338E-2</v>
      </c>
      <c r="E63" s="144">
        <f>'Historical B_sheet'!E40/'Historical B_sheet'!E$45</f>
        <v>8.1928274540262851E-3</v>
      </c>
      <c r="F63" s="144">
        <f>'Historical B_sheet'!F40/'Historical B_sheet'!F$45</f>
        <v>3.4331127219450128E-2</v>
      </c>
      <c r="G63" s="144">
        <f>'Historical B_sheet'!G40/'Historical B_sheet'!G$45</f>
        <v>5.3411844077462745E-2</v>
      </c>
      <c r="H63" s="144">
        <f>'Historical B_sheet'!H40/'Historical B_sheet'!H$45</f>
        <v>6.4062402581504585E-2</v>
      </c>
    </row>
    <row r="64" spans="2:8">
      <c r="B64" t="s">
        <v>47</v>
      </c>
      <c r="D64" s="144">
        <f>'Historical B_sheet'!D41/'Historical B_sheet'!D$45</f>
        <v>2.6103693844824319E-2</v>
      </c>
      <c r="E64" s="144">
        <f>'Historical B_sheet'!E41/'Historical B_sheet'!E$45</f>
        <v>2.7801233900350181E-2</v>
      </c>
      <c r="F64" s="144">
        <f>'Historical B_sheet'!F41/'Historical B_sheet'!F$45</f>
        <v>3.0712101651812776E-2</v>
      </c>
      <c r="G64" s="144">
        <f>'Historical B_sheet'!G41/'Historical B_sheet'!G$45</f>
        <v>2.6178741280122826E-2</v>
      </c>
      <c r="H64" s="144">
        <f>'Historical B_sheet'!H41/'Historical B_sheet'!H$45</f>
        <v>3.280484670795817E-2</v>
      </c>
    </row>
    <row r="65" spans="2:8">
      <c r="D65" s="144"/>
      <c r="E65" s="144"/>
      <c r="F65" s="144"/>
      <c r="G65" s="144"/>
      <c r="H65" s="144"/>
    </row>
    <row r="66" spans="2:8">
      <c r="B66" s="18" t="s">
        <v>48</v>
      </c>
      <c r="C66" s="4"/>
      <c r="D66" s="165">
        <f>'Historical B_sheet'!D43/'Historical B_sheet'!D$45</f>
        <v>0.59955196014547996</v>
      </c>
      <c r="E66" s="165">
        <f>'Historical B_sheet'!E43/'Historical B_sheet'!E$45</f>
        <v>0.60322398277095068</v>
      </c>
      <c r="F66" s="165">
        <f>'Historical B_sheet'!F43/'Historical B_sheet'!F$45</f>
        <v>0.62715086375049733</v>
      </c>
      <c r="G66" s="165">
        <f>'Historical B_sheet'!G43/'Historical B_sheet'!G$45</f>
        <v>0.64180954691534864</v>
      </c>
      <c r="H66" s="165">
        <f>'Historical B_sheet'!H43/'Historical B_sheet'!H$45</f>
        <v>0.67502330440495073</v>
      </c>
    </row>
    <row r="67" spans="2:8">
      <c r="D67" s="144"/>
      <c r="E67" s="144"/>
      <c r="F67" s="144"/>
      <c r="G67" s="144"/>
      <c r="H67" s="144"/>
    </row>
    <row r="68" spans="2:8">
      <c r="B68" s="16" t="s">
        <v>49</v>
      </c>
      <c r="C68" s="16"/>
      <c r="D68" s="273">
        <f>'Historical B_sheet'!D45/'Historical B_sheet'!D$45</f>
        <v>1</v>
      </c>
      <c r="E68" s="273">
        <f>'Historical B_sheet'!E45/'Historical B_sheet'!E$45</f>
        <v>1</v>
      </c>
      <c r="F68" s="273">
        <f>'Historical B_sheet'!F45/'Historical B_sheet'!F$45</f>
        <v>1</v>
      </c>
      <c r="G68" s="273">
        <f>'Historical B_sheet'!G45/'Historical B_sheet'!G$45</f>
        <v>1</v>
      </c>
      <c r="H68" s="273">
        <f>'Historical B_sheet'!H45/'Historical B_sheet'!H$45</f>
        <v>1</v>
      </c>
    </row>
    <row r="69" spans="2:8">
      <c r="D69" s="147"/>
      <c r="E69" s="147"/>
      <c r="F69" s="147"/>
      <c r="G69" s="147"/>
      <c r="H69" s="147"/>
    </row>
    <row r="70" spans="2:8">
      <c r="B70" s="1" t="s">
        <v>50</v>
      </c>
      <c r="D70" s="147"/>
      <c r="E70" s="147"/>
      <c r="F70" s="147"/>
      <c r="G70" s="147"/>
      <c r="H70" s="147"/>
    </row>
    <row r="71" spans="2:8">
      <c r="B71" s="1" t="s">
        <v>51</v>
      </c>
      <c r="D71" s="147"/>
      <c r="E71" s="147"/>
      <c r="F71" s="147"/>
      <c r="G71" s="147"/>
      <c r="H71" s="147"/>
    </row>
    <row r="72" spans="2:8">
      <c r="B72" t="s">
        <v>52</v>
      </c>
      <c r="D72" s="144">
        <f>'Historical B_sheet'!D49/'Historical B_sheet'!D$45</f>
        <v>3.8218562113250796E-3</v>
      </c>
      <c r="E72" s="144">
        <f>'Historical B_sheet'!E49/'Historical B_sheet'!E$45</f>
        <v>3.3940980861514023E-3</v>
      </c>
      <c r="F72" s="144">
        <f>'Historical B_sheet'!F49/'Historical B_sheet'!F$45</f>
        <v>3.2182087574581602E-3</v>
      </c>
      <c r="G72" s="144">
        <f>'Historical B_sheet'!G49/'Historical B_sheet'!G$45</f>
        <v>2.7484853419654154E-3</v>
      </c>
      <c r="H72" s="144">
        <f>'Historical B_sheet'!H49/'Historical B_sheet'!H$45</f>
        <v>2.515202987830006E-3</v>
      </c>
    </row>
    <row r="73" spans="2:8">
      <c r="B73" t="s">
        <v>53</v>
      </c>
      <c r="D73" s="144">
        <f>'Historical B_sheet'!D50/'Historical B_sheet'!D$45</f>
        <v>0.5730785583237441</v>
      </c>
      <c r="E73" s="144">
        <f>'Historical B_sheet'!E50/'Historical B_sheet'!E$45</f>
        <v>0.56087573476375208</v>
      </c>
      <c r="F73" s="144">
        <f>'Historical B_sheet'!F50/'Historical B_sheet'!F$45</f>
        <v>0.52718987528954642</v>
      </c>
      <c r="G73" s="144">
        <f>'Historical B_sheet'!G50/'Historical B_sheet'!G$45</f>
        <v>0.48085365894188287</v>
      </c>
      <c r="H73" s="144">
        <f>'Historical B_sheet'!H50/'Historical B_sheet'!H$45</f>
        <v>0.4927129064584756</v>
      </c>
    </row>
    <row r="74" spans="2:8">
      <c r="B74" s="4" t="s">
        <v>54</v>
      </c>
      <c r="C74" s="4"/>
      <c r="D74" s="165">
        <f>'Historical B_sheet'!D51/'Historical B_sheet'!D$45</f>
        <v>0.57690041453506913</v>
      </c>
      <c r="E74" s="165">
        <f>'Historical B_sheet'!E51/'Historical B_sheet'!E$45</f>
        <v>0.56426983284990351</v>
      </c>
      <c r="F74" s="165">
        <f>'Historical B_sheet'!F51/'Historical B_sheet'!F$45</f>
        <v>0.53040808404700457</v>
      </c>
      <c r="G74" s="165">
        <f>'Historical B_sheet'!G51/'Historical B_sheet'!G$45</f>
        <v>0.48360214428384829</v>
      </c>
      <c r="H74" s="165">
        <f>'Historical B_sheet'!H51/'Historical B_sheet'!H$45</f>
        <v>0.49522810944630558</v>
      </c>
    </row>
    <row r="75" spans="2:8">
      <c r="B75" s="14" t="s">
        <v>55</v>
      </c>
      <c r="D75" s="144">
        <f>'Historical B_sheet'!D52/'Historical B_sheet'!D$45</f>
        <v>4.1707681145355313E-3</v>
      </c>
      <c r="E75" s="144">
        <f>'Historical B_sheet'!E52/'Historical B_sheet'!E$45</f>
        <v>3.9071117025588093E-3</v>
      </c>
      <c r="F75" s="144">
        <f>'Historical B_sheet'!F52/'Historical B_sheet'!F$45</f>
        <v>4.0519466368842917E-3</v>
      </c>
      <c r="G75" s="144">
        <f>'Historical B_sheet'!G52/'Historical B_sheet'!G$45</f>
        <v>2.800829530763427E-3</v>
      </c>
      <c r="H75" s="144">
        <f>'Historical B_sheet'!H52/'Historical B_sheet'!H$45</f>
        <v>2.0567182835792524E-3</v>
      </c>
    </row>
    <row r="76" spans="2:8">
      <c r="B76" s="4" t="s">
        <v>56</v>
      </c>
      <c r="C76" s="4"/>
      <c r="D76" s="165">
        <f>'Historical B_sheet'!D53/'Historical B_sheet'!D$45</f>
        <v>0.58107118264960478</v>
      </c>
      <c r="E76" s="165">
        <f>'Historical B_sheet'!E53/'Historical B_sheet'!E$45</f>
        <v>0.56817694455246226</v>
      </c>
      <c r="F76" s="165">
        <f>'Historical B_sheet'!F53/'Historical B_sheet'!F$45</f>
        <v>0.53446003068388881</v>
      </c>
      <c r="G76" s="165">
        <f>'Historical B_sheet'!G53/'Historical B_sheet'!G$45</f>
        <v>0.48640297381461173</v>
      </c>
      <c r="H76" s="165">
        <f>'Historical B_sheet'!H53/'Historical B_sheet'!H$45</f>
        <v>0.49728482772988486</v>
      </c>
    </row>
    <row r="77" spans="2:8">
      <c r="D77" s="147"/>
      <c r="E77" s="147"/>
      <c r="F77" s="147"/>
      <c r="G77" s="147"/>
      <c r="H77" s="147"/>
    </row>
    <row r="78" spans="2:8">
      <c r="B78" s="1" t="s">
        <v>57</v>
      </c>
      <c r="D78" s="147"/>
      <c r="E78" s="147"/>
      <c r="F78" s="147"/>
      <c r="G78" s="147"/>
      <c r="H78" s="147"/>
    </row>
    <row r="79" spans="2:8">
      <c r="B79" s="1" t="s">
        <v>58</v>
      </c>
      <c r="D79" s="147"/>
      <c r="E79" s="147"/>
      <c r="F79" s="147"/>
      <c r="G79" s="147"/>
      <c r="H79" s="147"/>
    </row>
    <row r="80" spans="2:8">
      <c r="B80" t="s">
        <v>59</v>
      </c>
      <c r="D80" s="144">
        <f>'Historical B_sheet'!D57/'Historical B_sheet'!D$45</f>
        <v>7.3941595382347376E-5</v>
      </c>
      <c r="E80" s="144">
        <f>'Historical B_sheet'!E57/'Historical B_sheet'!E$45</f>
        <v>3.6013555871799947E-4</v>
      </c>
      <c r="F80" s="144">
        <f>'Historical B_sheet'!F57/'Historical B_sheet'!F$45</f>
        <v>6.1581806029958148E-4</v>
      </c>
      <c r="G80" s="144">
        <f>'Historical B_sheet'!G57/'Historical B_sheet'!G$45</f>
        <v>5.8658725859358628E-4</v>
      </c>
      <c r="H80" s="144">
        <f>'Historical B_sheet'!H57/'Historical B_sheet'!H$45</f>
        <v>5.9990784685546401E-4</v>
      </c>
    </row>
    <row r="81" spans="2:8">
      <c r="B81" s="1" t="s">
        <v>60</v>
      </c>
      <c r="D81" s="147"/>
      <c r="E81" s="147"/>
      <c r="F81" s="147"/>
      <c r="G81" s="147"/>
      <c r="H81" s="147"/>
    </row>
    <row r="82" spans="2:8">
      <c r="B82" s="13" t="s">
        <v>61</v>
      </c>
      <c r="D82" s="144">
        <f>'Historical B_sheet'!D59/'Historical B_sheet'!D$45</f>
        <v>6.5392098416263463E-4</v>
      </c>
      <c r="E82" s="144">
        <f>'Historical B_sheet'!E59/'Historical B_sheet'!E$45</f>
        <v>0</v>
      </c>
      <c r="F82" s="144">
        <f>'Historical B_sheet'!F59/'Historical B_sheet'!F$45</f>
        <v>2.0575911493422032E-3</v>
      </c>
      <c r="G82" s="144">
        <f>'Historical B_sheet'!G59/'Historical B_sheet'!G$45</f>
        <v>1.8943611184042163E-2</v>
      </c>
      <c r="H82" s="144">
        <f>'Historical B_sheet'!H59/'Historical B_sheet'!H$45</f>
        <v>2.9066257502649781E-2</v>
      </c>
    </row>
    <row r="83" spans="2:8">
      <c r="B83" s="13" t="s">
        <v>75</v>
      </c>
      <c r="D83" s="144">
        <f>'Historical B_sheet'!D60/'Historical B_sheet'!D$45</f>
        <v>0</v>
      </c>
      <c r="E83" s="144">
        <f>'Historical B_sheet'!E60/'Historical B_sheet'!E$45</f>
        <v>1.3010025312091833E-3</v>
      </c>
      <c r="F83" s="144">
        <f>'Historical B_sheet'!F60/'Historical B_sheet'!F$45</f>
        <v>2.4700822355460308E-3</v>
      </c>
      <c r="G83" s="144">
        <f>'Historical B_sheet'!G60/'Historical B_sheet'!G$45</f>
        <v>1.7439754331273903E-3</v>
      </c>
      <c r="H83" s="144">
        <f>'Historical B_sheet'!H60/'Historical B_sheet'!H$45</f>
        <v>1.381536828563217E-3</v>
      </c>
    </row>
    <row r="84" spans="2:8">
      <c r="B84" s="13" t="s">
        <v>62</v>
      </c>
      <c r="D84" s="144">
        <f>'Historical B_sheet'!D61/'Historical B_sheet'!D$45</f>
        <v>2.2425099474552537E-3</v>
      </c>
      <c r="E84" s="144">
        <f>'Historical B_sheet'!E61/'Historical B_sheet'!E$45</f>
        <v>1.5277545496612571E-3</v>
      </c>
      <c r="F84" s="144">
        <f>'Historical B_sheet'!F61/'Historical B_sheet'!F$45</f>
        <v>1.1148933603527969E-3</v>
      </c>
      <c r="G84" s="144">
        <f>'Historical B_sheet'!G61/'Historical B_sheet'!G$45</f>
        <v>6.8795219563100481E-4</v>
      </c>
      <c r="H84" s="144">
        <f>'Historical B_sheet'!H61/'Historical B_sheet'!H$45</f>
        <v>3.1576898453621574E-3</v>
      </c>
    </row>
    <row r="85" spans="2:8">
      <c r="B85" t="s">
        <v>63</v>
      </c>
      <c r="D85" s="144">
        <f>'Historical B_sheet'!D62/'Historical B_sheet'!D$45</f>
        <v>1.0387638813791957E-2</v>
      </c>
      <c r="E85" s="144">
        <f>'Historical B_sheet'!E62/'Historical B_sheet'!E$45</f>
        <v>1.0571158579691022E-2</v>
      </c>
      <c r="F85" s="144">
        <f>'Historical B_sheet'!F62/'Historical B_sheet'!F$45</f>
        <v>8.9473597165485794E-3</v>
      </c>
      <c r="G85" s="144">
        <f>'Historical B_sheet'!G62/'Historical B_sheet'!G$45</f>
        <v>8.1781563545845187E-3</v>
      </c>
      <c r="H85" s="144">
        <f>'Historical B_sheet'!H62/'Historical B_sheet'!H$45</f>
        <v>7.2391921545131464E-3</v>
      </c>
    </row>
    <row r="86" spans="2:8">
      <c r="B86" t="s">
        <v>64</v>
      </c>
      <c r="D86" s="144">
        <f>'Historical B_sheet'!D63/'Historical B_sheet'!D$45</f>
        <v>0</v>
      </c>
      <c r="E86" s="144">
        <f>'Historical B_sheet'!E63/'Historical B_sheet'!E$45</f>
        <v>1.2671436325262945E-3</v>
      </c>
      <c r="F86" s="144">
        <f>'Historical B_sheet'!F63/'Historical B_sheet'!F$45</f>
        <v>5.136681450840111E-4</v>
      </c>
      <c r="G86" s="144">
        <f>'Historical B_sheet'!G63/'Historical B_sheet'!G$45</f>
        <v>4.8921045022649236E-3</v>
      </c>
      <c r="H86" s="144">
        <f>'Historical B_sheet'!H63/'Historical B_sheet'!H$45</f>
        <v>4.4342998261863954E-3</v>
      </c>
    </row>
    <row r="87" spans="2:8">
      <c r="B87" t="s">
        <v>65</v>
      </c>
      <c r="D87" s="144">
        <f>'Historical B_sheet'!D64/'Historical B_sheet'!D$45</f>
        <v>7.3017325440068029E-4</v>
      </c>
      <c r="E87" s="144">
        <f>'Historical B_sheet'!E64/'Historical B_sheet'!E$45</f>
        <v>6.4844921113896205E-4</v>
      </c>
      <c r="F87" s="144">
        <f>'Historical B_sheet'!F64/'Historical B_sheet'!F$45</f>
        <v>4.0568109185612239E-4</v>
      </c>
      <c r="G87" s="144">
        <f>'Historical B_sheet'!G64/'Historical B_sheet'!G$45</f>
        <v>2.8997018873818927E-4</v>
      </c>
      <c r="H87" s="144">
        <f>'Historical B_sheet'!H64/'Historical B_sheet'!H$45</f>
        <v>2.1441573233617345E-4</v>
      </c>
    </row>
    <row r="88" spans="2:8">
      <c r="D88" s="147"/>
      <c r="E88" s="147"/>
      <c r="F88" s="147"/>
      <c r="G88" s="147"/>
      <c r="H88" s="147"/>
    </row>
    <row r="89" spans="2:8">
      <c r="B89" s="4" t="s">
        <v>214</v>
      </c>
      <c r="C89" s="4"/>
      <c r="D89" s="165">
        <f>'Historical B_sheet'!D66/'Historical B_sheet'!D$45</f>
        <v>1.4088184595192873E-2</v>
      </c>
      <c r="E89" s="165">
        <f>'Historical B_sheet'!E66/'Historical B_sheet'!E$45</f>
        <v>1.5675644062944718E-2</v>
      </c>
      <c r="F89" s="165">
        <f>'Historical B_sheet'!F66/'Historical B_sheet'!F$45</f>
        <v>1.6125093759029326E-2</v>
      </c>
      <c r="G89" s="165">
        <f>'Historical B_sheet'!G66/'Historical B_sheet'!G$45</f>
        <v>3.5322357116981777E-2</v>
      </c>
      <c r="H89" s="165">
        <f>'Historical B_sheet'!H66/'Historical B_sheet'!H$45</f>
        <v>4.6093299736466344E-2</v>
      </c>
    </row>
    <row r="90" spans="2:8">
      <c r="D90" s="147"/>
      <c r="E90" s="147"/>
      <c r="F90" s="147"/>
      <c r="G90" s="147"/>
      <c r="H90" s="147"/>
    </row>
    <row r="91" spans="2:8">
      <c r="B91" s="1" t="s">
        <v>67</v>
      </c>
      <c r="D91" s="147"/>
      <c r="E91" s="147"/>
      <c r="F91" s="147"/>
      <c r="G91" s="147"/>
      <c r="H91" s="147"/>
    </row>
    <row r="92" spans="2:8">
      <c r="B92" t="s">
        <v>59</v>
      </c>
      <c r="D92" s="144">
        <f>'Historical B_sheet'!D69/'Historical B_sheet'!D$45</f>
        <v>4.8703249270982088E-2</v>
      </c>
      <c r="E92" s="144">
        <f>'Historical B_sheet'!E69/'Historical B_sheet'!E$45</f>
        <v>3.6340858559067872E-2</v>
      </c>
      <c r="F92" s="144">
        <f>'Historical B_sheet'!F69/'Historical B_sheet'!F$45</f>
        <v>5.0598258003445869E-2</v>
      </c>
      <c r="G92" s="144">
        <f>'Historical B_sheet'!G69/'Historical B_sheet'!G$45</f>
        <v>5.3718431468993945E-2</v>
      </c>
      <c r="H92" s="144">
        <f>'Historical B_sheet'!H69/'Historical B_sheet'!H$45</f>
        <v>4.3979555992159372E-2</v>
      </c>
    </row>
    <row r="93" spans="2:8">
      <c r="B93" s="1" t="s">
        <v>60</v>
      </c>
      <c r="D93" s="147"/>
      <c r="E93" s="147"/>
      <c r="F93" s="147"/>
      <c r="G93" s="147"/>
      <c r="H93" s="147"/>
    </row>
    <row r="94" spans="2:8">
      <c r="B94" s="13" t="s">
        <v>61</v>
      </c>
      <c r="D94" s="144">
        <f>'Historical B_sheet'!D71/'Historical B_sheet'!D$45</f>
        <v>2.9455327723014783E-2</v>
      </c>
      <c r="E94" s="144">
        <f>'Historical B_sheet'!E71/'Historical B_sheet'!E$45</f>
        <v>3.5212228602971581E-2</v>
      </c>
      <c r="F94" s="144">
        <f>'Historical B_sheet'!F71/'Historical B_sheet'!F$45</f>
        <v>5.7867440541452937E-2</v>
      </c>
      <c r="G94" s="144">
        <f>'Historical B_sheet'!G71/'Historical B_sheet'!G$45</f>
        <v>4.0322473437401328E-2</v>
      </c>
      <c r="H94" s="144">
        <f>'Historical B_sheet'!H71/'Historical B_sheet'!H$45</f>
        <v>3.6573849492321328E-2</v>
      </c>
    </row>
    <row r="95" spans="2:8">
      <c r="B95" s="13" t="s">
        <v>75</v>
      </c>
      <c r="D95" s="144">
        <f>'Historical B_sheet'!D72/'Historical B_sheet'!D$45</f>
        <v>0</v>
      </c>
      <c r="E95" s="144">
        <f>'Historical B_sheet'!E72/'Historical B_sheet'!E$45</f>
        <v>5.0890950747614746E-4</v>
      </c>
      <c r="F95" s="144">
        <f>'Historical B_sheet'!F72/'Historical B_sheet'!F$45</f>
        <v>8.9697354122624667E-4</v>
      </c>
      <c r="G95" s="144">
        <f>'Historical B_sheet'!G72/'Historical B_sheet'!G$45</f>
        <v>7.7519251029435697E-4</v>
      </c>
      <c r="H95" s="144">
        <f>'Historical B_sheet'!H72/'Historical B_sheet'!H$45</f>
        <v>7.9835645018787988E-4</v>
      </c>
    </row>
    <row r="96" spans="2:8">
      <c r="B96" s="13" t="s">
        <v>68</v>
      </c>
      <c r="D96" s="144">
        <f>'Historical B_sheet'!D73/'Historical B_sheet'!D$45</f>
        <v>0.28473637510571342</v>
      </c>
      <c r="E96" s="144">
        <f>'Historical B_sheet'!E73/'Historical B_sheet'!E$45</f>
        <v>0.30186234203028217</v>
      </c>
      <c r="F96" s="144">
        <f>'Historical B_sheet'!F73/'Historical B_sheet'!F$45</f>
        <v>0.29308561816750839</v>
      </c>
      <c r="G96" s="144">
        <f>'Historical B_sheet'!G73/'Historical B_sheet'!G$45</f>
        <v>0.31368709142452622</v>
      </c>
      <c r="H96" s="144">
        <f>'Historical B_sheet'!H73/'Historical B_sheet'!H$45</f>
        <v>0.29598571170056004</v>
      </c>
    </row>
    <row r="97" spans="2:8">
      <c r="B97" s="13" t="s">
        <v>62</v>
      </c>
      <c r="D97" s="144">
        <f>'Historical B_sheet'!D74/'Historical B_sheet'!D$45</f>
        <v>1.0920249368030427E-2</v>
      </c>
      <c r="E97" s="144">
        <f>'Historical B_sheet'!E74/'Historical B_sheet'!E$45</f>
        <v>1.0623485968564578E-2</v>
      </c>
      <c r="F97" s="144">
        <f>'Historical B_sheet'!F74/'Historical B_sheet'!F$45</f>
        <v>9.6439248526852296E-3</v>
      </c>
      <c r="G97" s="144">
        <f>'Historical B_sheet'!G74/'Historical B_sheet'!G$45</f>
        <v>2.576081862987839E-2</v>
      </c>
      <c r="H97" s="144">
        <f>'Historical B_sheet'!H74/'Historical B_sheet'!H$45</f>
        <v>2.7731101382145101E-2</v>
      </c>
    </row>
    <row r="98" spans="2:8">
      <c r="B98" t="s">
        <v>63</v>
      </c>
      <c r="D98" s="144">
        <f>'Historical B_sheet'!D75/'Historical B_sheet'!D$45</f>
        <v>1.3812058949936919E-2</v>
      </c>
      <c r="E98" s="144">
        <f>'Historical B_sheet'!E75/'Historical B_sheet'!E$45</f>
        <v>1.629844259326331E-2</v>
      </c>
      <c r="F98" s="144">
        <f>'Historical B_sheet'!F75/'Historical B_sheet'!F$45</f>
        <v>1.6149415167413986E-2</v>
      </c>
      <c r="G98" s="144">
        <f>'Historical B_sheet'!G75/'Historical B_sheet'!G$45</f>
        <v>1.7536964967613068E-2</v>
      </c>
      <c r="H98" s="144">
        <f>'Historical B_sheet'!H75/'Historical B_sheet'!H$45</f>
        <v>1.8233700982814807E-2</v>
      </c>
    </row>
    <row r="99" spans="2:8">
      <c r="B99" t="s">
        <v>69</v>
      </c>
      <c r="D99" s="144">
        <f>'Historical B_sheet'!D76/'Historical B_sheet'!D$45</f>
        <v>8.7747877645145047E-3</v>
      </c>
      <c r="E99" s="144">
        <f>'Historical B_sheet'!E76/'Historical B_sheet'!E$45</f>
        <v>6.1859181866405098E-3</v>
      </c>
      <c r="F99" s="144">
        <f>'Historical B_sheet'!F76/'Historical B_sheet'!F$45</f>
        <v>4.635660438116123E-3</v>
      </c>
      <c r="G99" s="144">
        <f>'Historical B_sheet'!G76/'Historical B_sheet'!G$45</f>
        <v>4.625398397436962E-3</v>
      </c>
      <c r="H99" s="144">
        <f>'Historical B_sheet'!H76/'Historical B_sheet'!H$45</f>
        <v>8.8815254234710719E-3</v>
      </c>
    </row>
    <row r="100" spans="2:8">
      <c r="B100" t="s">
        <v>70</v>
      </c>
      <c r="D100" s="144">
        <f>'Historical B_sheet'!D77/'Historical B_sheet'!D$45</f>
        <v>8.4385845730103951E-3</v>
      </c>
      <c r="E100" s="144">
        <f>'Historical B_sheet'!E77/'Historical B_sheet'!E$45</f>
        <v>9.1152259363268019E-3</v>
      </c>
      <c r="F100" s="144">
        <f>'Historical B_sheet'!F77/'Historical B_sheet'!F$45</f>
        <v>1.6537584845233152E-2</v>
      </c>
      <c r="G100" s="144">
        <f>'Historical B_sheet'!G77/'Historical B_sheet'!G$45</f>
        <v>2.1848298232261958E-2</v>
      </c>
      <c r="H100" s="144">
        <f>'Historical B_sheet'!H77/'Historical B_sheet'!H$45</f>
        <v>2.443807110998919E-2</v>
      </c>
    </row>
    <row r="101" spans="2:8">
      <c r="D101" s="147"/>
      <c r="E101" s="147"/>
      <c r="F101" s="147"/>
      <c r="G101" s="147"/>
      <c r="H101" s="147"/>
    </row>
    <row r="102" spans="2:8">
      <c r="B102" s="4" t="s">
        <v>71</v>
      </c>
      <c r="C102" s="4"/>
      <c r="D102" s="165">
        <f>'Historical B_sheet'!D79/'Historical B_sheet'!D$45</f>
        <v>0.40484063275520255</v>
      </c>
      <c r="E102" s="165">
        <f>'Historical B_sheet'!E79/'Historical B_sheet'!E$45</f>
        <v>0.41614741138459299</v>
      </c>
      <c r="F102" s="165">
        <f>'Historical B_sheet'!F79/'Historical B_sheet'!F$45</f>
        <v>0.44941487555708193</v>
      </c>
      <c r="G102" s="165">
        <f>'Historical B_sheet'!G79/'Historical B_sheet'!G$45</f>
        <v>0.47827466906840621</v>
      </c>
      <c r="H102" s="165">
        <f>'Historical B_sheet'!H79/'Historical B_sheet'!H$45</f>
        <v>0.45662187253364889</v>
      </c>
    </row>
    <row r="103" spans="2:8">
      <c r="B103" s="16" t="s">
        <v>72</v>
      </c>
      <c r="C103" s="16"/>
      <c r="D103" s="273">
        <f>'Historical B_sheet'!D80/'Historical B_sheet'!D$45</f>
        <v>0.41892881735039539</v>
      </c>
      <c r="E103" s="273">
        <f>'Historical B_sheet'!E80/'Historical B_sheet'!E$45</f>
        <v>0.43182305544753774</v>
      </c>
      <c r="F103" s="273">
        <f>'Historical B_sheet'!F80/'Historical B_sheet'!F$45</f>
        <v>0.46553996931611125</v>
      </c>
      <c r="G103" s="273">
        <f>'Historical B_sheet'!G80/'Historical B_sheet'!G$45</f>
        <v>0.51359702618538794</v>
      </c>
      <c r="H103" s="273">
        <f>'Historical B_sheet'!H80/'Historical B_sheet'!H$45</f>
        <v>0.5027151722701152</v>
      </c>
    </row>
    <row r="104" spans="2:8">
      <c r="B104" s="6"/>
      <c r="D104" s="147"/>
      <c r="E104" s="147"/>
      <c r="F104" s="147"/>
      <c r="G104" s="147"/>
      <c r="H104" s="147"/>
    </row>
    <row r="105" spans="2:8" ht="15.75" thickBot="1">
      <c r="B105" s="8" t="s">
        <v>73</v>
      </c>
      <c r="C105" s="8"/>
      <c r="D105" s="272">
        <f>'Historical B_sheet'!D82/'Historical B_sheet'!D$45</f>
        <v>1.0000000000000002</v>
      </c>
      <c r="E105" s="272">
        <f>'Historical B_sheet'!E82/'Historical B_sheet'!E$45</f>
        <v>1</v>
      </c>
      <c r="F105" s="272">
        <f>'Historical B_sheet'!F82/'Historical B_sheet'!F$45</f>
        <v>1</v>
      </c>
      <c r="G105" s="272">
        <f>'Historical B_sheet'!G82/'Historical B_sheet'!G$45</f>
        <v>0.99999999999999967</v>
      </c>
      <c r="H105" s="272">
        <f>'Historical B_sheet'!H82/'Historical B_sheet'!H$45</f>
        <v>1</v>
      </c>
    </row>
    <row r="107" spans="2:8">
      <c r="B107" s="129"/>
      <c r="C107" s="129"/>
      <c r="D107" s="129"/>
      <c r="E107" s="129"/>
      <c r="F107" s="129"/>
      <c r="G107" s="129"/>
      <c r="H107" s="12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R55"/>
  <sheetViews>
    <sheetView showGridLines="0" topLeftCell="A26" workbookViewId="0">
      <selection activeCell="D35" sqref="D35"/>
    </sheetView>
  </sheetViews>
  <sheetFormatPr defaultRowHeight="15"/>
  <cols>
    <col min="1" max="1" width="1.85546875" customWidth="1"/>
    <col min="2" max="2" width="42.42578125" bestFit="1" customWidth="1"/>
    <col min="4" max="4" width="9.5703125" bestFit="1" customWidth="1"/>
    <col min="5" max="8" width="10.7109375" bestFit="1" customWidth="1"/>
  </cols>
  <sheetData>
    <row r="1" spans="1:18">
      <c r="A1" s="12"/>
    </row>
    <row r="10" spans="1:18">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row>
    <row r="11" spans="1:18">
      <c r="B11" s="1" t="s">
        <v>197</v>
      </c>
      <c r="D11" s="244"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2" spans="1:18">
      <c r="B12" s="1" t="s">
        <v>23</v>
      </c>
    </row>
    <row r="13" spans="1:18">
      <c r="B13" s="1" t="s">
        <v>24</v>
      </c>
    </row>
    <row r="14" spans="1:18">
      <c r="B14" s="14" t="s">
        <v>200</v>
      </c>
      <c r="D14" s="227">
        <f>'Historical B_sheet'!D14+'Historical B_sheet'!D15+'Historical B_sheet'!D16+'Historical B_sheet'!D18+'Historical B_sheet'!D19+'Historical B_sheet'!D20</f>
        <v>607.66000000000008</v>
      </c>
      <c r="E14" s="227">
        <f>'Historical B_sheet'!E14+'Historical B_sheet'!E15+'Historical B_sheet'!E16+'Historical B_sheet'!E18+'Historical B_sheet'!E19+'Historical B_sheet'!E20</f>
        <v>636.73</v>
      </c>
      <c r="F14" s="227">
        <f>'Historical B_sheet'!F14+'Historical B_sheet'!F15+'Historical B_sheet'!F16+'Historical B_sheet'!F18+'Historical B_sheet'!F19+'Historical B_sheet'!F20</f>
        <v>821.13000000000011</v>
      </c>
      <c r="G14" s="227">
        <f>'Historical B_sheet'!G14+'Historical B_sheet'!G15+'Historical B_sheet'!G16+'Historical B_sheet'!G18+'Historical B_sheet'!G19+'Historical B_sheet'!G20</f>
        <v>1081.8500000000001</v>
      </c>
      <c r="H14" s="227">
        <f>'Historical B_sheet'!H14+'Historical B_sheet'!H15+'Historical B_sheet'!H16+'Historical B_sheet'!H18+'Historical B_sheet'!H19+'Historical B_sheet'!H20</f>
        <v>1190.5100000000002</v>
      </c>
      <c r="I14" s="227">
        <f>Schedules!I17</f>
        <v>1394.5449903486167</v>
      </c>
      <c r="J14" s="227">
        <f>Schedules!J17</f>
        <v>1654.5803886156752</v>
      </c>
      <c r="K14" s="227">
        <f>Schedules!K17</f>
        <v>1988.2239638305646</v>
      </c>
      <c r="L14" s="227">
        <f>Schedules!L17</f>
        <v>2413.7595247096938</v>
      </c>
      <c r="M14" s="227">
        <f>Schedules!M17</f>
        <v>2955.6438047172883</v>
      </c>
      <c r="N14" s="227">
        <f>Schedules!N17</f>
        <v>3550.0644303926738</v>
      </c>
      <c r="O14" s="227">
        <f>Schedules!O17</f>
        <v>4294.5323213596321</v>
      </c>
      <c r="P14" s="227">
        <f>Schedules!P17</f>
        <v>5225.5465345068214</v>
      </c>
      <c r="Q14" s="227">
        <f>Schedules!Q17</f>
        <v>6389.5290571327259</v>
      </c>
      <c r="R14" s="227">
        <f>Schedules!R17</f>
        <v>7845.0582078256912</v>
      </c>
    </row>
    <row r="15" spans="1:18">
      <c r="B15" s="14" t="s">
        <v>28</v>
      </c>
      <c r="D15" s="227">
        <f>'Historical B_sheet'!D17</f>
        <v>72.31</v>
      </c>
      <c r="E15" s="227">
        <f>'Historical B_sheet'!E17</f>
        <v>72.31</v>
      </c>
      <c r="F15" s="227">
        <f>'Historical B_sheet'!F17</f>
        <v>72.31</v>
      </c>
      <c r="G15" s="227">
        <f>'Historical B_sheet'!G17</f>
        <v>72.31</v>
      </c>
      <c r="H15" s="227">
        <f>'Historical B_sheet'!H17</f>
        <v>72.31</v>
      </c>
      <c r="I15" s="227">
        <f>H15</f>
        <v>72.31</v>
      </c>
      <c r="J15" s="227">
        <f t="shared" ref="J15:P15" si="1">I15</f>
        <v>72.31</v>
      </c>
      <c r="K15" s="227">
        <f t="shared" si="1"/>
        <v>72.31</v>
      </c>
      <c r="L15" s="227">
        <f t="shared" si="1"/>
        <v>72.31</v>
      </c>
      <c r="M15" s="227">
        <f t="shared" si="1"/>
        <v>72.31</v>
      </c>
      <c r="N15" s="227">
        <f t="shared" si="1"/>
        <v>72.31</v>
      </c>
      <c r="O15" s="227">
        <f t="shared" si="1"/>
        <v>72.31</v>
      </c>
      <c r="P15" s="227">
        <f t="shared" si="1"/>
        <v>72.31</v>
      </c>
      <c r="Q15" s="227">
        <f t="shared" ref="Q15:R15" si="2">P15</f>
        <v>72.31</v>
      </c>
      <c r="R15" s="227">
        <f t="shared" si="2"/>
        <v>72.31</v>
      </c>
    </row>
    <row r="16" spans="1:18">
      <c r="B16" t="s">
        <v>201</v>
      </c>
      <c r="D16" s="227">
        <f>B_Sheet!D15+B_Sheet!D16+B_Sheet!D17+B_Sheet!D24+B_Sheet!D25+B_Sheet!D26+B_Sheet!D27</f>
        <v>4034.33</v>
      </c>
      <c r="E16" s="227">
        <f>B_Sheet!E15+B_Sheet!E16+B_Sheet!E17+B_Sheet!E24+B_Sheet!E25+B_Sheet!E26+B_Sheet!E27</f>
        <v>4264.0700000000006</v>
      </c>
      <c r="F16" s="227">
        <f>B_Sheet!F15+B_Sheet!F16+B_Sheet!F17+B_Sheet!F24+B_Sheet!F25+B_Sheet!F26+B_Sheet!F27</f>
        <v>4441.5</v>
      </c>
      <c r="G16" s="227">
        <f>B_Sheet!G15+B_Sheet!G16+B_Sheet!G17+B_Sheet!G24+B_Sheet!G25+B_Sheet!G26+B_Sheet!G27</f>
        <v>5026.9100000000008</v>
      </c>
      <c r="H16" s="227">
        <f>B_Sheet!H15+B_Sheet!H16+B_Sheet!H17+B_Sheet!H24+B_Sheet!H25+B_Sheet!H26+B_Sheet!H27</f>
        <v>5416.81</v>
      </c>
      <c r="I16" s="227">
        <f>B_Sheet!I15+B_Sheet!I16+B_Sheet!I17+B_Sheet!I24+B_Sheet!I25+B_Sheet!I26+B_Sheet!I27</f>
        <v>5416.81</v>
      </c>
      <c r="J16" s="227">
        <f>B_Sheet!J15+B_Sheet!J16+B_Sheet!J17+B_Sheet!J24+B_Sheet!J25+B_Sheet!J26+B_Sheet!J27</f>
        <v>5416.81</v>
      </c>
      <c r="K16" s="227">
        <f>B_Sheet!K15+B_Sheet!K16+B_Sheet!K17+B_Sheet!K24+B_Sheet!K25+B_Sheet!K26+B_Sheet!K27</f>
        <v>5416.81</v>
      </c>
      <c r="L16" s="227">
        <f>B_Sheet!L15+B_Sheet!L16+B_Sheet!L17+B_Sheet!L24+B_Sheet!L25+B_Sheet!L26+B_Sheet!L27</f>
        <v>5416.81</v>
      </c>
      <c r="M16" s="227">
        <f>B_Sheet!M15+B_Sheet!M16+B_Sheet!M17+B_Sheet!M24+B_Sheet!M25+B_Sheet!M26+B_Sheet!M27</f>
        <v>5416.81</v>
      </c>
      <c r="N16" s="227">
        <f>B_Sheet!N15+B_Sheet!N16+B_Sheet!N17+B_Sheet!N24+B_Sheet!N25+B_Sheet!N26+B_Sheet!N27</f>
        <v>5416.81</v>
      </c>
      <c r="O16" s="227">
        <f>B_Sheet!O15+B_Sheet!O16+B_Sheet!O17+B_Sheet!O24+B_Sheet!O25+B_Sheet!O26+B_Sheet!O27</f>
        <v>5416.81</v>
      </c>
      <c r="P16" s="227">
        <f>B_Sheet!P15+B_Sheet!P16+B_Sheet!P17+B_Sheet!P24+B_Sheet!P25+B_Sheet!P26+B_Sheet!P27</f>
        <v>5416.81</v>
      </c>
      <c r="Q16" s="227">
        <f>B_Sheet!Q15+B_Sheet!Q16+B_Sheet!Q17+B_Sheet!Q24+B_Sheet!Q25+B_Sheet!Q26+B_Sheet!Q27</f>
        <v>5416.81</v>
      </c>
      <c r="R16" s="227">
        <f>B_Sheet!R15+B_Sheet!R16+B_Sheet!R17+B_Sheet!R24+B_Sheet!R25+B_Sheet!R26+B_Sheet!R27</f>
        <v>5416.81</v>
      </c>
    </row>
    <row r="17" spans="2:18">
      <c r="B17" t="s">
        <v>202</v>
      </c>
      <c r="D17" s="227">
        <f>B_Sheet!D20+B_Sheet!D19+B_Sheet!D18</f>
        <v>175.92</v>
      </c>
      <c r="E17" s="227">
        <f>B_Sheet!E20+B_Sheet!E19+B_Sheet!E18</f>
        <v>159.53</v>
      </c>
      <c r="F17" s="227">
        <f>B_Sheet!F20+B_Sheet!F19+B_Sheet!F18</f>
        <v>136.18</v>
      </c>
      <c r="G17" s="227">
        <f>B_Sheet!G20+B_Sheet!G19+B_Sheet!G18</f>
        <v>151.56</v>
      </c>
      <c r="H17" s="227">
        <f>B_Sheet!H20+B_Sheet!H19+B_Sheet!H18</f>
        <v>136.41999999999999</v>
      </c>
      <c r="I17" s="227">
        <f>B_Sheet!I20+B_Sheet!I19+B_Sheet!I18</f>
        <v>136.41999999999999</v>
      </c>
      <c r="J17" s="227">
        <f>B_Sheet!J20+B_Sheet!J19+B_Sheet!J18</f>
        <v>136.41999999999999</v>
      </c>
      <c r="K17" s="227">
        <f>B_Sheet!K20+B_Sheet!K19+B_Sheet!K18</f>
        <v>136.41999999999999</v>
      </c>
      <c r="L17" s="227">
        <f>B_Sheet!L20+B_Sheet!L19+B_Sheet!L18</f>
        <v>136.41999999999999</v>
      </c>
      <c r="M17" s="227">
        <f>B_Sheet!M20+B_Sheet!M19+B_Sheet!M18</f>
        <v>136.41999999999999</v>
      </c>
      <c r="N17" s="227">
        <f>B_Sheet!N20+B_Sheet!N19+B_Sheet!N18</f>
        <v>136.41999999999999</v>
      </c>
      <c r="O17" s="227">
        <f>B_Sheet!O20+B_Sheet!O19+B_Sheet!O18</f>
        <v>136.41999999999999</v>
      </c>
      <c r="P17" s="227">
        <f>B_Sheet!P20+B_Sheet!P19+B_Sheet!P18</f>
        <v>136.41999999999999</v>
      </c>
      <c r="Q17" s="227">
        <f>B_Sheet!Q20+B_Sheet!Q19+B_Sheet!Q18</f>
        <v>136.41999999999999</v>
      </c>
      <c r="R17" s="227">
        <f>B_Sheet!R20+B_Sheet!R19+B_Sheet!R18</f>
        <v>136.41999999999999</v>
      </c>
    </row>
    <row r="18" spans="2:18">
      <c r="B18" s="4" t="s">
        <v>207</v>
      </c>
      <c r="C18" s="5"/>
      <c r="D18" s="177">
        <f>SUM(D14:D17)</f>
        <v>4890.22</v>
      </c>
      <c r="E18" s="177">
        <f t="shared" ref="E18:I18" si="3">SUM(E14:E17)</f>
        <v>5132.6400000000003</v>
      </c>
      <c r="F18" s="177">
        <f t="shared" si="3"/>
        <v>5471.1200000000008</v>
      </c>
      <c r="G18" s="177">
        <f t="shared" si="3"/>
        <v>6332.630000000001</v>
      </c>
      <c r="H18" s="177">
        <f t="shared" si="3"/>
        <v>6816.0500000000011</v>
      </c>
      <c r="I18" s="177">
        <f t="shared" si="3"/>
        <v>7020.0849903486169</v>
      </c>
      <c r="J18" s="177">
        <f t="shared" ref="J18" si="4">SUM(J14:J17)</f>
        <v>7280.1203886156754</v>
      </c>
      <c r="K18" s="177">
        <f t="shared" ref="K18" si="5">SUM(K14:K17)</f>
        <v>7613.7639638305645</v>
      </c>
      <c r="L18" s="177">
        <f t="shared" ref="L18" si="6">SUM(L14:L17)</f>
        <v>8039.2995247096942</v>
      </c>
      <c r="M18" s="177">
        <f t="shared" ref="M18" si="7">SUM(M14:M17)</f>
        <v>8581.1838047172878</v>
      </c>
      <c r="N18" s="177">
        <f t="shared" ref="N18" si="8">SUM(N14:N17)</f>
        <v>9175.6044303926737</v>
      </c>
      <c r="O18" s="177">
        <f t="shared" ref="O18" si="9">SUM(O14:O17)</f>
        <v>9920.0723213596339</v>
      </c>
      <c r="P18" s="177">
        <f t="shared" ref="P18" si="10">SUM(P14:P17)</f>
        <v>10851.086534506821</v>
      </c>
      <c r="Q18" s="177">
        <f t="shared" ref="Q18" si="11">SUM(Q14:Q17)</f>
        <v>12015.069057132727</v>
      </c>
      <c r="R18" s="177">
        <f t="shared" ref="R18" si="12">SUM(R14:R17)</f>
        <v>13470.598207825691</v>
      </c>
    </row>
    <row r="19" spans="2:18">
      <c r="D19" s="176"/>
      <c r="E19" s="176"/>
      <c r="F19" s="176"/>
      <c r="G19" s="176"/>
      <c r="H19" s="176"/>
      <c r="I19" s="176"/>
      <c r="J19" s="176"/>
      <c r="K19" s="176"/>
      <c r="L19" s="176"/>
      <c r="M19" s="176"/>
      <c r="N19" s="176"/>
      <c r="O19" s="176"/>
      <c r="P19" s="176"/>
      <c r="Q19" s="176"/>
      <c r="R19" s="176"/>
    </row>
    <row r="20" spans="2:18">
      <c r="B20" s="1" t="s">
        <v>41</v>
      </c>
      <c r="D20" s="176"/>
      <c r="E20" s="176"/>
      <c r="F20" s="176"/>
      <c r="G20" s="176"/>
      <c r="H20" s="176"/>
      <c r="I20" s="176"/>
      <c r="J20" s="176"/>
      <c r="K20" s="176"/>
      <c r="L20" s="176"/>
      <c r="M20" s="176"/>
      <c r="N20" s="176"/>
      <c r="O20" s="176"/>
      <c r="P20" s="176"/>
      <c r="Q20" s="176"/>
      <c r="R20" s="176"/>
    </row>
    <row r="21" spans="2:18">
      <c r="B21" s="40" t="s">
        <v>203</v>
      </c>
      <c r="D21" s="227">
        <f>'Historical B_sheet'!D37</f>
        <v>448.15</v>
      </c>
      <c r="E21" s="227">
        <f>'Historical B_sheet'!E37</f>
        <v>558.9</v>
      </c>
      <c r="F21" s="227">
        <f>'Historical B_sheet'!F37</f>
        <v>692.72</v>
      </c>
      <c r="G21" s="227">
        <f>'Historical B_sheet'!G37</f>
        <v>815.3</v>
      </c>
      <c r="H21" s="227">
        <f>'Historical B_sheet'!H37</f>
        <v>649.79</v>
      </c>
      <c r="I21" s="227">
        <f>CashFlow!I39</f>
        <v>857.13671702619308</v>
      </c>
      <c r="J21" s="227">
        <f>CashFlow!J39</f>
        <v>999.04637535272411</v>
      </c>
      <c r="K21" s="227">
        <f>CashFlow!K39</f>
        <v>1150.8701655527693</v>
      </c>
      <c r="L21" s="227">
        <f>CashFlow!L39</f>
        <v>1311.2127324432754</v>
      </c>
      <c r="M21" s="227">
        <f>CashFlow!M39</f>
        <v>1477.1330445122339</v>
      </c>
      <c r="N21" s="227">
        <f>CashFlow!N39</f>
        <v>2049.5245448583464</v>
      </c>
      <c r="O21" s="227">
        <f>CashFlow!O39</f>
        <v>3128.5024884803902</v>
      </c>
      <c r="P21" s="227">
        <f>CashFlow!P39</f>
        <v>4421.6564847745076</v>
      </c>
      <c r="Q21" s="227">
        <f>CashFlow!Q39</f>
        <v>5978.8090398125132</v>
      </c>
      <c r="R21" s="227">
        <f>CashFlow!R39</f>
        <v>7862.1962012093372</v>
      </c>
    </row>
    <row r="22" spans="2:18">
      <c r="B22" s="40" t="s">
        <v>204</v>
      </c>
      <c r="D22" s="227">
        <f>'Historical B_sheet'!D38</f>
        <v>10.64</v>
      </c>
      <c r="E22" s="227">
        <f>'Historical B_sheet'!E38</f>
        <v>12.77</v>
      </c>
      <c r="F22" s="227">
        <f>'Historical B_sheet'!F38</f>
        <v>15.66</v>
      </c>
      <c r="G22" s="227">
        <f>'Historical B_sheet'!G38</f>
        <v>37.020000000000003</v>
      </c>
      <c r="H22" s="227">
        <f>'Historical B_sheet'!H38</f>
        <v>28.45</v>
      </c>
      <c r="I22" s="227">
        <f>H22</f>
        <v>28.45</v>
      </c>
      <c r="J22" s="227">
        <f t="shared" ref="J22:P22" si="13">I22</f>
        <v>28.45</v>
      </c>
      <c r="K22" s="227">
        <f t="shared" si="13"/>
        <v>28.45</v>
      </c>
      <c r="L22" s="227">
        <f t="shared" si="13"/>
        <v>28.45</v>
      </c>
      <c r="M22" s="227">
        <f t="shared" si="13"/>
        <v>28.45</v>
      </c>
      <c r="N22" s="227">
        <f t="shared" si="13"/>
        <v>28.45</v>
      </c>
      <c r="O22" s="227">
        <f t="shared" si="13"/>
        <v>28.45</v>
      </c>
      <c r="P22" s="227">
        <f t="shared" si="13"/>
        <v>28.45</v>
      </c>
      <c r="Q22" s="227">
        <f t="shared" ref="Q22:R22" si="14">P22</f>
        <v>28.45</v>
      </c>
      <c r="R22" s="227">
        <f t="shared" si="14"/>
        <v>28.45</v>
      </c>
    </row>
    <row r="23" spans="2:18">
      <c r="B23" s="40" t="s">
        <v>205</v>
      </c>
      <c r="D23" s="227">
        <f>'Working capital'!D15</f>
        <v>1800.93</v>
      </c>
      <c r="E23" s="227">
        <f>'Working capital'!E15</f>
        <v>2109.67</v>
      </c>
      <c r="F23" s="227">
        <f>'Working capital'!F15</f>
        <v>2191.85</v>
      </c>
      <c r="G23" s="227">
        <f>'Working capital'!G15</f>
        <v>2400.31</v>
      </c>
      <c r="H23" s="227">
        <f>'Working capital'!H15</f>
        <v>2511.4699999999998</v>
      </c>
      <c r="I23" s="227">
        <f>'Working capital'!I15</f>
        <v>4152.20953674873</v>
      </c>
      <c r="J23" s="227">
        <f>'Working capital'!J15</f>
        <v>5156.8259566691859</v>
      </c>
      <c r="K23" s="227">
        <f>'Working capital'!K15</f>
        <v>6442.2589295403013</v>
      </c>
      <c r="L23" s="227">
        <f>'Working capital'!L15</f>
        <v>8090.7425173984993</v>
      </c>
      <c r="M23" s="227">
        <f>'Working capital'!M15</f>
        <v>10208.980898377931</v>
      </c>
      <c r="N23" s="227">
        <f>'Working capital'!N15</f>
        <v>12629.200000642717</v>
      </c>
      <c r="O23" s="227">
        <f>'Working capital'!O15</f>
        <v>15683.069937734999</v>
      </c>
      <c r="P23" s="227">
        <f>'Working capital'!P15</f>
        <v>19540.228179686677</v>
      </c>
      <c r="Q23" s="227">
        <f>'Working capital'!Q15</f>
        <v>24416.014425993864</v>
      </c>
      <c r="R23" s="227">
        <f>'Working capital'!R15</f>
        <v>30583.803190782019</v>
      </c>
    </row>
    <row r="24" spans="2:18">
      <c r="B24" s="40" t="s">
        <v>42</v>
      </c>
      <c r="D24" s="227">
        <f>'Working capital'!D14</f>
        <v>1279.5999999999999</v>
      </c>
      <c r="E24" s="227">
        <f>'Working capital'!E14</f>
        <v>1661.39</v>
      </c>
      <c r="F24" s="227">
        <f>'Working capital'!F14</f>
        <v>1591.97</v>
      </c>
      <c r="G24" s="227">
        <f>'Working capital'!G14</f>
        <v>2135.38</v>
      </c>
      <c r="H24" s="227">
        <f>'Working capital'!H14</f>
        <v>2714.81</v>
      </c>
      <c r="I24" s="227">
        <f>'Working capital'!I14</f>
        <v>3435.3750669686879</v>
      </c>
      <c r="J24" s="227">
        <f>'Working capital'!J14</f>
        <v>4266.5552302810793</v>
      </c>
      <c r="K24" s="227">
        <f>'Working capital'!K14</f>
        <v>5330.0719786961063</v>
      </c>
      <c r="L24" s="227">
        <f>'Working capital'!L14</f>
        <v>6693.9625448907764</v>
      </c>
      <c r="M24" s="227">
        <f>'Working capital'!M14</f>
        <v>8446.509774386057</v>
      </c>
      <c r="N24" s="227">
        <f>'Working capital'!N14</f>
        <v>9906.1037832111087</v>
      </c>
      <c r="O24" s="227">
        <f>'Working capital'!O14</f>
        <v>12301.501158795072</v>
      </c>
      <c r="P24" s="227">
        <f>'Working capital'!P14</f>
        <v>15326.982571006209</v>
      </c>
      <c r="Q24" s="227">
        <f>'Working capital'!Q14</f>
        <v>19151.456376014779</v>
      </c>
      <c r="R24" s="227">
        <f>'Working capital'!R14</f>
        <v>23989.352332512855</v>
      </c>
    </row>
    <row r="25" spans="2:18">
      <c r="B25" s="40" t="s">
        <v>206</v>
      </c>
      <c r="D25" s="227">
        <f>B_Sheet!D28</f>
        <v>225.94</v>
      </c>
      <c r="E25" s="227">
        <f>B_Sheet!E28</f>
        <v>270.95999999999998</v>
      </c>
      <c r="F25" s="227">
        <f>B_Sheet!F28</f>
        <v>315.69</v>
      </c>
      <c r="G25" s="227">
        <f>B_Sheet!G28</f>
        <v>315.08</v>
      </c>
      <c r="H25" s="227">
        <f>B_Sheet!H28</f>
        <v>431.45</v>
      </c>
      <c r="I25" s="227">
        <f>B_Sheet!I28</f>
        <v>431.45</v>
      </c>
      <c r="J25" s="227">
        <f>B_Sheet!J28</f>
        <v>431.45</v>
      </c>
      <c r="K25" s="227">
        <f>B_Sheet!K28</f>
        <v>431.45</v>
      </c>
      <c r="L25" s="227">
        <f>B_Sheet!L28</f>
        <v>431.45</v>
      </c>
      <c r="M25" s="227">
        <f>B_Sheet!M28</f>
        <v>431.45</v>
      </c>
      <c r="N25" s="227">
        <f>B_Sheet!N28</f>
        <v>431.45</v>
      </c>
      <c r="O25" s="227">
        <f>B_Sheet!O28</f>
        <v>431.45</v>
      </c>
      <c r="P25" s="227">
        <f>B_Sheet!P28</f>
        <v>431.45</v>
      </c>
      <c r="Q25" s="227">
        <f>B_Sheet!Q28</f>
        <v>431.45</v>
      </c>
      <c r="R25" s="227">
        <f>B_Sheet!R28</f>
        <v>431.45</v>
      </c>
    </row>
    <row r="26" spans="2:18">
      <c r="B26" s="47" t="s">
        <v>208</v>
      </c>
      <c r="C26" s="5"/>
      <c r="D26" s="177">
        <f>SUM(D21:D25)</f>
        <v>3765.26</v>
      </c>
      <c r="E26" s="177">
        <f t="shared" ref="E26:I26" si="15">SUM(E21:E25)</f>
        <v>4613.6900000000005</v>
      </c>
      <c r="F26" s="177">
        <f t="shared" si="15"/>
        <v>4807.8899999999994</v>
      </c>
      <c r="G26" s="177">
        <f t="shared" si="15"/>
        <v>5703.09</v>
      </c>
      <c r="H26" s="177">
        <f t="shared" si="15"/>
        <v>6335.97</v>
      </c>
      <c r="I26" s="177">
        <f t="shared" si="15"/>
        <v>8904.6213207436122</v>
      </c>
      <c r="J26" s="177">
        <f t="shared" ref="J26" si="16">SUM(J21:J25)</f>
        <v>10882.327562302989</v>
      </c>
      <c r="K26" s="177">
        <f t="shared" ref="K26" si="17">SUM(K21:K25)</f>
        <v>13383.101073789177</v>
      </c>
      <c r="L26" s="177">
        <f t="shared" ref="L26" si="18">SUM(L21:L25)</f>
        <v>16555.817794732553</v>
      </c>
      <c r="M26" s="177">
        <f t="shared" ref="M26" si="19">SUM(M21:M25)</f>
        <v>20592.523717276224</v>
      </c>
      <c r="N26" s="177">
        <f t="shared" ref="N26" si="20">SUM(N21:N25)</f>
        <v>25044.728328712172</v>
      </c>
      <c r="O26" s="177">
        <f t="shared" ref="O26" si="21">SUM(O21:O25)</f>
        <v>31572.973585010463</v>
      </c>
      <c r="P26" s="177">
        <f t="shared" ref="P26" si="22">SUM(P21:P25)</f>
        <v>39748.767235467392</v>
      </c>
      <c r="Q26" s="177">
        <f t="shared" ref="Q26" si="23">SUM(Q21:Q25)</f>
        <v>50006.179841821155</v>
      </c>
      <c r="R26" s="177">
        <f t="shared" ref="R26" si="24">SUM(R21:R25)</f>
        <v>62895.251724504211</v>
      </c>
    </row>
    <row r="27" spans="2:18">
      <c r="D27" s="176"/>
      <c r="E27" s="176"/>
      <c r="F27" s="176"/>
      <c r="G27" s="176"/>
      <c r="H27" s="176"/>
      <c r="I27" s="176"/>
      <c r="J27" s="176"/>
      <c r="K27" s="176"/>
      <c r="L27" s="176"/>
      <c r="M27" s="176"/>
      <c r="N27" s="176"/>
      <c r="O27" s="176"/>
      <c r="P27" s="176"/>
      <c r="Q27" s="176"/>
      <c r="R27" s="176"/>
    </row>
    <row r="28" spans="2:18">
      <c r="B28" s="48" t="s">
        <v>49</v>
      </c>
      <c r="C28" s="17"/>
      <c r="D28" s="226">
        <f>D26+D18</f>
        <v>8655.48</v>
      </c>
      <c r="E28" s="226">
        <f t="shared" ref="E28:I28" si="25">E26+E18</f>
        <v>9746.3300000000017</v>
      </c>
      <c r="F28" s="226">
        <f t="shared" si="25"/>
        <v>10279.01</v>
      </c>
      <c r="G28" s="226">
        <f t="shared" si="25"/>
        <v>12035.720000000001</v>
      </c>
      <c r="H28" s="226">
        <f t="shared" si="25"/>
        <v>13152.02</v>
      </c>
      <c r="I28" s="226">
        <f t="shared" si="25"/>
        <v>15924.706311092228</v>
      </c>
      <c r="J28" s="226">
        <f t="shared" ref="J28:P28" si="26">J26+J18</f>
        <v>18162.447950918664</v>
      </c>
      <c r="K28" s="226">
        <f t="shared" si="26"/>
        <v>20996.86503761974</v>
      </c>
      <c r="L28" s="226">
        <f t="shared" si="26"/>
        <v>24595.117319442248</v>
      </c>
      <c r="M28" s="226">
        <f t="shared" si="26"/>
        <v>29173.707521993514</v>
      </c>
      <c r="N28" s="226">
        <f t="shared" si="26"/>
        <v>34220.332759104844</v>
      </c>
      <c r="O28" s="226">
        <f t="shared" si="26"/>
        <v>41493.045906370098</v>
      </c>
      <c r="P28" s="226">
        <f t="shared" si="26"/>
        <v>50599.853769974216</v>
      </c>
      <c r="Q28" s="226">
        <f t="shared" ref="Q28:R28" si="27">Q26+Q18</f>
        <v>62021.248898953883</v>
      </c>
      <c r="R28" s="226">
        <f t="shared" si="27"/>
        <v>76365.849932329904</v>
      </c>
    </row>
    <row r="29" spans="2:18">
      <c r="D29" s="176"/>
      <c r="E29" s="176"/>
      <c r="F29" s="176"/>
      <c r="G29" s="176"/>
      <c r="H29" s="176"/>
      <c r="I29" s="176"/>
      <c r="J29" s="176"/>
      <c r="K29" s="176"/>
      <c r="L29" s="176"/>
      <c r="M29" s="176"/>
      <c r="N29" s="176"/>
      <c r="O29" s="176"/>
      <c r="P29" s="176"/>
      <c r="Q29" s="176"/>
      <c r="R29" s="176"/>
    </row>
    <row r="30" spans="2:18">
      <c r="D30" s="176"/>
      <c r="E30" s="176"/>
      <c r="F30" s="176"/>
      <c r="G30" s="176"/>
      <c r="H30" s="176"/>
      <c r="I30" s="176"/>
      <c r="J30" s="176"/>
      <c r="K30" s="176"/>
      <c r="L30" s="176"/>
      <c r="M30" s="176"/>
      <c r="N30" s="176"/>
      <c r="O30" s="176"/>
      <c r="P30" s="176"/>
      <c r="Q30" s="176"/>
      <c r="R30" s="176"/>
    </row>
    <row r="31" spans="2:18">
      <c r="B31" s="1" t="s">
        <v>57</v>
      </c>
      <c r="D31" s="176"/>
      <c r="E31" s="176"/>
      <c r="F31" s="176"/>
      <c r="G31" s="176"/>
      <c r="H31" s="176"/>
      <c r="I31" s="176"/>
      <c r="J31" s="176"/>
      <c r="K31" s="176"/>
      <c r="L31" s="176"/>
      <c r="M31" s="176"/>
      <c r="N31" s="176"/>
      <c r="O31" s="176"/>
      <c r="P31" s="176"/>
      <c r="Q31" s="176"/>
      <c r="R31" s="176"/>
    </row>
    <row r="32" spans="2:18">
      <c r="B32" s="1" t="s">
        <v>67</v>
      </c>
      <c r="D32" s="176"/>
      <c r="E32" s="176"/>
      <c r="F32" s="176"/>
      <c r="G32" s="176"/>
      <c r="H32" s="176"/>
      <c r="I32" s="176"/>
      <c r="J32" s="176"/>
      <c r="K32" s="176"/>
      <c r="L32" s="176"/>
      <c r="M32" s="176"/>
      <c r="N32" s="176"/>
      <c r="O32" s="176"/>
      <c r="P32" s="176"/>
      <c r="Q32" s="176"/>
      <c r="R32" s="176"/>
    </row>
    <row r="33" spans="2:18">
      <c r="B33" t="s">
        <v>209</v>
      </c>
      <c r="D33" s="227">
        <f>'Working capital'!D16</f>
        <v>2464.5300000000002</v>
      </c>
      <c r="E33" s="227">
        <f>'Working capital'!E16</f>
        <v>2942.05</v>
      </c>
      <c r="F33" s="227">
        <f>'Working capital'!F16</f>
        <v>3012.63</v>
      </c>
      <c r="G33" s="227">
        <f>'Working capital'!G16</f>
        <v>3775.45</v>
      </c>
      <c r="H33" s="227">
        <f>'Working capital'!H16</f>
        <v>3892.81</v>
      </c>
      <c r="I33" s="227">
        <f>'Working capital'!I16</f>
        <v>6038.7383257051506</v>
      </c>
      <c r="J33" s="227">
        <f>'Working capital'!J16</f>
        <v>7499.79553486436</v>
      </c>
      <c r="K33" s="227">
        <f>'Working capital'!K16</f>
        <v>9369.2564302506871</v>
      </c>
      <c r="L33" s="227">
        <f>'Working capital'!L16</f>
        <v>11766.71757309321</v>
      </c>
      <c r="M33" s="227">
        <f>'Working capital'!M16</f>
        <v>14847.363475230446</v>
      </c>
      <c r="N33" s="227">
        <f>'Working capital'!N16</f>
        <v>17413.053133343634</v>
      </c>
      <c r="O33" s="227">
        <f>'Working capital'!O16</f>
        <v>21623.707765006959</v>
      </c>
      <c r="P33" s="227">
        <f>'Working capital'!P16</f>
        <v>26941.930725083668</v>
      </c>
      <c r="Q33" s="227">
        <f>'Working capital'!Q16</f>
        <v>33664.630893697067</v>
      </c>
      <c r="R33" s="227">
        <f>'Working capital'!R16</f>
        <v>42168.735149788532</v>
      </c>
    </row>
    <row r="34" spans="2:18">
      <c r="B34" s="14" t="s">
        <v>213</v>
      </c>
      <c r="D34" s="227">
        <f>B_Sheet!D51+B_Sheet!D50+B_Sheet!D49</f>
        <v>268.54000000000002</v>
      </c>
      <c r="E34" s="227">
        <f>B_Sheet!E51+B_Sheet!E50+B_Sheet!E49</f>
        <v>307.98</v>
      </c>
      <c r="F34" s="227">
        <f>B_Sheet!F51+B_Sheet!F50+B_Sheet!F49</f>
        <v>383.64</v>
      </c>
      <c r="G34" s="227">
        <f>B_Sheet!G51+B_Sheet!G50+B_Sheet!G49</f>
        <v>529.70000000000005</v>
      </c>
      <c r="H34" s="227">
        <f>B_Sheet!H51+B_Sheet!H50+B_Sheet!H49</f>
        <v>678.03</v>
      </c>
      <c r="I34" s="227">
        <f>B_Sheet!I51+B_Sheet!I50+B_Sheet!I49</f>
        <v>678.03</v>
      </c>
      <c r="J34" s="227">
        <f>B_Sheet!J51+B_Sheet!J50+B_Sheet!J49</f>
        <v>678.03</v>
      </c>
      <c r="K34" s="227">
        <f>B_Sheet!K51+B_Sheet!K50+B_Sheet!K49</f>
        <v>678.03</v>
      </c>
      <c r="L34" s="227">
        <f>B_Sheet!L51+B_Sheet!L50+B_Sheet!L49</f>
        <v>678.03</v>
      </c>
      <c r="M34" s="227">
        <f>B_Sheet!M51+B_Sheet!M50+B_Sheet!M49</f>
        <v>678.03</v>
      </c>
      <c r="N34" s="227">
        <f>B_Sheet!N51+B_Sheet!N50+B_Sheet!N49</f>
        <v>678.03</v>
      </c>
      <c r="O34" s="227">
        <f>B_Sheet!O51+B_Sheet!O50+B_Sheet!O49</f>
        <v>678.03</v>
      </c>
      <c r="P34" s="227">
        <f>B_Sheet!P51+B_Sheet!P50+B_Sheet!P49</f>
        <v>678.03</v>
      </c>
      <c r="Q34" s="227">
        <f>B_Sheet!Q51+B_Sheet!Q50+B_Sheet!Q49</f>
        <v>678.03</v>
      </c>
      <c r="R34" s="227">
        <f>B_Sheet!R51+B_Sheet!R50+B_Sheet!R49</f>
        <v>678.03</v>
      </c>
    </row>
    <row r="35" spans="2:18">
      <c r="B35" s="4" t="s">
        <v>71</v>
      </c>
      <c r="C35" s="5"/>
      <c r="D35" s="177">
        <f>SUM(D33:D34)</f>
        <v>2733.07</v>
      </c>
      <c r="E35" s="177">
        <f t="shared" ref="E35:I35" si="28">SUM(E33:E34)</f>
        <v>3250.03</v>
      </c>
      <c r="F35" s="177">
        <f t="shared" si="28"/>
        <v>3396.27</v>
      </c>
      <c r="G35" s="177">
        <f t="shared" si="28"/>
        <v>4305.1499999999996</v>
      </c>
      <c r="H35" s="177">
        <f t="shared" si="28"/>
        <v>4570.84</v>
      </c>
      <c r="I35" s="177">
        <f t="shared" si="28"/>
        <v>6716.7683257051503</v>
      </c>
      <c r="J35" s="177">
        <f t="shared" ref="J35" si="29">SUM(J33:J34)</f>
        <v>8177.8255348643597</v>
      </c>
      <c r="K35" s="177">
        <f t="shared" ref="K35" si="30">SUM(K33:K34)</f>
        <v>10047.286430250688</v>
      </c>
      <c r="L35" s="177">
        <f t="shared" ref="L35" si="31">SUM(L33:L34)</f>
        <v>12444.747573093211</v>
      </c>
      <c r="M35" s="177">
        <f t="shared" ref="M35" si="32">SUM(M33:M34)</f>
        <v>15525.393475230447</v>
      </c>
      <c r="N35" s="177">
        <f t="shared" ref="N35" si="33">SUM(N33:N34)</f>
        <v>18091.083133343633</v>
      </c>
      <c r="O35" s="177">
        <f t="shared" ref="O35" si="34">SUM(O33:O34)</f>
        <v>22301.737765006957</v>
      </c>
      <c r="P35" s="177">
        <f t="shared" ref="P35" si="35">SUM(P33:P34)</f>
        <v>27619.960725083667</v>
      </c>
      <c r="Q35" s="177">
        <f t="shared" ref="Q35" si="36">SUM(Q33:Q34)</f>
        <v>34342.660893697066</v>
      </c>
      <c r="R35" s="177">
        <f t="shared" ref="R35" si="37">SUM(R33:R34)</f>
        <v>42846.765149788531</v>
      </c>
    </row>
    <row r="36" spans="2:18">
      <c r="D36" s="176"/>
      <c r="E36" s="176"/>
      <c r="F36" s="176"/>
      <c r="G36" s="176"/>
      <c r="H36" s="176"/>
      <c r="I36" s="176"/>
      <c r="J36" s="176"/>
      <c r="K36" s="176"/>
      <c r="L36" s="176"/>
      <c r="M36" s="176"/>
      <c r="N36" s="176"/>
      <c r="O36" s="176"/>
      <c r="P36" s="176"/>
      <c r="Q36" s="176"/>
      <c r="R36" s="176"/>
    </row>
    <row r="37" spans="2:18">
      <c r="B37" s="1" t="s">
        <v>210</v>
      </c>
      <c r="D37" s="176"/>
      <c r="E37" s="176"/>
      <c r="F37" s="176"/>
      <c r="G37" s="176"/>
      <c r="H37" s="176"/>
      <c r="I37" s="176"/>
      <c r="J37" s="176"/>
      <c r="K37" s="176"/>
      <c r="L37" s="176"/>
      <c r="M37" s="176"/>
      <c r="N37" s="176"/>
      <c r="O37" s="176"/>
      <c r="P37" s="176"/>
      <c r="Q37" s="176"/>
      <c r="R37" s="176"/>
    </row>
    <row r="38" spans="2:18">
      <c r="B38" t="s">
        <v>211</v>
      </c>
      <c r="D38" s="227">
        <f>Schedules!D23</f>
        <v>260.61</v>
      </c>
      <c r="E38" s="227">
        <f>Schedules!E23</f>
        <v>360.83</v>
      </c>
      <c r="F38" s="227">
        <f>Schedules!F23</f>
        <v>650.58000000000004</v>
      </c>
      <c r="G38" s="227">
        <f>Schedules!G23</f>
        <v>743.63</v>
      </c>
      <c r="H38" s="227">
        <f>Schedules!H23</f>
        <v>891.97</v>
      </c>
      <c r="I38" s="227">
        <f>Schedules!I23</f>
        <v>891.97</v>
      </c>
      <c r="J38" s="227">
        <f>Schedules!J23</f>
        <v>891.97</v>
      </c>
      <c r="K38" s="227">
        <f>Schedules!K23</f>
        <v>891.97</v>
      </c>
      <c r="L38" s="227">
        <f>Schedules!L23</f>
        <v>891.97</v>
      </c>
      <c r="M38" s="227">
        <f>Schedules!M23</f>
        <v>891.97</v>
      </c>
      <c r="N38" s="227">
        <f>Schedules!N23</f>
        <v>891.97</v>
      </c>
      <c r="O38" s="227">
        <f>Schedules!O23</f>
        <v>891.97</v>
      </c>
      <c r="P38" s="227">
        <f>Schedules!P23</f>
        <v>891.97</v>
      </c>
      <c r="Q38" s="227">
        <f>Schedules!Q23</f>
        <v>891.97</v>
      </c>
      <c r="R38" s="227">
        <f>Schedules!R23</f>
        <v>891.97</v>
      </c>
    </row>
    <row r="39" spans="2:18">
      <c r="B39" t="s">
        <v>212</v>
      </c>
      <c r="D39" s="227">
        <f>B_Sheet!D40+B_Sheet!D41+B_Sheet!D42+B_Sheet!D43+B_Sheet!D44+B_Sheet!D47+B_Sheet!D48</f>
        <v>632.35</v>
      </c>
      <c r="E39" s="227">
        <f>B_Sheet!E40+B_Sheet!E41+B_Sheet!E42+B_Sheet!E43+B_Sheet!E44+B_Sheet!E47+B_Sheet!E48</f>
        <v>597.82999999999993</v>
      </c>
      <c r="F39" s="227">
        <f>B_Sheet!F40+B_Sheet!F41+B_Sheet!F42+B_Sheet!F43+B_Sheet!F44+B_Sheet!F47+B_Sheet!F48</f>
        <v>738.44</v>
      </c>
      <c r="G39" s="227">
        <f>B_Sheet!G40+B_Sheet!G41+B_Sheet!G42+B_Sheet!G43+B_Sheet!G44+B_Sheet!G47+B_Sheet!G48</f>
        <v>1132.73</v>
      </c>
      <c r="H39" s="227">
        <f>B_Sheet!H40+B_Sheet!H41+B_Sheet!H42+B_Sheet!H43+B_Sheet!H44+B_Sheet!H47+B_Sheet!H48</f>
        <v>1148.9099999999999</v>
      </c>
      <c r="I39" s="227">
        <f>B_Sheet!I40+B_Sheet!I41+B_Sheet!I42+B_Sheet!I43+B_Sheet!I44+B_Sheet!I47+B_Sheet!I48</f>
        <v>1148.9099999999999</v>
      </c>
      <c r="J39" s="227">
        <f>B_Sheet!J40+B_Sheet!J41+B_Sheet!J42+B_Sheet!J43+B_Sheet!J44+B_Sheet!J47+B_Sheet!J48</f>
        <v>1148.9099999999999</v>
      </c>
      <c r="K39" s="227">
        <f>B_Sheet!K40+B_Sheet!K41+B_Sheet!K42+B_Sheet!K43+B_Sheet!K44+B_Sheet!K47+B_Sheet!K48</f>
        <v>1148.9099999999999</v>
      </c>
      <c r="L39" s="227">
        <f>B_Sheet!L40+B_Sheet!L41+B_Sheet!L42+B_Sheet!L43+B_Sheet!L44+B_Sheet!L47+B_Sheet!L48</f>
        <v>1148.9099999999999</v>
      </c>
      <c r="M39" s="227">
        <f>B_Sheet!M40+B_Sheet!M41+B_Sheet!M42+B_Sheet!M43+B_Sheet!M44+B_Sheet!M47+B_Sheet!M48</f>
        <v>1148.9099999999999</v>
      </c>
      <c r="N39" s="227">
        <f>B_Sheet!N40+B_Sheet!N41+B_Sheet!N42+B_Sheet!N43+B_Sheet!N44+B_Sheet!N47+B_Sheet!N48</f>
        <v>1148.9099999999999</v>
      </c>
      <c r="O39" s="227">
        <f>B_Sheet!O40+B_Sheet!O41+B_Sheet!O42+B_Sheet!O43+B_Sheet!O44+B_Sheet!O47+B_Sheet!O48</f>
        <v>1148.9099999999999</v>
      </c>
      <c r="P39" s="227">
        <f>B_Sheet!P40+B_Sheet!P41+B_Sheet!P42+B_Sheet!P43+B_Sheet!P44+B_Sheet!P47+B_Sheet!P48</f>
        <v>1148.9099999999999</v>
      </c>
      <c r="Q39" s="227">
        <f>B_Sheet!Q40+B_Sheet!Q41+B_Sheet!Q42+B_Sheet!Q43+B_Sheet!Q44+B_Sheet!Q47+B_Sheet!Q48</f>
        <v>1148.9099999999999</v>
      </c>
      <c r="R39" s="227">
        <f>B_Sheet!R40+B_Sheet!R41+B_Sheet!R42+B_Sheet!R43+B_Sheet!R44+B_Sheet!R47+B_Sheet!R48</f>
        <v>1148.9099999999999</v>
      </c>
    </row>
    <row r="40" spans="2:18">
      <c r="B40" s="4" t="s">
        <v>214</v>
      </c>
      <c r="C40" s="5"/>
      <c r="D40" s="177">
        <f>SUM(D38:D39)</f>
        <v>892.96</v>
      </c>
      <c r="E40" s="177">
        <f t="shared" ref="E40:I40" si="38">SUM(E38:E39)</f>
        <v>958.65999999999985</v>
      </c>
      <c r="F40" s="177">
        <f t="shared" si="38"/>
        <v>1389.02</v>
      </c>
      <c r="G40" s="177">
        <f t="shared" si="38"/>
        <v>1876.3600000000001</v>
      </c>
      <c r="H40" s="177">
        <f t="shared" si="38"/>
        <v>2040.8799999999999</v>
      </c>
      <c r="I40" s="177">
        <f t="shared" si="38"/>
        <v>2040.8799999999999</v>
      </c>
      <c r="J40" s="177">
        <f t="shared" ref="J40" si="39">SUM(J38:J39)</f>
        <v>2040.8799999999999</v>
      </c>
      <c r="K40" s="177">
        <f t="shared" ref="K40" si="40">SUM(K38:K39)</f>
        <v>2040.8799999999999</v>
      </c>
      <c r="L40" s="177">
        <f t="shared" ref="L40" si="41">SUM(L38:L39)</f>
        <v>2040.8799999999999</v>
      </c>
      <c r="M40" s="177">
        <f t="shared" ref="M40" si="42">SUM(M38:M39)</f>
        <v>2040.8799999999999</v>
      </c>
      <c r="N40" s="177">
        <f t="shared" ref="N40" si="43">SUM(N38:N39)</f>
        <v>2040.8799999999999</v>
      </c>
      <c r="O40" s="177">
        <f t="shared" ref="O40" si="44">SUM(O38:O39)</f>
        <v>2040.8799999999999</v>
      </c>
      <c r="P40" s="177">
        <f t="shared" ref="P40" si="45">SUM(P38:P39)</f>
        <v>2040.8799999999999</v>
      </c>
      <c r="Q40" s="177">
        <f t="shared" ref="Q40" si="46">SUM(Q38:Q39)</f>
        <v>2040.8799999999999</v>
      </c>
      <c r="R40" s="177">
        <f t="shared" ref="R40" si="47">SUM(R38:R39)</f>
        <v>2040.8799999999999</v>
      </c>
    </row>
    <row r="41" spans="2:18">
      <c r="D41" s="176"/>
      <c r="E41" s="176"/>
      <c r="F41" s="176"/>
      <c r="G41" s="176"/>
      <c r="H41" s="176"/>
      <c r="I41" s="176"/>
      <c r="J41" s="176"/>
      <c r="K41" s="176"/>
      <c r="L41" s="176"/>
      <c r="M41" s="176"/>
      <c r="N41" s="176"/>
      <c r="O41" s="176"/>
      <c r="P41" s="176"/>
      <c r="Q41" s="176"/>
      <c r="R41" s="176"/>
    </row>
    <row r="42" spans="2:18">
      <c r="B42" s="16" t="s">
        <v>215</v>
      </c>
      <c r="C42" s="16"/>
      <c r="D42" s="226">
        <f>D40+D35</f>
        <v>3626.03</v>
      </c>
      <c r="E42" s="226">
        <f t="shared" ref="E42:I42" si="48">E40+E35</f>
        <v>4208.6900000000005</v>
      </c>
      <c r="F42" s="226">
        <f t="shared" si="48"/>
        <v>4785.29</v>
      </c>
      <c r="G42" s="226">
        <f t="shared" si="48"/>
        <v>6181.51</v>
      </c>
      <c r="H42" s="226">
        <f t="shared" si="48"/>
        <v>6611.72</v>
      </c>
      <c r="I42" s="226">
        <f t="shared" si="48"/>
        <v>8757.6483257051495</v>
      </c>
      <c r="J42" s="226">
        <f t="shared" ref="J42:P42" si="49">J40+J35</f>
        <v>10218.705534864359</v>
      </c>
      <c r="K42" s="226">
        <f t="shared" si="49"/>
        <v>12088.166430250687</v>
      </c>
      <c r="L42" s="226">
        <f t="shared" si="49"/>
        <v>14485.62757309321</v>
      </c>
      <c r="M42" s="226">
        <f t="shared" si="49"/>
        <v>17566.273475230446</v>
      </c>
      <c r="N42" s="226">
        <f t="shared" si="49"/>
        <v>20131.963133343634</v>
      </c>
      <c r="O42" s="226">
        <f t="shared" si="49"/>
        <v>24342.617765006959</v>
      </c>
      <c r="P42" s="226">
        <f t="shared" si="49"/>
        <v>29660.840725083668</v>
      </c>
      <c r="Q42" s="226">
        <f t="shared" ref="Q42:R42" si="50">Q40+Q35</f>
        <v>36383.540893697063</v>
      </c>
      <c r="R42" s="226">
        <f t="shared" si="50"/>
        <v>44887.645149788528</v>
      </c>
    </row>
    <row r="43" spans="2:18">
      <c r="D43" s="176"/>
      <c r="E43" s="176"/>
      <c r="F43" s="176"/>
      <c r="G43" s="176"/>
      <c r="H43" s="176"/>
      <c r="I43" s="176"/>
      <c r="J43" s="176"/>
      <c r="K43" s="176"/>
      <c r="L43" s="176"/>
      <c r="M43" s="176"/>
      <c r="N43" s="176"/>
      <c r="O43" s="176"/>
      <c r="P43" s="176"/>
      <c r="Q43" s="176"/>
      <c r="R43" s="176"/>
    </row>
    <row r="44" spans="2:18">
      <c r="B44" s="1" t="s">
        <v>51</v>
      </c>
      <c r="D44" s="176"/>
      <c r="E44" s="176"/>
      <c r="F44" s="176"/>
      <c r="G44" s="176"/>
      <c r="H44" s="176"/>
      <c r="I44" s="176"/>
      <c r="J44" s="176"/>
      <c r="K44" s="176"/>
      <c r="L44" s="176"/>
      <c r="M44" s="176"/>
      <c r="N44" s="176"/>
      <c r="O44" s="176"/>
      <c r="P44" s="176"/>
      <c r="Q44" s="176"/>
      <c r="R44" s="176"/>
    </row>
    <row r="45" spans="2:18">
      <c r="B45" t="s">
        <v>52</v>
      </c>
      <c r="D45" s="227">
        <f>B_Sheet!D32</f>
        <v>33.08</v>
      </c>
      <c r="E45" s="227">
        <f>B_Sheet!E32</f>
        <v>33.08</v>
      </c>
      <c r="F45" s="227">
        <f>B_Sheet!F32</f>
        <v>33.08</v>
      </c>
      <c r="G45" s="227">
        <f>B_Sheet!G32</f>
        <v>33.08</v>
      </c>
      <c r="H45" s="227">
        <f>B_Sheet!H32</f>
        <v>33.08</v>
      </c>
      <c r="I45" s="227">
        <f>B_Sheet!I32</f>
        <v>33.08</v>
      </c>
      <c r="J45" s="227">
        <f>B_Sheet!J32</f>
        <v>33.08</v>
      </c>
      <c r="K45" s="227">
        <f>B_Sheet!K32</f>
        <v>33.08</v>
      </c>
      <c r="L45" s="227">
        <f>B_Sheet!L32</f>
        <v>33.08</v>
      </c>
      <c r="M45" s="227">
        <f>B_Sheet!M32</f>
        <v>33.08</v>
      </c>
      <c r="N45" s="227">
        <f>B_Sheet!N32</f>
        <v>33.08</v>
      </c>
      <c r="O45" s="227">
        <f>B_Sheet!O32</f>
        <v>33.08</v>
      </c>
      <c r="P45" s="227">
        <f>B_Sheet!P32</f>
        <v>33.08</v>
      </c>
      <c r="Q45" s="227">
        <f>B_Sheet!Q32</f>
        <v>33.08</v>
      </c>
      <c r="R45" s="227">
        <f>B_Sheet!R32</f>
        <v>33.08</v>
      </c>
    </row>
    <row r="46" spans="2:18">
      <c r="B46" t="s">
        <v>53</v>
      </c>
      <c r="D46" s="227">
        <f>B_Sheet!D33</f>
        <v>4960.2700000000004</v>
      </c>
      <c r="E46" s="227">
        <f>B_Sheet!E33</f>
        <v>5466.48</v>
      </c>
      <c r="F46" s="227">
        <f>B_Sheet!F33</f>
        <v>5418.99</v>
      </c>
      <c r="G46" s="227">
        <f>B_Sheet!G33</f>
        <v>5787.42</v>
      </c>
      <c r="H46" s="227">
        <f>B_Sheet!H33</f>
        <v>6480.17</v>
      </c>
      <c r="I46" s="229">
        <f>H46+'P&amp;L Statement'!I32+'P&amp;L Statement'!I34</f>
        <v>7106.9279853870748</v>
      </c>
      <c r="J46" s="229">
        <f>I46+'P&amp;L Statement'!J32+'P&amp;L Statement'!J34</f>
        <v>7883.6124160543022</v>
      </c>
      <c r="K46" s="229">
        <f>J46+'P&amp;L Statement'!K32+'P&amp;L Statement'!K34</f>
        <v>8848.5686073690522</v>
      </c>
      <c r="L46" s="229">
        <f>K46+'P&amp;L Statement'!L32+'P&amp;L Statement'!L34</f>
        <v>10049.359746349033</v>
      </c>
      <c r="M46" s="229">
        <f>L46+'P&amp;L Statement'!M32+'P&amp;L Statement'!M34</f>
        <v>11547.304046763064</v>
      </c>
      <c r="N46" s="229">
        <f>M46+'P&amp;L Statement'!N32+'P&amp;L Statement'!N34</f>
        <v>14028.239625761211</v>
      </c>
      <c r="O46" s="229">
        <f>N46+'P&amp;L Statement'!O32+'P&amp;L Statement'!O34</f>
        <v>17090.298141363135</v>
      </c>
      <c r="P46" s="229">
        <f>O46+'P&amp;L Statement'!P32+'P&amp;L Statement'!P34</f>
        <v>20878.88304489055</v>
      </c>
      <c r="Q46" s="229">
        <f>P46+'P&amp;L Statement'!Q32+'P&amp;L Statement'!Q34</f>
        <v>25577.578005256819</v>
      </c>
      <c r="R46" s="229">
        <f>Q46+'P&amp;L Statement'!R32+'P&amp;L Statement'!R34</f>
        <v>31418.074782541375</v>
      </c>
    </row>
    <row r="47" spans="2:18">
      <c r="B47" s="4" t="s">
        <v>54</v>
      </c>
      <c r="C47" s="5"/>
      <c r="D47" s="177">
        <f>SUM(D45:D46)</f>
        <v>4993.3500000000004</v>
      </c>
      <c r="E47" s="177">
        <f t="shared" ref="E47:I47" si="51">SUM(E45:E46)</f>
        <v>5499.5599999999995</v>
      </c>
      <c r="F47" s="177">
        <f t="shared" si="51"/>
        <v>5452.07</v>
      </c>
      <c r="G47" s="177">
        <f t="shared" si="51"/>
        <v>5820.5</v>
      </c>
      <c r="H47" s="177">
        <f t="shared" si="51"/>
        <v>6513.25</v>
      </c>
      <c r="I47" s="177">
        <f t="shared" si="51"/>
        <v>7140.0079853870748</v>
      </c>
      <c r="J47" s="177">
        <f t="shared" ref="J47" si="52">SUM(J45:J46)</f>
        <v>7916.6924160543022</v>
      </c>
      <c r="K47" s="177">
        <f t="shared" ref="K47" si="53">SUM(K45:K46)</f>
        <v>8881.6486073690521</v>
      </c>
      <c r="L47" s="177">
        <f t="shared" ref="L47" si="54">SUM(L45:L46)</f>
        <v>10082.439746349033</v>
      </c>
      <c r="M47" s="177">
        <f t="shared" ref="M47" si="55">SUM(M45:M46)</f>
        <v>11580.384046763063</v>
      </c>
      <c r="N47" s="177">
        <f t="shared" ref="N47" si="56">SUM(N45:N46)</f>
        <v>14061.319625761211</v>
      </c>
      <c r="O47" s="177">
        <f t="shared" ref="O47" si="57">SUM(O45:O46)</f>
        <v>17123.378141363137</v>
      </c>
      <c r="P47" s="177">
        <f t="shared" ref="P47" si="58">SUM(P45:P46)</f>
        <v>20911.963044890552</v>
      </c>
      <c r="Q47" s="177">
        <f t="shared" ref="Q47" si="59">SUM(Q45:Q46)</f>
        <v>25610.658005256821</v>
      </c>
      <c r="R47" s="177">
        <f t="shared" ref="R47" si="60">SUM(R45:R46)</f>
        <v>31451.154782541376</v>
      </c>
    </row>
    <row r="48" spans="2:18">
      <c r="B48" s="14" t="s">
        <v>55</v>
      </c>
      <c r="D48" s="227">
        <f>B_Sheet!D35</f>
        <v>36.1</v>
      </c>
      <c r="E48" s="227">
        <f>B_Sheet!E35</f>
        <v>38.08</v>
      </c>
      <c r="F48" s="227">
        <f>B_Sheet!F35</f>
        <v>41.65</v>
      </c>
      <c r="G48" s="227">
        <f>B_Sheet!G35</f>
        <v>33.71</v>
      </c>
      <c r="H48" s="227">
        <f>B_Sheet!H35</f>
        <v>27.05</v>
      </c>
      <c r="I48" s="227">
        <f>B_Sheet!I35</f>
        <v>27.05</v>
      </c>
      <c r="J48" s="227">
        <f>B_Sheet!J35</f>
        <v>27.05</v>
      </c>
      <c r="K48" s="227">
        <f>B_Sheet!K35</f>
        <v>27.05</v>
      </c>
      <c r="L48" s="227">
        <f>B_Sheet!L35</f>
        <v>27.05</v>
      </c>
      <c r="M48" s="227">
        <f>B_Sheet!M35</f>
        <v>27.05</v>
      </c>
      <c r="N48" s="227">
        <f>B_Sheet!N35</f>
        <v>27.05</v>
      </c>
      <c r="O48" s="227">
        <f>B_Sheet!O35</f>
        <v>27.05</v>
      </c>
      <c r="P48" s="227">
        <f>B_Sheet!P35</f>
        <v>27.05</v>
      </c>
      <c r="Q48" s="227">
        <f>B_Sheet!Q35</f>
        <v>27.05</v>
      </c>
      <c r="R48" s="227">
        <f>B_Sheet!R35</f>
        <v>27.05</v>
      </c>
    </row>
    <row r="49" spans="2:18">
      <c r="B49" s="4" t="s">
        <v>56</v>
      </c>
      <c r="C49" s="5"/>
      <c r="D49" s="177">
        <f>SUM(D47:D48)</f>
        <v>5029.4500000000007</v>
      </c>
      <c r="E49" s="177">
        <f t="shared" ref="E49:I49" si="61">SUM(E47:E48)</f>
        <v>5537.6399999999994</v>
      </c>
      <c r="F49" s="177">
        <f t="shared" si="61"/>
        <v>5493.7199999999993</v>
      </c>
      <c r="G49" s="177">
        <f t="shared" si="61"/>
        <v>5854.21</v>
      </c>
      <c r="H49" s="177">
        <f t="shared" si="61"/>
        <v>6540.3</v>
      </c>
      <c r="I49" s="177">
        <f t="shared" si="61"/>
        <v>7167.057985387075</v>
      </c>
      <c r="J49" s="177">
        <f t="shared" ref="J49" si="62">SUM(J47:J48)</f>
        <v>7943.7424160543023</v>
      </c>
      <c r="K49" s="177">
        <f t="shared" ref="K49" si="63">SUM(K47:K48)</f>
        <v>8908.6986073690514</v>
      </c>
      <c r="L49" s="177">
        <f t="shared" ref="L49" si="64">SUM(L47:L48)</f>
        <v>10109.489746349032</v>
      </c>
      <c r="M49" s="177">
        <f t="shared" ref="M49" si="65">SUM(M47:M48)</f>
        <v>11607.434046763063</v>
      </c>
      <c r="N49" s="177">
        <f t="shared" ref="N49" si="66">SUM(N47:N48)</f>
        <v>14088.36962576121</v>
      </c>
      <c r="O49" s="177">
        <f t="shared" ref="O49" si="67">SUM(O47:O48)</f>
        <v>17150.428141363136</v>
      </c>
      <c r="P49" s="177">
        <f t="shared" ref="P49" si="68">SUM(P47:P48)</f>
        <v>20939.013044890551</v>
      </c>
      <c r="Q49" s="177">
        <f t="shared" ref="Q49" si="69">SUM(Q47:Q48)</f>
        <v>25637.70800525682</v>
      </c>
      <c r="R49" s="177">
        <f t="shared" ref="R49" si="70">SUM(R47:R48)</f>
        <v>31478.204782541376</v>
      </c>
    </row>
    <row r="50" spans="2:18">
      <c r="D50" s="176"/>
      <c r="E50" s="176"/>
      <c r="F50" s="176"/>
      <c r="G50" s="176"/>
      <c r="H50" s="176"/>
      <c r="I50" s="176"/>
      <c r="J50" s="176"/>
      <c r="K50" s="176"/>
      <c r="L50" s="176"/>
      <c r="M50" s="176"/>
      <c r="N50" s="176"/>
      <c r="O50" s="176"/>
      <c r="P50" s="176"/>
      <c r="Q50" s="176"/>
      <c r="R50" s="176"/>
    </row>
    <row r="51" spans="2:18" ht="15.75" thickBot="1">
      <c r="B51" s="49" t="s">
        <v>236</v>
      </c>
      <c r="C51" s="8"/>
      <c r="D51" s="178">
        <f>D49+D42</f>
        <v>8655.4800000000014</v>
      </c>
      <c r="E51" s="178">
        <f t="shared" ref="E51:I51" si="71">E49+E42</f>
        <v>9746.33</v>
      </c>
      <c r="F51" s="178">
        <f t="shared" si="71"/>
        <v>10279.009999999998</v>
      </c>
      <c r="G51" s="178">
        <f t="shared" si="71"/>
        <v>12035.720000000001</v>
      </c>
      <c r="H51" s="178">
        <f t="shared" si="71"/>
        <v>13152.02</v>
      </c>
      <c r="I51" s="178">
        <f t="shared" si="71"/>
        <v>15924.706311092224</v>
      </c>
      <c r="J51" s="178">
        <f t="shared" ref="J51:P51" si="72">J49+J42</f>
        <v>18162.44795091866</v>
      </c>
      <c r="K51" s="178">
        <f t="shared" si="72"/>
        <v>20996.86503761974</v>
      </c>
      <c r="L51" s="178">
        <f t="shared" si="72"/>
        <v>24595.117319442244</v>
      </c>
      <c r="M51" s="178">
        <f t="shared" si="72"/>
        <v>29173.707521993507</v>
      </c>
      <c r="N51" s="178">
        <f t="shared" si="72"/>
        <v>34220.332759104844</v>
      </c>
      <c r="O51" s="178">
        <f t="shared" si="72"/>
        <v>41493.045906370098</v>
      </c>
      <c r="P51" s="178">
        <f t="shared" si="72"/>
        <v>50599.853769974216</v>
      </c>
      <c r="Q51" s="178">
        <f t="shared" ref="Q51:R51" si="73">Q49+Q42</f>
        <v>62021.248898953883</v>
      </c>
      <c r="R51" s="178">
        <f t="shared" si="73"/>
        <v>76365.849932329904</v>
      </c>
    </row>
    <row r="52" spans="2:18">
      <c r="D52" s="15"/>
      <c r="E52" s="15"/>
      <c r="F52" s="15"/>
      <c r="G52" s="15"/>
      <c r="H52" s="15"/>
      <c r="I52" s="15"/>
      <c r="J52" s="15"/>
      <c r="K52" s="15"/>
      <c r="L52" s="15"/>
      <c r="M52" s="15"/>
      <c r="N52" s="15"/>
      <c r="O52" s="15"/>
      <c r="P52" s="15"/>
      <c r="Q52" s="15"/>
      <c r="R52" s="15"/>
    </row>
    <row r="53" spans="2:18" ht="15.75" thickBot="1">
      <c r="B53" s="49" t="s">
        <v>74</v>
      </c>
      <c r="C53" s="9"/>
      <c r="D53" s="52">
        <f>D51-D28</f>
        <v>0</v>
      </c>
      <c r="E53" s="52">
        <f t="shared" ref="E53:I53" si="74">E51-E28</f>
        <v>0</v>
      </c>
      <c r="F53" s="52">
        <f t="shared" si="74"/>
        <v>0</v>
      </c>
      <c r="G53" s="52">
        <f t="shared" si="74"/>
        <v>0</v>
      </c>
      <c r="H53" s="52">
        <f t="shared" si="74"/>
        <v>0</v>
      </c>
      <c r="I53" s="52">
        <f t="shared" si="74"/>
        <v>0</v>
      </c>
      <c r="J53" s="52">
        <f t="shared" ref="J53:R53" si="75">J51-J28</f>
        <v>0</v>
      </c>
      <c r="K53" s="52">
        <f t="shared" si="75"/>
        <v>0</v>
      </c>
      <c r="L53" s="52">
        <f t="shared" si="75"/>
        <v>0</v>
      </c>
      <c r="M53" s="52">
        <f t="shared" si="75"/>
        <v>0</v>
      </c>
      <c r="N53" s="52">
        <f t="shared" si="75"/>
        <v>0</v>
      </c>
      <c r="O53" s="52">
        <f t="shared" si="75"/>
        <v>0</v>
      </c>
      <c r="P53" s="52">
        <f t="shared" si="75"/>
        <v>0</v>
      </c>
      <c r="Q53" s="52">
        <f t="shared" si="75"/>
        <v>0</v>
      </c>
      <c r="R53" s="52">
        <f t="shared" si="75"/>
        <v>0</v>
      </c>
    </row>
    <row r="55" spans="2:18">
      <c r="B55" s="129"/>
      <c r="C55" s="129"/>
      <c r="D55" s="129"/>
      <c r="E55" s="129"/>
      <c r="F55" s="129"/>
      <c r="G55" s="129"/>
      <c r="H55" s="129"/>
      <c r="I55" s="129"/>
      <c r="J55" s="129"/>
      <c r="K55" s="129"/>
      <c r="L55" s="129"/>
      <c r="M55" s="129"/>
      <c r="N55" s="129"/>
      <c r="O55" s="129"/>
      <c r="P55" s="129"/>
      <c r="Q55" s="129"/>
      <c r="R55" s="129"/>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0:R39"/>
  <sheetViews>
    <sheetView showGridLines="0" topLeftCell="C14" workbookViewId="0">
      <selection activeCell="N29" sqref="N29"/>
    </sheetView>
  </sheetViews>
  <sheetFormatPr defaultRowHeight="15"/>
  <cols>
    <col min="1" max="1" width="1.85546875" customWidth="1"/>
    <col min="2" max="2" width="71.7109375" bestFit="1" customWidth="1"/>
    <col min="4" max="13" width="9.28515625" bestFit="1" customWidth="1"/>
    <col min="14" max="14" width="8.140625" bestFit="1" customWidth="1"/>
    <col min="15" max="16" width="9.28515625" bestFit="1" customWidth="1"/>
    <col min="17" max="18" width="9.7109375" bestFit="1" customWidth="1"/>
  </cols>
  <sheetData>
    <row r="10" spans="2:18">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row>
    <row r="11" spans="2:18">
      <c r="D11" s="244"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2" spans="2:18">
      <c r="D12" s="244"/>
      <c r="E12" s="244"/>
      <c r="F12" s="244"/>
      <c r="G12" s="244"/>
      <c r="H12" s="244"/>
      <c r="I12" s="243"/>
      <c r="J12" s="243"/>
      <c r="K12" s="243"/>
      <c r="L12" s="243"/>
      <c r="M12" s="243"/>
      <c r="N12" s="243"/>
      <c r="O12" s="243"/>
      <c r="P12" s="243"/>
      <c r="Q12" s="243"/>
      <c r="R12" s="243"/>
    </row>
    <row r="13" spans="2:18">
      <c r="B13" s="45" t="s">
        <v>145</v>
      </c>
      <c r="C13" s="45"/>
      <c r="D13" s="233">
        <f>'Revenue Build Up'!D13</f>
        <v>7555.78</v>
      </c>
      <c r="E13" s="233">
        <f>'Revenue Build Up'!E13</f>
        <v>7934.45</v>
      </c>
      <c r="F13" s="233">
        <f>'Revenue Build Up'!F13</f>
        <v>9498.77</v>
      </c>
      <c r="G13" s="233">
        <f>'Revenue Build Up'!G13</f>
        <v>12481.21</v>
      </c>
      <c r="H13" s="233">
        <f>'Revenue Build Up'!H13</f>
        <v>15412.79</v>
      </c>
      <c r="I13" s="233">
        <f>'Revenue Build Up'!I13</f>
        <v>19042.454400000002</v>
      </c>
      <c r="J13" s="233">
        <f>'Revenue Build Up'!J13</f>
        <v>23649.727274000004</v>
      </c>
      <c r="K13" s="233">
        <f>'Revenue Build Up'!K13</f>
        <v>29544.853363740003</v>
      </c>
      <c r="L13" s="233">
        <f>'Revenue Build Up'!L13</f>
        <v>37104.966424777405</v>
      </c>
      <c r="M13" s="233">
        <f>'Revenue Build Up'!M13</f>
        <v>46819.422648900189</v>
      </c>
      <c r="N13" s="233">
        <f>'Revenue Build Up'!N13</f>
        <v>57918.793112986437</v>
      </c>
      <c r="O13" s="233">
        <f>'Revenue Build Up'!O13</f>
        <v>71924.150623471302</v>
      </c>
      <c r="P13" s="233">
        <f>'Revenue Build Up'!P13</f>
        <v>89613.469836745338</v>
      </c>
      <c r="Q13" s="233">
        <f>'Revenue Build Up'!Q13</f>
        <v>111974.32047246565</v>
      </c>
      <c r="R13" s="233">
        <f>'Revenue Build Up'!R13</f>
        <v>140260.42580092567</v>
      </c>
    </row>
    <row r="15" spans="2:18">
      <c r="B15" s="45" t="s">
        <v>152</v>
      </c>
      <c r="C15" s="169"/>
      <c r="D15" s="169"/>
      <c r="E15" s="169"/>
      <c r="F15" s="169"/>
      <c r="G15" s="169"/>
      <c r="H15" s="169"/>
      <c r="I15" s="169"/>
      <c r="J15" s="169"/>
      <c r="K15" s="169"/>
      <c r="L15" s="169"/>
      <c r="M15" s="169"/>
      <c r="N15" s="169"/>
      <c r="O15" s="169"/>
      <c r="P15" s="169"/>
      <c r="Q15" s="169"/>
      <c r="R15" s="169"/>
    </row>
    <row r="16" spans="2:18">
      <c r="B16" s="1" t="s">
        <v>5</v>
      </c>
      <c r="D16" s="227">
        <f>'Historical P&amp;L'!D16</f>
        <v>3436.9</v>
      </c>
      <c r="E16" s="227">
        <f>'Historical P&amp;L'!E16</f>
        <v>4032.16</v>
      </c>
      <c r="F16" s="227">
        <f>'Historical P&amp;L'!F16</f>
        <v>4808.34</v>
      </c>
      <c r="G16" s="227">
        <f>'Historical P&amp;L'!G16</f>
        <v>6777.86</v>
      </c>
      <c r="H16" s="227">
        <f>'Historical P&amp;L'!H16</f>
        <v>8125.96</v>
      </c>
      <c r="I16" s="176">
        <f>I13*I17</f>
        <v>9521.2272000000012</v>
      </c>
      <c r="J16" s="176">
        <f t="shared" ref="J16:R16" si="1">J13*J17</f>
        <v>11824.863637000002</v>
      </c>
      <c r="K16" s="176">
        <f t="shared" si="1"/>
        <v>14772.426681870002</v>
      </c>
      <c r="L16" s="176">
        <f t="shared" si="1"/>
        <v>18552.483212388703</v>
      </c>
      <c r="M16" s="176">
        <f t="shared" si="1"/>
        <v>23409.711324450094</v>
      </c>
      <c r="N16" s="176">
        <f t="shared" si="1"/>
        <v>27801.020694233488</v>
      </c>
      <c r="O16" s="176">
        <f t="shared" si="1"/>
        <v>34523.592299266224</v>
      </c>
      <c r="P16" s="176">
        <f t="shared" si="1"/>
        <v>43014.465521637758</v>
      </c>
      <c r="Q16" s="176">
        <f t="shared" si="1"/>
        <v>53747.67382678351</v>
      </c>
      <c r="R16" s="176">
        <f t="shared" si="1"/>
        <v>67325.004384444328</v>
      </c>
    </row>
    <row r="17" spans="1:18">
      <c r="B17" s="43" t="str">
        <f>B16 &amp; " % Revenue"</f>
        <v>Consumption of materials, cost of jobs and services % Revenue</v>
      </c>
      <c r="D17" s="60">
        <f>D16/D13</f>
        <v>0.45487031120546129</v>
      </c>
      <c r="E17" s="60">
        <f t="shared" ref="E17:H17" si="2">E16/E13</f>
        <v>0.50818393209359192</v>
      </c>
      <c r="F17" s="60">
        <f t="shared" si="2"/>
        <v>0.50620659306415461</v>
      </c>
      <c r="G17" s="60">
        <f t="shared" si="2"/>
        <v>0.543045105402441</v>
      </c>
      <c r="H17" s="60">
        <f t="shared" si="2"/>
        <v>0.52722187222430195</v>
      </c>
      <c r="I17" s="58">
        <v>0.5</v>
      </c>
      <c r="J17" s="58">
        <v>0.5</v>
      </c>
      <c r="K17" s="58">
        <v>0.5</v>
      </c>
      <c r="L17" s="58">
        <v>0.5</v>
      </c>
      <c r="M17" s="58">
        <v>0.5</v>
      </c>
      <c r="N17" s="58">
        <f>M17-2%</f>
        <v>0.48</v>
      </c>
      <c r="O17" s="58">
        <f>N17</f>
        <v>0.48</v>
      </c>
      <c r="P17" s="58">
        <f t="shared" ref="P17:R17" si="3">O17</f>
        <v>0.48</v>
      </c>
      <c r="Q17" s="58">
        <f t="shared" si="3"/>
        <v>0.48</v>
      </c>
      <c r="R17" s="58">
        <f t="shared" si="3"/>
        <v>0.48</v>
      </c>
    </row>
    <row r="18" spans="1:18">
      <c r="B18" s="1" t="s">
        <v>6</v>
      </c>
      <c r="D18" s="227">
        <f>'Historical P&amp;L'!D17</f>
        <v>1862.26</v>
      </c>
      <c r="E18" s="227">
        <f>'Historical P&amp;L'!E17</f>
        <v>2042.75</v>
      </c>
      <c r="F18" s="227">
        <f>'Historical P&amp;L'!F17</f>
        <v>2296.2800000000002</v>
      </c>
      <c r="G18" s="227">
        <f>'Historical P&amp;L'!G17</f>
        <v>3427.33</v>
      </c>
      <c r="H18" s="227">
        <f>'Historical P&amp;L'!H17</f>
        <v>4016.97</v>
      </c>
      <c r="I18" s="176">
        <f>I13*I19</f>
        <v>4760.6136000000006</v>
      </c>
      <c r="J18" s="176">
        <f t="shared" ref="J18:R18" si="4">J13*J19</f>
        <v>5912.4318185000011</v>
      </c>
      <c r="K18" s="176">
        <f t="shared" si="4"/>
        <v>7386.2133409350008</v>
      </c>
      <c r="L18" s="176">
        <f t="shared" si="4"/>
        <v>9276.2416061943513</v>
      </c>
      <c r="M18" s="176">
        <f t="shared" si="4"/>
        <v>11704.855662225047</v>
      </c>
      <c r="N18" s="176">
        <f t="shared" si="4"/>
        <v>13321.322415986881</v>
      </c>
      <c r="O18" s="176">
        <f t="shared" si="4"/>
        <v>16542.554643398402</v>
      </c>
      <c r="P18" s="176">
        <f t="shared" si="4"/>
        <v>20611.09806245143</v>
      </c>
      <c r="Q18" s="176">
        <f t="shared" si="4"/>
        <v>25754.0937086671</v>
      </c>
      <c r="R18" s="176">
        <f t="shared" si="4"/>
        <v>32259.897934212906</v>
      </c>
    </row>
    <row r="19" spans="1:18">
      <c r="B19" s="43" t="str">
        <f>B18 &amp; " % Revenue"</f>
        <v>Purchases of stock-in-trade % Revenue</v>
      </c>
      <c r="D19" s="60">
        <f>D18/D13</f>
        <v>0.24646826667796046</v>
      </c>
      <c r="E19" s="60">
        <f t="shared" ref="E19:H19" si="5">E18/E13</f>
        <v>0.25745325762970339</v>
      </c>
      <c r="F19" s="60">
        <f t="shared" si="5"/>
        <v>0.24174498382422147</v>
      </c>
      <c r="G19" s="60">
        <f t="shared" si="5"/>
        <v>0.27459917748359336</v>
      </c>
      <c r="H19" s="60">
        <f t="shared" si="5"/>
        <v>0.2606257530271936</v>
      </c>
      <c r="I19" s="58">
        <v>0.25</v>
      </c>
      <c r="J19" s="58">
        <v>0.25</v>
      </c>
      <c r="K19" s="58">
        <v>0.25</v>
      </c>
      <c r="L19" s="58">
        <v>0.25</v>
      </c>
      <c r="M19" s="58">
        <v>0.25</v>
      </c>
      <c r="N19" s="58">
        <f>M19-2%</f>
        <v>0.23</v>
      </c>
      <c r="O19" s="58">
        <f>N19</f>
        <v>0.23</v>
      </c>
      <c r="P19" s="58">
        <f t="shared" ref="P19:R19" si="6">O19</f>
        <v>0.23</v>
      </c>
      <c r="Q19" s="58">
        <f t="shared" si="6"/>
        <v>0.23</v>
      </c>
      <c r="R19" s="58">
        <f t="shared" si="6"/>
        <v>0.23</v>
      </c>
    </row>
    <row r="20" spans="1:18">
      <c r="B20" s="1" t="s">
        <v>7</v>
      </c>
      <c r="D20" s="227">
        <f>'Historical P&amp;L'!D18</f>
        <v>279.3</v>
      </c>
      <c r="E20" s="227">
        <f>'Historical P&amp;L'!E18</f>
        <v>-178.25</v>
      </c>
      <c r="F20" s="227">
        <f>'Historical P&amp;L'!F18</f>
        <v>273.56</v>
      </c>
      <c r="G20" s="227">
        <f>'Historical P&amp;L'!G18</f>
        <v>-391.15</v>
      </c>
      <c r="H20" s="227">
        <f>'Historical P&amp;L'!H18</f>
        <v>-182.54</v>
      </c>
      <c r="I20" s="176">
        <f>I13*I21</f>
        <v>380.84908800000005</v>
      </c>
      <c r="J20" s="176">
        <f t="shared" ref="J20:R20" si="7">J13*J21</f>
        <v>472.99454548000011</v>
      </c>
      <c r="K20" s="176">
        <f t="shared" si="7"/>
        <v>590.89706727480007</v>
      </c>
      <c r="L20" s="176">
        <f t="shared" si="7"/>
        <v>742.09932849554809</v>
      </c>
      <c r="M20" s="176">
        <f t="shared" si="7"/>
        <v>936.38845297800378</v>
      </c>
      <c r="N20" s="176">
        <f t="shared" si="7"/>
        <v>1158.3758622597288</v>
      </c>
      <c r="O20" s="176">
        <f t="shared" si="7"/>
        <v>1438.4830124694261</v>
      </c>
      <c r="P20" s="176">
        <f t="shared" si="7"/>
        <v>1792.2693967349069</v>
      </c>
      <c r="Q20" s="176">
        <f t="shared" si="7"/>
        <v>2239.4864094493132</v>
      </c>
      <c r="R20" s="176">
        <f t="shared" si="7"/>
        <v>2805.2085160185134</v>
      </c>
    </row>
    <row r="21" spans="1:18">
      <c r="B21" s="43" t="str">
        <f>B20 &amp; " % Revenue"</f>
        <v>Changes in inventories of finished goods, stock-in-trade and work-in-progress % Revenue</v>
      </c>
      <c r="D21" s="60">
        <f>D20/D13</f>
        <v>3.6965078390318408E-2</v>
      </c>
      <c r="E21" s="60">
        <f t="shared" ref="E21:H21" si="8">E20/E13</f>
        <v>-2.2465325258839618E-2</v>
      </c>
      <c r="F21" s="60">
        <f t="shared" si="8"/>
        <v>2.8799518253415968E-2</v>
      </c>
      <c r="G21" s="60">
        <f t="shared" si="8"/>
        <v>-3.133910894857149E-2</v>
      </c>
      <c r="H21" s="60">
        <f t="shared" si="8"/>
        <v>-1.1843410570052533E-2</v>
      </c>
      <c r="I21" s="58">
        <v>0.02</v>
      </c>
      <c r="J21" s="58">
        <v>0.02</v>
      </c>
      <c r="K21" s="58">
        <v>0.02</v>
      </c>
      <c r="L21" s="58">
        <v>0.02</v>
      </c>
      <c r="M21" s="58">
        <v>0.02</v>
      </c>
      <c r="N21" s="58">
        <v>0.02</v>
      </c>
      <c r="O21" s="58">
        <v>0.02</v>
      </c>
      <c r="P21" s="58">
        <v>0.02</v>
      </c>
      <c r="Q21" s="58">
        <v>0.02</v>
      </c>
      <c r="R21" s="58">
        <v>0.02</v>
      </c>
    </row>
    <row r="22" spans="1:18" s="1" customFormat="1" ht="15.75" thickBot="1">
      <c r="A22"/>
      <c r="B22" s="8" t="s">
        <v>153</v>
      </c>
      <c r="C22" s="8"/>
      <c r="D22" s="178">
        <f>D16+D18+D20</f>
        <v>5578.46</v>
      </c>
      <c r="E22" s="178">
        <f t="shared" ref="E22:R22" si="9">E16+E18+E20</f>
        <v>5896.66</v>
      </c>
      <c r="F22" s="178">
        <f t="shared" si="9"/>
        <v>7378.1800000000012</v>
      </c>
      <c r="G22" s="178">
        <f t="shared" si="9"/>
        <v>9814.0399999999991</v>
      </c>
      <c r="H22" s="178">
        <f t="shared" si="9"/>
        <v>11960.39</v>
      </c>
      <c r="I22" s="178">
        <f t="shared" si="9"/>
        <v>14662.689888000003</v>
      </c>
      <c r="J22" s="178">
        <f t="shared" si="9"/>
        <v>18210.290000980003</v>
      </c>
      <c r="K22" s="178">
        <f t="shared" si="9"/>
        <v>22749.537090079804</v>
      </c>
      <c r="L22" s="178">
        <f t="shared" si="9"/>
        <v>28570.824147078602</v>
      </c>
      <c r="M22" s="178">
        <f t="shared" si="9"/>
        <v>36050.955439653146</v>
      </c>
      <c r="N22" s="178">
        <f t="shared" si="9"/>
        <v>42280.718972480099</v>
      </c>
      <c r="O22" s="178">
        <f t="shared" si="9"/>
        <v>52504.629955134049</v>
      </c>
      <c r="P22" s="178">
        <f t="shared" si="9"/>
        <v>65417.832980824096</v>
      </c>
      <c r="Q22" s="178">
        <f t="shared" si="9"/>
        <v>81741.253944899916</v>
      </c>
      <c r="R22" s="178">
        <f t="shared" si="9"/>
        <v>102390.11083467574</v>
      </c>
    </row>
    <row r="24" spans="1:18">
      <c r="B24" s="61" t="s">
        <v>154</v>
      </c>
      <c r="C24" s="61"/>
      <c r="D24" s="62">
        <f>(D13-D22)/D13</f>
        <v>0.26169634372625988</v>
      </c>
      <c r="E24" s="62">
        <f t="shared" ref="E24:R24" si="10">(E13-E22)/E13</f>
        <v>0.25682813553554434</v>
      </c>
      <c r="F24" s="62">
        <f t="shared" si="10"/>
        <v>0.22324890485820786</v>
      </c>
      <c r="G24" s="62">
        <f t="shared" si="10"/>
        <v>0.21369482606253723</v>
      </c>
      <c r="H24" s="62">
        <f t="shared" si="10"/>
        <v>0.22399578531855693</v>
      </c>
      <c r="I24" s="62">
        <f t="shared" si="10"/>
        <v>0.22999999999999995</v>
      </c>
      <c r="J24" s="62">
        <f t="shared" si="10"/>
        <v>0.23</v>
      </c>
      <c r="K24" s="62">
        <f t="shared" si="10"/>
        <v>0.22999999999999993</v>
      </c>
      <c r="L24" s="62">
        <f t="shared" si="10"/>
        <v>0.23</v>
      </c>
      <c r="M24" s="62">
        <f t="shared" si="10"/>
        <v>0.22999999999999998</v>
      </c>
      <c r="N24" s="62">
        <f t="shared" si="10"/>
        <v>0.27</v>
      </c>
      <c r="O24" s="62">
        <f t="shared" si="10"/>
        <v>0.27</v>
      </c>
      <c r="P24" s="62">
        <f t="shared" si="10"/>
        <v>0.27</v>
      </c>
      <c r="Q24" s="62">
        <f t="shared" si="10"/>
        <v>0.27000000000000007</v>
      </c>
      <c r="R24" s="62">
        <f t="shared" si="10"/>
        <v>0.27</v>
      </c>
    </row>
    <row r="25" spans="1:18">
      <c r="B25" s="61" t="s">
        <v>155</v>
      </c>
      <c r="C25" s="61"/>
      <c r="D25" s="63">
        <f>1-D24</f>
        <v>0.73830365627374017</v>
      </c>
      <c r="E25" s="63">
        <f t="shared" ref="E25:H25" si="11">1-E24</f>
        <v>0.7431718644644556</v>
      </c>
      <c r="F25" s="63">
        <f t="shared" si="11"/>
        <v>0.77675109514179219</v>
      </c>
      <c r="G25" s="63">
        <f t="shared" si="11"/>
        <v>0.7863051739374628</v>
      </c>
      <c r="H25" s="63">
        <f t="shared" si="11"/>
        <v>0.77600421468144309</v>
      </c>
      <c r="I25" s="63">
        <f t="shared" ref="I25" si="12">1-I24</f>
        <v>0.77</v>
      </c>
      <c r="J25" s="63">
        <f t="shared" ref="J25" si="13">1-J24</f>
        <v>0.77</v>
      </c>
      <c r="K25" s="63">
        <f t="shared" ref="K25" si="14">1-K24</f>
        <v>0.77</v>
      </c>
      <c r="L25" s="63">
        <f t="shared" ref="L25" si="15">1-L24</f>
        <v>0.77</v>
      </c>
      <c r="M25" s="63">
        <f t="shared" ref="M25" si="16">1-M24</f>
        <v>0.77</v>
      </c>
      <c r="N25" s="63">
        <f t="shared" ref="N25" si="17">1-N24</f>
        <v>0.73</v>
      </c>
      <c r="O25" s="63">
        <f t="shared" ref="O25" si="18">1-O24</f>
        <v>0.73</v>
      </c>
      <c r="P25" s="63">
        <f t="shared" ref="P25" si="19">1-P24</f>
        <v>0.73</v>
      </c>
      <c r="Q25" s="63">
        <f t="shared" ref="Q25" si="20">1-Q24</f>
        <v>0.73</v>
      </c>
      <c r="R25" s="63">
        <f t="shared" ref="R25" si="21">1-R24</f>
        <v>0.73</v>
      </c>
    </row>
    <row r="27" spans="1:18">
      <c r="B27" s="1" t="s">
        <v>8</v>
      </c>
      <c r="D27" s="227">
        <f>'Historical P&amp;L'!D19</f>
        <v>601.67999999999995</v>
      </c>
      <c r="E27" s="227">
        <f>'Historical P&amp;L'!E19</f>
        <v>617.62</v>
      </c>
      <c r="F27" s="227">
        <f>'Historical P&amp;L'!F19</f>
        <v>667.21</v>
      </c>
      <c r="G27" s="227">
        <f>'Historical P&amp;L'!G19</f>
        <v>778.76</v>
      </c>
      <c r="H27" s="227">
        <f>'Historical P&amp;L'!H19</f>
        <v>890.07</v>
      </c>
      <c r="I27" s="176">
        <f>I13*I28</f>
        <v>1324.8108421234515</v>
      </c>
      <c r="J27" s="176">
        <f t="shared" ref="J27:R27" si="22">J13*J28</f>
        <v>1645.3454185957196</v>
      </c>
      <c r="K27" s="176">
        <f t="shared" si="22"/>
        <v>2055.4777888941817</v>
      </c>
      <c r="L27" s="176">
        <f t="shared" si="22"/>
        <v>2581.4456888588766</v>
      </c>
      <c r="M27" s="176">
        <f t="shared" si="22"/>
        <v>3257.2943300430456</v>
      </c>
      <c r="N27" s="176">
        <f t="shared" si="22"/>
        <v>4608.6813707355022</v>
      </c>
      <c r="O27" s="176">
        <f t="shared" si="22"/>
        <v>5723.1077387564501</v>
      </c>
      <c r="P27" s="176">
        <f t="shared" si="22"/>
        <v>7130.6722189101356</v>
      </c>
      <c r="Q27" s="176">
        <f t="shared" si="22"/>
        <v>8909.9571490641229</v>
      </c>
      <c r="R27" s="176">
        <f t="shared" si="22"/>
        <v>11160.723086531603</v>
      </c>
    </row>
    <row r="28" spans="1:18">
      <c r="B28" s="43" t="str">
        <f>B27 &amp; " % Revenue"</f>
        <v>Employee benefits expenses % Revenue</v>
      </c>
      <c r="C28" s="43"/>
      <c r="D28" s="44">
        <f>D27/D13</f>
        <v>7.9631752115598919E-2</v>
      </c>
      <c r="E28" s="44">
        <f t="shared" ref="E28:H28" si="23">E27/E13</f>
        <v>7.7840303990824825E-2</v>
      </c>
      <c r="F28" s="44">
        <f t="shared" si="23"/>
        <v>7.0241726034002291E-2</v>
      </c>
      <c r="G28" s="44">
        <f t="shared" si="23"/>
        <v>6.2394591550017989E-2</v>
      </c>
      <c r="H28" s="44">
        <f t="shared" si="23"/>
        <v>5.7748791750228221E-2</v>
      </c>
      <c r="I28" s="58">
        <f>AVERAGE(D28:H28)</f>
        <v>6.9571433088134446E-2</v>
      </c>
      <c r="J28" s="58">
        <f>I28</f>
        <v>6.9571433088134446E-2</v>
      </c>
      <c r="K28" s="58">
        <f t="shared" ref="K28:M28" si="24">J28</f>
        <v>6.9571433088134446E-2</v>
      </c>
      <c r="L28" s="58">
        <f t="shared" si="24"/>
        <v>6.9571433088134446E-2</v>
      </c>
      <c r="M28" s="58">
        <f t="shared" si="24"/>
        <v>6.9571433088134446E-2</v>
      </c>
      <c r="N28" s="44">
        <f>M28+1%</f>
        <v>7.9571433088134441E-2</v>
      </c>
      <c r="O28" s="58">
        <f>N28</f>
        <v>7.9571433088134441E-2</v>
      </c>
      <c r="P28" s="58">
        <f t="shared" ref="P28:R28" si="25">O28</f>
        <v>7.9571433088134441E-2</v>
      </c>
      <c r="Q28" s="58">
        <f t="shared" si="25"/>
        <v>7.9571433088134441E-2</v>
      </c>
      <c r="R28" s="58">
        <f t="shared" si="25"/>
        <v>7.9571433088134441E-2</v>
      </c>
    </row>
    <row r="29" spans="1:18">
      <c r="B29" s="1" t="s">
        <v>11</v>
      </c>
      <c r="D29" s="227">
        <f>'Historical P&amp;L'!D22</f>
        <v>734.28</v>
      </c>
      <c r="E29" s="227">
        <f>'Historical P&amp;L'!E22</f>
        <v>738.62</v>
      </c>
      <c r="F29" s="227">
        <f>'Historical P&amp;L'!F22</f>
        <v>881.01</v>
      </c>
      <c r="G29" s="227">
        <f>'Historical P&amp;L'!G22</f>
        <v>1413.79</v>
      </c>
      <c r="H29" s="227">
        <f>'Historical P&amp;L'!H22</f>
        <v>1446.15</v>
      </c>
      <c r="I29" s="176">
        <f>I13*I30</f>
        <v>1866.6281507788592</v>
      </c>
      <c r="J29" s="176">
        <f t="shared" ref="J29:R29" si="26">J13*J30</f>
        <v>2318.2540317854705</v>
      </c>
      <c r="K29" s="176">
        <f t="shared" si="26"/>
        <v>2896.121153342006</v>
      </c>
      <c r="L29" s="176">
        <f t="shared" si="26"/>
        <v>3637.1978846484149</v>
      </c>
      <c r="M29" s="176">
        <f t="shared" si="26"/>
        <v>4589.4531494664043</v>
      </c>
      <c r="N29" s="176">
        <f t="shared" si="26"/>
        <v>6256.6519498352045</v>
      </c>
      <c r="O29" s="176">
        <f t="shared" si="26"/>
        <v>7769.5744861383091</v>
      </c>
      <c r="P29" s="176">
        <f t="shared" si="26"/>
        <v>9680.4553522344777</v>
      </c>
      <c r="Q29" s="176">
        <f t="shared" si="26"/>
        <v>12095.976329286472</v>
      </c>
      <c r="R29" s="176">
        <f t="shared" si="26"/>
        <v>15151.570317775022</v>
      </c>
    </row>
    <row r="30" spans="1:18">
      <c r="B30" s="43" t="str">
        <f>B29 &amp; " % Revenue"</f>
        <v>Other expenses % Revenue</v>
      </c>
      <c r="C30" s="43"/>
      <c r="D30" s="44">
        <f>D29/D13</f>
        <v>9.7181230792849974E-2</v>
      </c>
      <c r="E30" s="44">
        <f t="shared" ref="E30:H30" si="27">E29/E13</f>
        <v>9.3090258303978227E-2</v>
      </c>
      <c r="F30" s="44">
        <f t="shared" si="27"/>
        <v>9.274990340854658E-2</v>
      </c>
      <c r="G30" s="44">
        <f t="shared" si="27"/>
        <v>0.1132734726841388</v>
      </c>
      <c r="H30" s="44">
        <f t="shared" si="27"/>
        <v>9.3827918241927641E-2</v>
      </c>
      <c r="I30" s="58">
        <f>AVERAGE(D30:H30)</f>
        <v>9.8024556686288247E-2</v>
      </c>
      <c r="J30" s="58">
        <f>I30</f>
        <v>9.8024556686288247E-2</v>
      </c>
      <c r="K30" s="58">
        <f t="shared" ref="K30:M30" si="28">J30</f>
        <v>9.8024556686288247E-2</v>
      </c>
      <c r="L30" s="58">
        <f t="shared" si="28"/>
        <v>9.8024556686288247E-2</v>
      </c>
      <c r="M30" s="58">
        <f t="shared" si="28"/>
        <v>9.8024556686288247E-2</v>
      </c>
      <c r="N30" s="44">
        <f>M30+1%</f>
        <v>0.10802455668628824</v>
      </c>
      <c r="O30" s="58">
        <f>N30</f>
        <v>0.10802455668628824</v>
      </c>
      <c r="P30" s="58">
        <f t="shared" ref="P30:R30" si="29">O30</f>
        <v>0.10802455668628824</v>
      </c>
      <c r="Q30" s="58">
        <f t="shared" si="29"/>
        <v>0.10802455668628824</v>
      </c>
      <c r="R30" s="58">
        <f t="shared" si="29"/>
        <v>0.10802455668628824</v>
      </c>
    </row>
    <row r="32" spans="1:18" ht="15.75" thickBot="1">
      <c r="B32" s="8" t="s">
        <v>158</v>
      </c>
      <c r="C32" s="8"/>
      <c r="D32" s="178">
        <f>D29+D27</f>
        <v>1335.96</v>
      </c>
      <c r="E32" s="178">
        <f t="shared" ref="E32:R32" si="30">E29+E27</f>
        <v>1356.24</v>
      </c>
      <c r="F32" s="178">
        <f t="shared" si="30"/>
        <v>1548.22</v>
      </c>
      <c r="G32" s="178">
        <f t="shared" si="30"/>
        <v>2192.5500000000002</v>
      </c>
      <c r="H32" s="178">
        <f t="shared" si="30"/>
        <v>2336.2200000000003</v>
      </c>
      <c r="I32" s="178">
        <f t="shared" si="30"/>
        <v>3191.4389929023109</v>
      </c>
      <c r="J32" s="178">
        <f t="shared" si="30"/>
        <v>3963.5994503811899</v>
      </c>
      <c r="K32" s="178">
        <f t="shared" si="30"/>
        <v>4951.5989422361872</v>
      </c>
      <c r="L32" s="178">
        <f t="shared" si="30"/>
        <v>6218.6435735072919</v>
      </c>
      <c r="M32" s="178">
        <f t="shared" si="30"/>
        <v>7846.7474795094495</v>
      </c>
      <c r="N32" s="178">
        <f t="shared" si="30"/>
        <v>10865.333320570706</v>
      </c>
      <c r="O32" s="178">
        <f t="shared" si="30"/>
        <v>13492.682224894759</v>
      </c>
      <c r="P32" s="178">
        <f t="shared" si="30"/>
        <v>16811.127571144614</v>
      </c>
      <c r="Q32" s="178">
        <f t="shared" si="30"/>
        <v>21005.933478350595</v>
      </c>
      <c r="R32" s="178">
        <f t="shared" si="30"/>
        <v>26312.293404306627</v>
      </c>
    </row>
    <row r="33" spans="2:18">
      <c r="B33" s="43" t="str">
        <f>B32 &amp; " % Revenue"</f>
        <v>Opex % Revenue</v>
      </c>
      <c r="C33" s="43"/>
      <c r="D33" s="44">
        <f>D32/D13</f>
        <v>0.17681298290844891</v>
      </c>
      <c r="E33" s="44">
        <f t="shared" ref="E33:R33" si="31">E32/E13</f>
        <v>0.17093056229480305</v>
      </c>
      <c r="F33" s="44">
        <f t="shared" si="31"/>
        <v>0.16299162944254889</v>
      </c>
      <c r="G33" s="44">
        <f t="shared" si="31"/>
        <v>0.17566806423415682</v>
      </c>
      <c r="H33" s="44">
        <f t="shared" si="31"/>
        <v>0.15157670999215586</v>
      </c>
      <c r="I33" s="44">
        <f t="shared" si="31"/>
        <v>0.16759598977442269</v>
      </c>
      <c r="J33" s="44">
        <f t="shared" si="31"/>
        <v>0.16759598977442267</v>
      </c>
      <c r="K33" s="44">
        <f t="shared" si="31"/>
        <v>0.16759598977442269</v>
      </c>
      <c r="L33" s="44">
        <f t="shared" si="31"/>
        <v>0.16759598977442269</v>
      </c>
      <c r="M33" s="44">
        <f t="shared" si="31"/>
        <v>0.16759598977442267</v>
      </c>
      <c r="N33" s="44">
        <f t="shared" si="31"/>
        <v>0.18759598977442268</v>
      </c>
      <c r="O33" s="44">
        <f t="shared" si="31"/>
        <v>0.18759598977442268</v>
      </c>
      <c r="P33" s="44">
        <f t="shared" si="31"/>
        <v>0.18759598977442268</v>
      </c>
      <c r="Q33" s="44">
        <f t="shared" si="31"/>
        <v>0.18759598977442268</v>
      </c>
      <c r="R33" s="44">
        <f t="shared" si="31"/>
        <v>0.18759598977442271</v>
      </c>
    </row>
    <row r="35" spans="2:18" ht="15.75" thickBot="1">
      <c r="B35" s="8" t="s">
        <v>159</v>
      </c>
      <c r="C35" s="8"/>
      <c r="D35" s="64">
        <f>-'Historical P&amp;L'!D30/'Historical P&amp;L'!D29</f>
        <v>0.25439573610073202</v>
      </c>
      <c r="E35" s="64">
        <f>-'Historical P&amp;L'!E30/'Historical P&amp;L'!E29</f>
        <v>0.27434389789186875</v>
      </c>
      <c r="F35" s="64">
        <f>-'Historical P&amp;L'!F30/'Historical P&amp;L'!F29</f>
        <v>0.55648889757113906</v>
      </c>
      <c r="G35" s="64">
        <f>-'Historical P&amp;L'!G30/'Historical P&amp;L'!G29</f>
        <v>0.48927542198435403</v>
      </c>
      <c r="H35" s="64">
        <f>-'Historical P&amp;L'!H30/'Historical P&amp;L'!H29</f>
        <v>0.29936594583245857</v>
      </c>
      <c r="I35" s="56">
        <v>0.28999999999999998</v>
      </c>
      <c r="J35" s="56">
        <f>I35</f>
        <v>0.28999999999999998</v>
      </c>
      <c r="K35" s="56">
        <f t="shared" ref="K35:R35" si="32">J35</f>
        <v>0.28999999999999998</v>
      </c>
      <c r="L35" s="56">
        <f t="shared" si="32"/>
        <v>0.28999999999999998</v>
      </c>
      <c r="M35" s="56">
        <f t="shared" si="32"/>
        <v>0.28999999999999998</v>
      </c>
      <c r="N35" s="56">
        <f t="shared" si="32"/>
        <v>0.28999999999999998</v>
      </c>
      <c r="O35" s="56">
        <f t="shared" si="32"/>
        <v>0.28999999999999998</v>
      </c>
      <c r="P35" s="56">
        <f t="shared" si="32"/>
        <v>0.28999999999999998</v>
      </c>
      <c r="Q35" s="56">
        <f t="shared" si="32"/>
        <v>0.28999999999999998</v>
      </c>
      <c r="R35" s="56">
        <f t="shared" si="32"/>
        <v>0.28999999999999998</v>
      </c>
    </row>
    <row r="37" spans="2:18">
      <c r="B37" s="129"/>
      <c r="C37" s="129"/>
      <c r="D37" s="129"/>
      <c r="E37" s="129"/>
      <c r="F37" s="129"/>
      <c r="G37" s="129"/>
      <c r="H37" s="129"/>
      <c r="I37" s="129"/>
      <c r="J37" s="129"/>
      <c r="K37" s="129"/>
      <c r="L37" s="129"/>
      <c r="M37" s="129"/>
      <c r="N37" s="129"/>
      <c r="O37" s="129"/>
      <c r="P37" s="129"/>
      <c r="Q37" s="129"/>
      <c r="R37" s="129"/>
    </row>
    <row r="38" spans="2:18">
      <c r="B38" s="1"/>
    </row>
    <row r="39" spans="2:18">
      <c r="D39" s="37"/>
      <c r="E39" s="37"/>
      <c r="F39" s="37"/>
      <c r="G39" s="37"/>
      <c r="H39" s="37"/>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0:R65"/>
  <sheetViews>
    <sheetView showGridLines="0" topLeftCell="A46" workbookViewId="0">
      <selection activeCell="I58" sqref="I58"/>
    </sheetView>
  </sheetViews>
  <sheetFormatPr defaultRowHeight="15"/>
  <cols>
    <col min="1" max="1" width="1.85546875" customWidth="1"/>
    <col min="2" max="2" width="51.5703125" bestFit="1" customWidth="1"/>
    <col min="4" max="4" width="10.42578125" bestFit="1" customWidth="1"/>
    <col min="5" max="8" width="9.42578125" bestFit="1" customWidth="1"/>
    <col min="9" max="9" width="8.140625" bestFit="1" customWidth="1"/>
    <col min="10" max="16" width="9.5703125" bestFit="1" customWidth="1"/>
    <col min="17" max="18" width="9.7109375" bestFit="1" customWidth="1"/>
  </cols>
  <sheetData>
    <row r="10" spans="2:18">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row>
    <row r="11" spans="2:18" ht="15.75" customHeight="1">
      <c r="D11" s="244"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2" spans="2:18" ht="15.75" customHeight="1">
      <c r="D12" s="244"/>
      <c r="E12" s="244"/>
      <c r="F12" s="244"/>
      <c r="G12" s="244"/>
      <c r="H12" s="244"/>
      <c r="I12" s="243"/>
      <c r="J12" s="243"/>
      <c r="K12" s="243"/>
      <c r="L12" s="243"/>
      <c r="M12" s="243"/>
      <c r="N12" s="243"/>
      <c r="O12" s="243"/>
      <c r="P12" s="243"/>
      <c r="Q12" s="243"/>
      <c r="R12" s="243"/>
    </row>
    <row r="13" spans="2:18" ht="15.75" thickBot="1">
      <c r="B13" s="8" t="s">
        <v>0</v>
      </c>
      <c r="C13" s="8"/>
      <c r="D13" s="230">
        <f>'Historical P&amp;L'!D12</f>
        <v>7555.78</v>
      </c>
      <c r="E13" s="230">
        <v>7934.45</v>
      </c>
      <c r="F13" s="230">
        <v>9498.77</v>
      </c>
      <c r="G13" s="230">
        <v>12481.21</v>
      </c>
      <c r="H13" s="230">
        <v>15412.79</v>
      </c>
      <c r="I13" s="178">
        <f>SUM(I16,I24,I32,I40)</f>
        <v>19042.454400000002</v>
      </c>
      <c r="J13" s="178">
        <f t="shared" ref="J13:R13" si="1">SUM(J16,J24,J32,J40)</f>
        <v>23649.727274000004</v>
      </c>
      <c r="K13" s="178">
        <f t="shared" si="1"/>
        <v>29544.853363740003</v>
      </c>
      <c r="L13" s="178">
        <f t="shared" si="1"/>
        <v>37104.966424777405</v>
      </c>
      <c r="M13" s="178">
        <f t="shared" si="1"/>
        <v>46819.422648900189</v>
      </c>
      <c r="N13" s="178">
        <f t="shared" si="1"/>
        <v>57918.793112986437</v>
      </c>
      <c r="O13" s="178">
        <f t="shared" si="1"/>
        <v>71924.150623471302</v>
      </c>
      <c r="P13" s="178">
        <f t="shared" si="1"/>
        <v>89613.469836745338</v>
      </c>
      <c r="Q13" s="178">
        <f t="shared" si="1"/>
        <v>111974.32047246565</v>
      </c>
      <c r="R13" s="178">
        <f t="shared" si="1"/>
        <v>140260.42580092567</v>
      </c>
    </row>
    <row r="14" spans="2:18">
      <c r="B14" s="41" t="s">
        <v>237</v>
      </c>
      <c r="C14" s="41"/>
      <c r="D14" s="41"/>
      <c r="E14" s="42">
        <f>E13/D13-1</f>
        <v>5.0116599477486146E-2</v>
      </c>
      <c r="F14" s="42">
        <f t="shared" ref="F14:I14" si="2">F13/E13-1</f>
        <v>0.19715544240621607</v>
      </c>
      <c r="G14" s="42">
        <f t="shared" si="2"/>
        <v>0.3139817049996998</v>
      </c>
      <c r="H14" s="42">
        <f t="shared" si="2"/>
        <v>0.23487947082053751</v>
      </c>
      <c r="I14" s="42">
        <f t="shared" si="2"/>
        <v>0.23549690873618601</v>
      </c>
      <c r="J14" s="42">
        <f t="shared" ref="J14" si="3">J13/I13-1</f>
        <v>0.24194742847854744</v>
      </c>
      <c r="K14" s="42">
        <f t="shared" ref="K14" si="4">K13/J13-1</f>
        <v>0.24926824827366922</v>
      </c>
      <c r="L14" s="42">
        <f t="shared" ref="L14" si="5">L13/K13-1</f>
        <v>0.25588595644599899</v>
      </c>
      <c r="M14" s="42">
        <f t="shared" ref="M14" si="6">M13/L13-1</f>
        <v>0.26181013379480667</v>
      </c>
      <c r="N14" s="42">
        <f t="shared" ref="N14" si="7">N13/M13-1</f>
        <v>0.23706764919594714</v>
      </c>
      <c r="O14" s="42">
        <f t="shared" ref="O14" si="8">O13/N13-1</f>
        <v>0.24181024427017306</v>
      </c>
      <c r="P14" s="42">
        <f t="shared" ref="P14" si="9">P13/O13-1</f>
        <v>0.2459440822023613</v>
      </c>
      <c r="Q14" s="42">
        <f t="shared" ref="Q14" si="10">Q13/P13-1</f>
        <v>0.24952555320596925</v>
      </c>
      <c r="R14" s="42">
        <f t="shared" ref="R14" si="11">R13/Q13-1</f>
        <v>0.25261243121734811</v>
      </c>
    </row>
    <row r="16" spans="2:18">
      <c r="B16" s="45" t="s">
        <v>132</v>
      </c>
      <c r="C16" s="45"/>
      <c r="D16" s="231">
        <v>3555.04</v>
      </c>
      <c r="E16" s="231">
        <v>4881.92</v>
      </c>
      <c r="F16" s="231">
        <v>6474.5</v>
      </c>
      <c r="G16" s="231">
        <v>8160.48</v>
      </c>
      <c r="H16" s="231">
        <v>10613.92</v>
      </c>
      <c r="I16" s="232">
        <f>H16*(1+I17)</f>
        <v>13798.096000000001</v>
      </c>
      <c r="J16" s="232">
        <f t="shared" ref="J16:R16" si="12">I16*(1+J17)</f>
        <v>17937.524800000003</v>
      </c>
      <c r="K16" s="232">
        <f t="shared" si="12"/>
        <v>23318.782240000004</v>
      </c>
      <c r="L16" s="232">
        <f t="shared" si="12"/>
        <v>30314.416912000008</v>
      </c>
      <c r="M16" s="232">
        <f t="shared" si="12"/>
        <v>39408.741985600012</v>
      </c>
      <c r="N16" s="232">
        <f t="shared" si="12"/>
        <v>50049.102321712016</v>
      </c>
      <c r="O16" s="232">
        <f t="shared" si="12"/>
        <v>63562.35994857426</v>
      </c>
      <c r="P16" s="232">
        <f t="shared" si="12"/>
        <v>80724.197134689311</v>
      </c>
      <c r="Q16" s="232">
        <f t="shared" si="12"/>
        <v>102519.73036105542</v>
      </c>
      <c r="R16" s="232">
        <f t="shared" si="12"/>
        <v>130200.05755854039</v>
      </c>
    </row>
    <row r="17" spans="2:18">
      <c r="B17" s="65" t="str">
        <f>B16 &amp; " Growth (Y-O-Y)"</f>
        <v>Segment - A (Unitary Cooling Products) Growth (Y-O-Y)</v>
      </c>
      <c r="C17" s="59"/>
      <c r="D17" s="66"/>
      <c r="E17" s="59">
        <f>E16/D16-1</f>
        <v>0.37323911967235257</v>
      </c>
      <c r="F17" s="59">
        <f t="shared" ref="F17:H17" si="13">F16/E16-1</f>
        <v>0.32622001179863669</v>
      </c>
      <c r="G17" s="59">
        <f t="shared" si="13"/>
        <v>0.26040311993204113</v>
      </c>
      <c r="H17" s="59">
        <f t="shared" si="13"/>
        <v>0.30064898143246488</v>
      </c>
      <c r="I17" s="59">
        <f t="array" ref="I17:R17">CHOOSE(Assumptions!$C$11,'Revenue Build Up'!I20:R20,'Revenue Build Up'!I21:R21,'Revenue Build Up'!I22:R22)</f>
        <v>0.3</v>
      </c>
      <c r="J17" s="59">
        <v>0.3</v>
      </c>
      <c r="K17" s="59">
        <v>0.3</v>
      </c>
      <c r="L17" s="59">
        <v>0.3</v>
      </c>
      <c r="M17" s="59">
        <v>0.3</v>
      </c>
      <c r="N17" s="59">
        <v>0.27</v>
      </c>
      <c r="O17" s="59">
        <v>0.27</v>
      </c>
      <c r="P17" s="59">
        <v>0.27</v>
      </c>
      <c r="Q17" s="59">
        <v>0.27</v>
      </c>
      <c r="R17" s="59">
        <v>0.27</v>
      </c>
    </row>
    <row r="18" spans="2:18">
      <c r="B18" s="65" t="str">
        <f>B16 &amp; " Share as % Revenue"</f>
        <v>Segment - A (Unitary Cooling Products) Share as % Revenue</v>
      </c>
      <c r="C18" s="65"/>
      <c r="D18" s="59">
        <f>D16/D$13</f>
        <v>0.47050602320342838</v>
      </c>
      <c r="E18" s="59">
        <f t="shared" ref="E18:R18" si="14">E16/E$13</f>
        <v>0.61528146248322191</v>
      </c>
      <c r="F18" s="59">
        <f t="shared" si="14"/>
        <v>0.68161456693866673</v>
      </c>
      <c r="G18" s="59">
        <f t="shared" si="14"/>
        <v>0.653821224064013</v>
      </c>
      <c r="H18" s="59">
        <f t="shared" si="14"/>
        <v>0.68864365244709103</v>
      </c>
      <c r="I18" s="59">
        <f t="shared" si="14"/>
        <v>0.72459650999610636</v>
      </c>
      <c r="J18" s="59">
        <f t="shared" si="14"/>
        <v>0.75846645469439</v>
      </c>
      <c r="K18" s="59">
        <f t="shared" si="14"/>
        <v>0.78926715096236788</v>
      </c>
      <c r="L18" s="59">
        <f t="shared" si="14"/>
        <v>0.81699081909846694</v>
      </c>
      <c r="M18" s="59">
        <f t="shared" si="14"/>
        <v>0.8417178118817692</v>
      </c>
      <c r="N18" s="59">
        <f t="shared" si="14"/>
        <v>0.86412543548822851</v>
      </c>
      <c r="O18" s="59">
        <f t="shared" si="14"/>
        <v>0.88374154435730934</v>
      </c>
      <c r="P18" s="59">
        <f t="shared" si="14"/>
        <v>0.90080427955473441</v>
      </c>
      <c r="Q18" s="59">
        <f t="shared" si="14"/>
        <v>0.91556465740075554</v>
      </c>
      <c r="R18" s="59">
        <f t="shared" si="14"/>
        <v>0.92827365106773485</v>
      </c>
    </row>
    <row r="19" spans="2:18">
      <c r="B19" s="1" t="s">
        <v>147</v>
      </c>
      <c r="C19" s="29"/>
      <c r="D19" s="32"/>
      <c r="E19" s="32"/>
      <c r="F19" s="32"/>
      <c r="G19" s="32"/>
      <c r="H19" s="32"/>
    </row>
    <row r="20" spans="2:18">
      <c r="B20" s="67" t="s">
        <v>148</v>
      </c>
      <c r="C20" s="67"/>
      <c r="D20" s="69"/>
      <c r="E20" s="69"/>
      <c r="F20" s="69"/>
      <c r="G20" s="69"/>
      <c r="H20" s="69"/>
      <c r="I20" s="68">
        <v>0.35</v>
      </c>
      <c r="J20" s="68">
        <f>I20</f>
        <v>0.35</v>
      </c>
      <c r="K20" s="68">
        <f t="shared" ref="K20:R20" si="15">J20</f>
        <v>0.35</v>
      </c>
      <c r="L20" s="68">
        <f t="shared" si="15"/>
        <v>0.35</v>
      </c>
      <c r="M20" s="68">
        <f t="shared" si="15"/>
        <v>0.35</v>
      </c>
      <c r="N20" s="68">
        <f>M20-3%</f>
        <v>0.31999999999999995</v>
      </c>
      <c r="O20" s="68">
        <f t="shared" si="15"/>
        <v>0.31999999999999995</v>
      </c>
      <c r="P20" s="68">
        <f t="shared" si="15"/>
        <v>0.31999999999999995</v>
      </c>
      <c r="Q20" s="68">
        <f t="shared" si="15"/>
        <v>0.31999999999999995</v>
      </c>
      <c r="R20" s="68">
        <f t="shared" si="15"/>
        <v>0.31999999999999995</v>
      </c>
    </row>
    <row r="21" spans="2:18">
      <c r="B21" s="67" t="s">
        <v>149</v>
      </c>
      <c r="C21" s="67"/>
      <c r="D21" s="69"/>
      <c r="E21" s="69"/>
      <c r="F21" s="69"/>
      <c r="G21" s="69"/>
      <c r="H21" s="69"/>
      <c r="I21" s="68">
        <v>0.3</v>
      </c>
      <c r="J21" s="68">
        <f t="shared" ref="J21:R22" si="16">I21</f>
        <v>0.3</v>
      </c>
      <c r="K21" s="68">
        <f t="shared" si="16"/>
        <v>0.3</v>
      </c>
      <c r="L21" s="68">
        <f t="shared" si="16"/>
        <v>0.3</v>
      </c>
      <c r="M21" s="68">
        <f t="shared" si="16"/>
        <v>0.3</v>
      </c>
      <c r="N21" s="68">
        <f>M21-3%</f>
        <v>0.27</v>
      </c>
      <c r="O21" s="68">
        <f t="shared" si="16"/>
        <v>0.27</v>
      </c>
      <c r="P21" s="68">
        <f t="shared" si="16"/>
        <v>0.27</v>
      </c>
      <c r="Q21" s="68">
        <f t="shared" si="16"/>
        <v>0.27</v>
      </c>
      <c r="R21" s="68">
        <f t="shared" si="16"/>
        <v>0.27</v>
      </c>
    </row>
    <row r="22" spans="2:18">
      <c r="B22" s="67" t="s">
        <v>150</v>
      </c>
      <c r="C22" s="67"/>
      <c r="D22" s="69"/>
      <c r="E22" s="69"/>
      <c r="F22" s="69"/>
      <c r="G22" s="69"/>
      <c r="H22" s="69"/>
      <c r="I22" s="68">
        <v>0.25</v>
      </c>
      <c r="J22" s="68">
        <f t="shared" si="16"/>
        <v>0.25</v>
      </c>
      <c r="K22" s="68">
        <f t="shared" si="16"/>
        <v>0.25</v>
      </c>
      <c r="L22" s="68">
        <f t="shared" si="16"/>
        <v>0.25</v>
      </c>
      <c r="M22" s="68">
        <f t="shared" si="16"/>
        <v>0.25</v>
      </c>
      <c r="N22" s="68">
        <f>M22-3%</f>
        <v>0.22</v>
      </c>
      <c r="O22" s="68">
        <f t="shared" si="16"/>
        <v>0.22</v>
      </c>
      <c r="P22" s="68">
        <f t="shared" si="16"/>
        <v>0.22</v>
      </c>
      <c r="Q22" s="68">
        <f t="shared" si="16"/>
        <v>0.22</v>
      </c>
      <c r="R22" s="68">
        <f t="shared" si="16"/>
        <v>0.22</v>
      </c>
    </row>
    <row r="23" spans="2:18">
      <c r="D23" s="32"/>
      <c r="E23" s="32"/>
      <c r="F23" s="32"/>
      <c r="G23" s="32"/>
      <c r="H23" s="32"/>
    </row>
    <row r="24" spans="2:18">
      <c r="B24" s="45" t="s">
        <v>133</v>
      </c>
      <c r="C24" s="45"/>
      <c r="D24" s="231">
        <v>3566.38</v>
      </c>
      <c r="E24" s="231">
        <v>2470.4899999999998</v>
      </c>
      <c r="F24" s="231">
        <v>2402.91</v>
      </c>
      <c r="G24" s="231">
        <v>3683.03</v>
      </c>
      <c r="H24" s="231">
        <v>4156.79</v>
      </c>
      <c r="I24" s="232">
        <f>H24*(1+I25)</f>
        <v>4572.4690000000001</v>
      </c>
      <c r="J24" s="232">
        <f t="shared" ref="J24" si="17">I24*(1+J25)</f>
        <v>5029.7159000000001</v>
      </c>
      <c r="K24" s="232">
        <f t="shared" ref="K24" si="18">J24*(1+K25)</f>
        <v>5532.6874900000003</v>
      </c>
      <c r="L24" s="232">
        <f t="shared" ref="L24" si="19">K24*(1+L25)</f>
        <v>6085.956239000001</v>
      </c>
      <c r="M24" s="232">
        <f t="shared" ref="M24" si="20">L24*(1+M25)</f>
        <v>6694.5518629000017</v>
      </c>
      <c r="N24" s="232">
        <f t="shared" ref="N24" si="21">M24*(1+N25)</f>
        <v>7163.1704933030023</v>
      </c>
      <c r="O24" s="232">
        <f t="shared" ref="O24" si="22">N24*(1+O25)</f>
        <v>7664.5924278342127</v>
      </c>
      <c r="P24" s="232">
        <f t="shared" ref="P24" si="23">O24*(1+P25)</f>
        <v>8201.1138977826085</v>
      </c>
      <c r="Q24" s="232">
        <f t="shared" ref="Q24" si="24">P24*(1+Q25)</f>
        <v>8775.1918706273918</v>
      </c>
      <c r="R24" s="232">
        <f t="shared" ref="R24" si="25">Q24*(1+R25)</f>
        <v>9389.45530157131</v>
      </c>
    </row>
    <row r="25" spans="2:18">
      <c r="B25" s="65" t="str">
        <f>B24 &amp; " Growth (Y-O-Y)"</f>
        <v>Segment - B (Electro - Mechanical Projects and Services) Growth (Y-O-Y)</v>
      </c>
      <c r="C25" s="59"/>
      <c r="D25" s="66"/>
      <c r="E25" s="59">
        <f>E24/D24-1</f>
        <v>-0.30728357606312295</v>
      </c>
      <c r="F25" s="59">
        <f t="shared" ref="F25" si="26">F24/E24-1</f>
        <v>-2.7354897206626982E-2</v>
      </c>
      <c r="G25" s="59">
        <f t="shared" ref="G25" si="27">G24/F24-1</f>
        <v>0.53273738924886915</v>
      </c>
      <c r="H25" s="59">
        <f t="shared" ref="H25" si="28">H24/G24-1</f>
        <v>0.12863321775820435</v>
      </c>
      <c r="I25" s="59">
        <f t="array" ref="I25:R25">CHOOSE(Assumptions!$C$11,'Revenue Build Up'!I28:R28,'Revenue Build Up'!I29:R29,'Revenue Build Up'!I30:R30)</f>
        <v>0.1</v>
      </c>
      <c r="J25" s="59">
        <v>0.1</v>
      </c>
      <c r="K25" s="59">
        <v>0.1</v>
      </c>
      <c r="L25" s="59">
        <v>0.1</v>
      </c>
      <c r="M25" s="59">
        <v>0.1</v>
      </c>
      <c r="N25" s="59">
        <v>7.0000000000000007E-2</v>
      </c>
      <c r="O25" s="59">
        <v>7.0000000000000007E-2</v>
      </c>
      <c r="P25" s="59">
        <v>7.0000000000000007E-2</v>
      </c>
      <c r="Q25" s="59">
        <v>7.0000000000000007E-2</v>
      </c>
      <c r="R25" s="59">
        <v>7.0000000000000007E-2</v>
      </c>
    </row>
    <row r="26" spans="2:18">
      <c r="B26" s="65" t="str">
        <f>B24 &amp; " Share as % Revenue"</f>
        <v>Segment - B (Electro - Mechanical Projects and Services) Share as % Revenue</v>
      </c>
      <c r="C26" s="65"/>
      <c r="D26" s="59">
        <f>D24/D$13</f>
        <v>0.47200686097265937</v>
      </c>
      <c r="E26" s="59">
        <f t="shared" ref="E26" si="29">E24/E$13</f>
        <v>0.311362476290102</v>
      </c>
      <c r="F26" s="59">
        <f t="shared" ref="F26" si="30">F24/F$13</f>
        <v>0.25297064777860712</v>
      </c>
      <c r="G26" s="59">
        <f t="shared" ref="G26" si="31">G24/G$13</f>
        <v>0.29508597323496683</v>
      </c>
      <c r="H26" s="59">
        <f t="shared" ref="H26:R26" si="32">H24/H$13</f>
        <v>0.2696974395939995</v>
      </c>
      <c r="I26" s="59">
        <f t="shared" si="32"/>
        <v>0.240119729523942</v>
      </c>
      <c r="J26" s="59">
        <f t="shared" si="32"/>
        <v>0.2126754292650791</v>
      </c>
      <c r="K26" s="59">
        <f t="shared" si="32"/>
        <v>0.18726400235887419</v>
      </c>
      <c r="L26" s="59">
        <f t="shared" si="32"/>
        <v>0.16401999045971408</v>
      </c>
      <c r="M26" s="59">
        <f t="shared" si="32"/>
        <v>0.14298663853893678</v>
      </c>
      <c r="N26" s="59">
        <f t="shared" si="32"/>
        <v>0.12367610076627944</v>
      </c>
      <c r="O26" s="59">
        <f t="shared" si="32"/>
        <v>0.1065649348847923</v>
      </c>
      <c r="P26" s="59">
        <f t="shared" si="32"/>
        <v>9.151653108314084E-2</v>
      </c>
      <c r="Q26" s="59">
        <f t="shared" si="32"/>
        <v>7.8367895724673772E-2</v>
      </c>
      <c r="R26" s="59">
        <f t="shared" si="32"/>
        <v>6.6943011529837684E-2</v>
      </c>
    </row>
    <row r="27" spans="2:18">
      <c r="B27" s="1" t="s">
        <v>147</v>
      </c>
      <c r="D27" s="32"/>
      <c r="E27" s="32"/>
      <c r="F27" s="32"/>
      <c r="G27" s="32"/>
      <c r="H27" s="32"/>
    </row>
    <row r="28" spans="2:18">
      <c r="B28" s="67" t="s">
        <v>148</v>
      </c>
      <c r="C28" s="67"/>
      <c r="D28" s="69"/>
      <c r="E28" s="69"/>
      <c r="F28" s="69"/>
      <c r="G28" s="69"/>
      <c r="H28" s="69"/>
      <c r="I28" s="68">
        <v>0.25</v>
      </c>
      <c r="J28" s="68">
        <f>I28</f>
        <v>0.25</v>
      </c>
      <c r="K28" s="68">
        <f t="shared" ref="K28:R28" si="33">J28</f>
        <v>0.25</v>
      </c>
      <c r="L28" s="68">
        <f t="shared" si="33"/>
        <v>0.25</v>
      </c>
      <c r="M28" s="68">
        <f t="shared" si="33"/>
        <v>0.25</v>
      </c>
      <c r="N28" s="68">
        <f>M28-3%</f>
        <v>0.22</v>
      </c>
      <c r="O28" s="68">
        <f t="shared" si="33"/>
        <v>0.22</v>
      </c>
      <c r="P28" s="68">
        <f t="shared" si="33"/>
        <v>0.22</v>
      </c>
      <c r="Q28" s="68">
        <f t="shared" si="33"/>
        <v>0.22</v>
      </c>
      <c r="R28" s="68">
        <f t="shared" si="33"/>
        <v>0.22</v>
      </c>
    </row>
    <row r="29" spans="2:18">
      <c r="B29" s="67" t="s">
        <v>149</v>
      </c>
      <c r="C29" s="67"/>
      <c r="D29" s="69"/>
      <c r="E29" s="69"/>
      <c r="F29" s="69"/>
      <c r="G29" s="69"/>
      <c r="H29" s="69"/>
      <c r="I29" s="68">
        <v>0.1</v>
      </c>
      <c r="J29" s="68">
        <f t="shared" ref="J29:R29" si="34">I29</f>
        <v>0.1</v>
      </c>
      <c r="K29" s="68">
        <f t="shared" si="34"/>
        <v>0.1</v>
      </c>
      <c r="L29" s="68">
        <f t="shared" si="34"/>
        <v>0.1</v>
      </c>
      <c r="M29" s="68">
        <f t="shared" si="34"/>
        <v>0.1</v>
      </c>
      <c r="N29" s="68">
        <f>M29-3%</f>
        <v>7.0000000000000007E-2</v>
      </c>
      <c r="O29" s="68">
        <f t="shared" si="34"/>
        <v>7.0000000000000007E-2</v>
      </c>
      <c r="P29" s="68">
        <f t="shared" si="34"/>
        <v>7.0000000000000007E-2</v>
      </c>
      <c r="Q29" s="68">
        <f t="shared" si="34"/>
        <v>7.0000000000000007E-2</v>
      </c>
      <c r="R29" s="68">
        <f t="shared" si="34"/>
        <v>7.0000000000000007E-2</v>
      </c>
    </row>
    <row r="30" spans="2:18">
      <c r="B30" s="67" t="s">
        <v>150</v>
      </c>
      <c r="C30" s="67"/>
      <c r="D30" s="69"/>
      <c r="E30" s="69"/>
      <c r="F30" s="69"/>
      <c r="G30" s="69"/>
      <c r="H30" s="69"/>
      <c r="I30" s="68">
        <v>0.05</v>
      </c>
      <c r="J30" s="68">
        <f t="shared" ref="J30:R30" si="35">I30</f>
        <v>0.05</v>
      </c>
      <c r="K30" s="68">
        <f t="shared" si="35"/>
        <v>0.05</v>
      </c>
      <c r="L30" s="68">
        <f t="shared" si="35"/>
        <v>0.05</v>
      </c>
      <c r="M30" s="68">
        <f t="shared" si="35"/>
        <v>0.05</v>
      </c>
      <c r="N30" s="68">
        <f>M30-3%</f>
        <v>2.0000000000000004E-2</v>
      </c>
      <c r="O30" s="68">
        <f t="shared" si="35"/>
        <v>2.0000000000000004E-2</v>
      </c>
      <c r="P30" s="68">
        <f t="shared" si="35"/>
        <v>2.0000000000000004E-2</v>
      </c>
      <c r="Q30" s="68">
        <f t="shared" si="35"/>
        <v>2.0000000000000004E-2</v>
      </c>
      <c r="R30" s="68">
        <f t="shared" si="35"/>
        <v>2.0000000000000004E-2</v>
      </c>
    </row>
    <row r="31" spans="2:18">
      <c r="D31" s="32"/>
      <c r="E31" s="32"/>
      <c r="F31" s="32"/>
      <c r="G31" s="32"/>
      <c r="H31" s="32"/>
    </row>
    <row r="32" spans="2:18">
      <c r="B32" s="45" t="s">
        <v>134</v>
      </c>
      <c r="C32" s="45"/>
      <c r="D32" s="231">
        <v>359.49</v>
      </c>
      <c r="E32" s="231">
        <v>488.66</v>
      </c>
      <c r="F32" s="231">
        <v>521.96</v>
      </c>
      <c r="G32" s="231">
        <v>587.91</v>
      </c>
      <c r="H32" s="231">
        <v>569.24</v>
      </c>
      <c r="I32" s="232">
        <f>H32*(1+I33)</f>
        <v>574.93240000000003</v>
      </c>
      <c r="J32" s="232">
        <f t="shared" ref="J32" si="36">I32*(1+J33)</f>
        <v>580.68172400000003</v>
      </c>
      <c r="K32" s="232">
        <f t="shared" ref="K32" si="37">J32*(1+K33)</f>
        <v>586.48854124000002</v>
      </c>
      <c r="L32" s="232">
        <f t="shared" ref="L32" si="38">K32*(1+L33)</f>
        <v>592.3534266524</v>
      </c>
      <c r="M32" s="232">
        <f t="shared" ref="M32" si="39">L32*(1+M33)</f>
        <v>598.27696091892403</v>
      </c>
      <c r="N32" s="232">
        <f t="shared" ref="N32" si="40">M32*(1+N33)</f>
        <v>586.31142170054557</v>
      </c>
      <c r="O32" s="232">
        <f t="shared" ref="O32" si="41">N32*(1+O33)</f>
        <v>574.58519326653459</v>
      </c>
      <c r="P32" s="232">
        <f t="shared" ref="P32" si="42">O32*(1+P33)</f>
        <v>563.0934894012039</v>
      </c>
      <c r="Q32" s="232">
        <f t="shared" ref="Q32" si="43">P32*(1+Q33)</f>
        <v>551.83161961317978</v>
      </c>
      <c r="R32" s="232">
        <f t="shared" ref="R32" si="44">Q32*(1+R33)</f>
        <v>540.79498722091614</v>
      </c>
    </row>
    <row r="33" spans="2:18">
      <c r="B33" s="65" t="str">
        <f>B32 &amp; " Growth (Y-O-Y)"</f>
        <v>Segment - C (Engineering Products and Services) Growth (Y-O-Y)</v>
      </c>
      <c r="C33" s="59"/>
      <c r="D33" s="66"/>
      <c r="E33" s="59">
        <f>E32/D32-1</f>
        <v>0.35931458455033516</v>
      </c>
      <c r="F33" s="59">
        <f t="shared" ref="F33" si="45">F32/E32-1</f>
        <v>6.814554086686031E-2</v>
      </c>
      <c r="G33" s="59">
        <f t="shared" ref="G33" si="46">G32/F32-1</f>
        <v>0.12635067821288981</v>
      </c>
      <c r="H33" s="59">
        <f t="shared" ref="H33" si="47">H32/G32-1</f>
        <v>-3.1756561378442183E-2</v>
      </c>
      <c r="I33" s="59">
        <f t="array" ref="I33:R33">CHOOSE(Assumptions!$C$11,'Revenue Build Up'!I36:R36,'Revenue Build Up'!I37:R37,'Revenue Build Up'!I38:R38)</f>
        <v>0.01</v>
      </c>
      <c r="J33" s="59">
        <v>0.01</v>
      </c>
      <c r="K33" s="59">
        <v>0.01</v>
      </c>
      <c r="L33" s="59">
        <v>0.01</v>
      </c>
      <c r="M33" s="59">
        <v>0.01</v>
      </c>
      <c r="N33" s="59">
        <v>-1.9999999999999997E-2</v>
      </c>
      <c r="O33" s="59">
        <v>-1.9999999999999997E-2</v>
      </c>
      <c r="P33" s="59">
        <v>-1.9999999999999997E-2</v>
      </c>
      <c r="Q33" s="59">
        <v>-1.9999999999999997E-2</v>
      </c>
      <c r="R33" s="59">
        <v>-1.9999999999999997E-2</v>
      </c>
    </row>
    <row r="34" spans="2:18">
      <c r="B34" s="65" t="str">
        <f>B32 &amp; " Share as % Revenue"</f>
        <v>Segment - C (Engineering Products and Services) Share as % Revenue</v>
      </c>
      <c r="C34" s="65"/>
      <c r="D34" s="59">
        <f>D32/D$13</f>
        <v>4.7578145472737428E-2</v>
      </c>
      <c r="E34" s="59">
        <f t="shared" ref="E34" si="48">E32/E$13</f>
        <v>6.1587129542690425E-2</v>
      </c>
      <c r="F34" s="59">
        <f t="shared" ref="F34" si="49">F32/F$13</f>
        <v>5.4950272508966953E-2</v>
      </c>
      <c r="G34" s="59">
        <f t="shared" ref="G34" si="50">G32/G$13</f>
        <v>4.7103606140750778E-2</v>
      </c>
      <c r="H34" s="59">
        <f t="shared" ref="H34:R34" si="51">H32/H$13</f>
        <v>3.6932962818542261E-2</v>
      </c>
      <c r="I34" s="59">
        <f t="shared" si="51"/>
        <v>3.019213741690777E-2</v>
      </c>
      <c r="J34" s="59">
        <f t="shared" si="51"/>
        <v>2.4553421579554063E-2</v>
      </c>
      <c r="K34" s="59">
        <f t="shared" si="51"/>
        <v>1.9850785313417375E-2</v>
      </c>
      <c r="L34" s="59">
        <f t="shared" si="51"/>
        <v>1.5964262569898108E-2</v>
      </c>
      <c r="M34" s="59">
        <f t="shared" si="51"/>
        <v>1.2778392536051016E-2</v>
      </c>
      <c r="N34" s="59">
        <f t="shared" si="51"/>
        <v>1.0122991004953865E-2</v>
      </c>
      <c r="O34" s="59">
        <f t="shared" si="51"/>
        <v>7.9887657801415574E-3</v>
      </c>
      <c r="P34" s="59">
        <f t="shared" si="51"/>
        <v>6.2835809217858408E-3</v>
      </c>
      <c r="Q34" s="59">
        <f t="shared" si="51"/>
        <v>4.9281979768644769E-3</v>
      </c>
      <c r="R34" s="59">
        <f t="shared" si="51"/>
        <v>3.8556491193636965E-3</v>
      </c>
    </row>
    <row r="35" spans="2:18">
      <c r="B35" s="1" t="s">
        <v>147</v>
      </c>
      <c r="D35" s="32"/>
      <c r="E35" s="32"/>
      <c r="F35" s="32"/>
      <c r="G35" s="32"/>
      <c r="H35" s="32"/>
      <c r="I35" s="33"/>
    </row>
    <row r="36" spans="2:18">
      <c r="B36" s="67" t="s">
        <v>148</v>
      </c>
      <c r="C36" s="67"/>
      <c r="D36" s="69"/>
      <c r="E36" s="69"/>
      <c r="F36" s="69"/>
      <c r="G36" s="69"/>
      <c r="H36" s="69"/>
      <c r="I36" s="68">
        <v>0.15</v>
      </c>
      <c r="J36" s="68">
        <f>I36</f>
        <v>0.15</v>
      </c>
      <c r="K36" s="68">
        <f t="shared" ref="K36:R36" si="52">J36</f>
        <v>0.15</v>
      </c>
      <c r="L36" s="68">
        <f t="shared" si="52"/>
        <v>0.15</v>
      </c>
      <c r="M36" s="68">
        <f t="shared" si="52"/>
        <v>0.15</v>
      </c>
      <c r="N36" s="68">
        <f>M36-3%</f>
        <v>0.12</v>
      </c>
      <c r="O36" s="68">
        <f t="shared" si="52"/>
        <v>0.12</v>
      </c>
      <c r="P36" s="68">
        <f t="shared" si="52"/>
        <v>0.12</v>
      </c>
      <c r="Q36" s="68">
        <f t="shared" si="52"/>
        <v>0.12</v>
      </c>
      <c r="R36" s="68">
        <f t="shared" si="52"/>
        <v>0.12</v>
      </c>
    </row>
    <row r="37" spans="2:18">
      <c r="B37" s="67" t="s">
        <v>149</v>
      </c>
      <c r="C37" s="67"/>
      <c r="D37" s="69"/>
      <c r="E37" s="69"/>
      <c r="F37" s="69"/>
      <c r="G37" s="69"/>
      <c r="H37" s="69"/>
      <c r="I37" s="68">
        <v>0.01</v>
      </c>
      <c r="J37" s="68">
        <f t="shared" ref="J37:R37" si="53">I37</f>
        <v>0.01</v>
      </c>
      <c r="K37" s="68">
        <f t="shared" si="53"/>
        <v>0.01</v>
      </c>
      <c r="L37" s="68">
        <f t="shared" si="53"/>
        <v>0.01</v>
      </c>
      <c r="M37" s="68">
        <f t="shared" si="53"/>
        <v>0.01</v>
      </c>
      <c r="N37" s="68">
        <f>M37-3%</f>
        <v>-1.9999999999999997E-2</v>
      </c>
      <c r="O37" s="68">
        <f t="shared" si="53"/>
        <v>-1.9999999999999997E-2</v>
      </c>
      <c r="P37" s="68">
        <f t="shared" si="53"/>
        <v>-1.9999999999999997E-2</v>
      </c>
      <c r="Q37" s="68">
        <f t="shared" si="53"/>
        <v>-1.9999999999999997E-2</v>
      </c>
      <c r="R37" s="68">
        <f t="shared" si="53"/>
        <v>-1.9999999999999997E-2</v>
      </c>
    </row>
    <row r="38" spans="2:18">
      <c r="B38" s="67" t="s">
        <v>150</v>
      </c>
      <c r="C38" s="67"/>
      <c r="D38" s="69"/>
      <c r="E38" s="69"/>
      <c r="F38" s="69"/>
      <c r="G38" s="69"/>
      <c r="H38" s="69"/>
      <c r="I38" s="68">
        <v>-0.05</v>
      </c>
      <c r="J38" s="68">
        <f t="shared" ref="J38:R38" si="54">I38</f>
        <v>-0.05</v>
      </c>
      <c r="K38" s="68">
        <f t="shared" si="54"/>
        <v>-0.05</v>
      </c>
      <c r="L38" s="68">
        <f t="shared" si="54"/>
        <v>-0.05</v>
      </c>
      <c r="M38" s="68">
        <f t="shared" si="54"/>
        <v>-0.05</v>
      </c>
      <c r="N38" s="68">
        <f>M38-3%</f>
        <v>-0.08</v>
      </c>
      <c r="O38" s="68">
        <f t="shared" si="54"/>
        <v>-0.08</v>
      </c>
      <c r="P38" s="68">
        <f t="shared" si="54"/>
        <v>-0.08</v>
      </c>
      <c r="Q38" s="68">
        <f t="shared" si="54"/>
        <v>-0.08</v>
      </c>
      <c r="R38" s="68">
        <f t="shared" si="54"/>
        <v>-0.08</v>
      </c>
    </row>
    <row r="39" spans="2:18">
      <c r="D39" s="32"/>
      <c r="E39" s="32"/>
      <c r="F39" s="32"/>
      <c r="G39" s="32"/>
      <c r="H39" s="32"/>
      <c r="I39" s="33"/>
    </row>
    <row r="40" spans="2:18">
      <c r="B40" s="45" t="s">
        <v>238</v>
      </c>
      <c r="C40" s="45"/>
      <c r="D40" s="231">
        <v>99.23</v>
      </c>
      <c r="E40" s="231">
        <v>93.38</v>
      </c>
      <c r="F40" s="231">
        <v>99.4</v>
      </c>
      <c r="G40" s="231">
        <v>73.849999999999994</v>
      </c>
      <c r="H40" s="231">
        <v>92.34</v>
      </c>
      <c r="I40" s="232">
        <f>H40*(1+I41)</f>
        <v>96.957000000000008</v>
      </c>
      <c r="J40" s="232">
        <f t="shared" ref="J40" si="55">I40*(1+J41)</f>
        <v>101.80485000000002</v>
      </c>
      <c r="K40" s="232">
        <f t="shared" ref="K40" si="56">J40*(1+K41)</f>
        <v>106.89509250000002</v>
      </c>
      <c r="L40" s="232">
        <f t="shared" ref="L40" si="57">K40*(1+L41)</f>
        <v>112.23984712500003</v>
      </c>
      <c r="M40" s="232">
        <f t="shared" ref="M40" si="58">L40*(1+M41)</f>
        <v>117.85183948125004</v>
      </c>
      <c r="N40" s="232">
        <f t="shared" ref="N40" si="59">M40*(1+N41)</f>
        <v>120.20887627087504</v>
      </c>
      <c r="O40" s="232">
        <f t="shared" ref="O40" si="60">N40*(1+O41)</f>
        <v>122.61305379629255</v>
      </c>
      <c r="P40" s="232">
        <f t="shared" ref="P40" si="61">O40*(1+P41)</f>
        <v>125.06531487221839</v>
      </c>
      <c r="Q40" s="232">
        <f t="shared" ref="Q40" si="62">P40*(1+Q41)</f>
        <v>127.56662116966277</v>
      </c>
      <c r="R40" s="232">
        <f t="shared" ref="R40" si="63">Q40*(1+R41)</f>
        <v>130.11795359305603</v>
      </c>
    </row>
    <row r="41" spans="2:18">
      <c r="B41" s="65" t="str">
        <f>B40 &amp; " Growth (Y-O-Y)"</f>
        <v>Other operating income Growth (Y-O-Y)</v>
      </c>
      <c r="C41" s="59"/>
      <c r="D41" s="66"/>
      <c r="E41" s="59">
        <f>E40/D40-1</f>
        <v>-5.8953945379421668E-2</v>
      </c>
      <c r="F41" s="59">
        <f t="shared" ref="F41" si="64">F40/E40-1</f>
        <v>6.4467766116941716E-2</v>
      </c>
      <c r="G41" s="59">
        <f t="shared" ref="G41" si="65">G40/F40-1</f>
        <v>-0.25704225352112686</v>
      </c>
      <c r="H41" s="59">
        <f t="shared" ref="H41" si="66">H40/G40-1</f>
        <v>0.25037237643872734</v>
      </c>
      <c r="I41" s="59">
        <f t="array" ref="I41:R41">CHOOSE(Assumptions!$C$11,'Revenue Build Up'!I44:R44,'Revenue Build Up'!I45:R45,'Revenue Build Up'!I46:R46)</f>
        <v>0.05</v>
      </c>
      <c r="J41" s="59">
        <v>0.05</v>
      </c>
      <c r="K41" s="59">
        <v>0.05</v>
      </c>
      <c r="L41" s="59">
        <v>0.05</v>
      </c>
      <c r="M41" s="59">
        <v>0.05</v>
      </c>
      <c r="N41" s="59">
        <v>2.0000000000000004E-2</v>
      </c>
      <c r="O41" s="59">
        <v>2.0000000000000004E-2</v>
      </c>
      <c r="P41" s="59">
        <v>2.0000000000000004E-2</v>
      </c>
      <c r="Q41" s="59">
        <v>2.0000000000000004E-2</v>
      </c>
      <c r="R41" s="59">
        <v>2.0000000000000004E-2</v>
      </c>
    </row>
    <row r="42" spans="2:18">
      <c r="B42" s="65" t="str">
        <f>B40 &amp; " Share as % Revenue"</f>
        <v>Other operating income Share as % Revenue</v>
      </c>
      <c r="C42" s="65"/>
      <c r="D42" s="59">
        <f>D40/D$13</f>
        <v>1.3132992225819175E-2</v>
      </c>
      <c r="E42" s="59">
        <f t="shared" ref="E42" si="67">E40/E$13</f>
        <v>1.1768931683985658E-2</v>
      </c>
      <c r="F42" s="59">
        <f t="shared" ref="F42" si="68">F40/F$13</f>
        <v>1.0464512773759128E-2</v>
      </c>
      <c r="G42" s="59">
        <f t="shared" ref="G42" si="69">G40/G$13</f>
        <v>5.9168942754748936E-3</v>
      </c>
      <c r="H42" s="59">
        <f t="shared" ref="H42:R42" si="70">H40/H$13</f>
        <v>5.9911281474671358E-3</v>
      </c>
      <c r="I42" s="59">
        <f t="shared" si="70"/>
        <v>5.0916230630438054E-3</v>
      </c>
      <c r="J42" s="59">
        <f t="shared" si="70"/>
        <v>4.3046944609768101E-3</v>
      </c>
      <c r="K42" s="59">
        <f t="shared" si="70"/>
        <v>3.6180613653405678E-3</v>
      </c>
      <c r="L42" s="59">
        <f t="shared" si="70"/>
        <v>3.0249278719209449E-3</v>
      </c>
      <c r="M42" s="59">
        <f t="shared" si="70"/>
        <v>2.517157043243002E-3</v>
      </c>
      <c r="N42" s="59">
        <f t="shared" si="70"/>
        <v>2.0754727405382007E-3</v>
      </c>
      <c r="O42" s="59">
        <f t="shared" si="70"/>
        <v>1.7047549777568E-3</v>
      </c>
      <c r="P42" s="59">
        <f t="shared" si="70"/>
        <v>1.3956084403389131E-3</v>
      </c>
      <c r="Q42" s="59">
        <f t="shared" si="70"/>
        <v>1.139248897706249E-3</v>
      </c>
      <c r="R42" s="59">
        <f t="shared" si="70"/>
        <v>9.2768828306378419E-4</v>
      </c>
    </row>
    <row r="43" spans="2:18">
      <c r="B43" s="1" t="s">
        <v>147</v>
      </c>
    </row>
    <row r="44" spans="2:18">
      <c r="B44" s="67" t="s">
        <v>148</v>
      </c>
      <c r="C44" s="67"/>
      <c r="D44" s="69"/>
      <c r="E44" s="69"/>
      <c r="F44" s="69"/>
      <c r="G44" s="69"/>
      <c r="H44" s="69"/>
      <c r="I44" s="68">
        <v>0.15</v>
      </c>
      <c r="J44" s="68">
        <f>I44</f>
        <v>0.15</v>
      </c>
      <c r="K44" s="68">
        <f t="shared" ref="K44:R44" si="71">J44</f>
        <v>0.15</v>
      </c>
      <c r="L44" s="68">
        <f t="shared" si="71"/>
        <v>0.15</v>
      </c>
      <c r="M44" s="68">
        <f t="shared" si="71"/>
        <v>0.15</v>
      </c>
      <c r="N44" s="68">
        <f>M44-3%</f>
        <v>0.12</v>
      </c>
      <c r="O44" s="68">
        <f t="shared" si="71"/>
        <v>0.12</v>
      </c>
      <c r="P44" s="68">
        <f t="shared" si="71"/>
        <v>0.12</v>
      </c>
      <c r="Q44" s="68">
        <f t="shared" si="71"/>
        <v>0.12</v>
      </c>
      <c r="R44" s="68">
        <f t="shared" si="71"/>
        <v>0.12</v>
      </c>
    </row>
    <row r="45" spans="2:18">
      <c r="B45" s="67" t="s">
        <v>149</v>
      </c>
      <c r="C45" s="67"/>
      <c r="D45" s="69"/>
      <c r="E45" s="69"/>
      <c r="F45" s="69"/>
      <c r="G45" s="69"/>
      <c r="H45" s="69"/>
      <c r="I45" s="68">
        <v>0.05</v>
      </c>
      <c r="J45" s="68">
        <f t="shared" ref="J45:R45" si="72">I45</f>
        <v>0.05</v>
      </c>
      <c r="K45" s="68">
        <f t="shared" si="72"/>
        <v>0.05</v>
      </c>
      <c r="L45" s="68">
        <f t="shared" si="72"/>
        <v>0.05</v>
      </c>
      <c r="M45" s="68">
        <f t="shared" si="72"/>
        <v>0.05</v>
      </c>
      <c r="N45" s="68">
        <f>M45-3%</f>
        <v>2.0000000000000004E-2</v>
      </c>
      <c r="O45" s="68">
        <f t="shared" si="72"/>
        <v>2.0000000000000004E-2</v>
      </c>
      <c r="P45" s="68">
        <f t="shared" si="72"/>
        <v>2.0000000000000004E-2</v>
      </c>
      <c r="Q45" s="68">
        <f t="shared" si="72"/>
        <v>2.0000000000000004E-2</v>
      </c>
      <c r="R45" s="68">
        <f t="shared" si="72"/>
        <v>2.0000000000000004E-2</v>
      </c>
    </row>
    <row r="46" spans="2:18">
      <c r="B46" s="67" t="s">
        <v>150</v>
      </c>
      <c r="C46" s="67"/>
      <c r="D46" s="69"/>
      <c r="E46" s="69"/>
      <c r="F46" s="69"/>
      <c r="G46" s="69"/>
      <c r="H46" s="69"/>
      <c r="I46" s="68">
        <v>-0.1</v>
      </c>
      <c r="J46" s="68">
        <f t="shared" ref="J46:R46" si="73">I46</f>
        <v>-0.1</v>
      </c>
      <c r="K46" s="68">
        <f t="shared" si="73"/>
        <v>-0.1</v>
      </c>
      <c r="L46" s="68">
        <f t="shared" si="73"/>
        <v>-0.1</v>
      </c>
      <c r="M46" s="68">
        <f t="shared" si="73"/>
        <v>-0.1</v>
      </c>
      <c r="N46" s="68">
        <f>M46-3%</f>
        <v>-0.13</v>
      </c>
      <c r="O46" s="68">
        <f t="shared" si="73"/>
        <v>-0.13</v>
      </c>
      <c r="P46" s="68">
        <f t="shared" si="73"/>
        <v>-0.13</v>
      </c>
      <c r="Q46" s="68">
        <f t="shared" si="73"/>
        <v>-0.13</v>
      </c>
      <c r="R46" s="68">
        <f t="shared" si="73"/>
        <v>-0.13</v>
      </c>
    </row>
    <row r="47" spans="2:18">
      <c r="D47" s="3"/>
      <c r="E47" s="3"/>
      <c r="F47" s="3"/>
      <c r="G47" s="3"/>
      <c r="H47" s="3"/>
      <c r="J47" s="29"/>
      <c r="K47" s="29"/>
      <c r="L47" s="29"/>
      <c r="M47" s="29"/>
    </row>
    <row r="48" spans="2:18">
      <c r="D48" s="3"/>
      <c r="E48" s="3"/>
      <c r="F48" s="3"/>
      <c r="G48" s="3"/>
      <c r="H48" s="3"/>
      <c r="J48" s="29"/>
      <c r="K48" s="29"/>
      <c r="L48" s="29"/>
      <c r="M48" s="29"/>
    </row>
    <row r="49" spans="2:18">
      <c r="B49" s="45" t="s">
        <v>2</v>
      </c>
      <c r="C49" s="45"/>
      <c r="D49" s="231">
        <f>'Historical P&amp;L'!D13</f>
        <v>188.86</v>
      </c>
      <c r="E49" s="231">
        <f>'Historical P&amp;L'!E13</f>
        <v>189.19</v>
      </c>
      <c r="F49" s="231">
        <f>'Historical P&amp;L'!F13</f>
        <v>168.45</v>
      </c>
      <c r="G49" s="231">
        <f>'Historical P&amp;L'!G13</f>
        <v>253.26</v>
      </c>
      <c r="H49" s="231">
        <f>'Historical P&amp;L'!H13</f>
        <v>324.45999999999998</v>
      </c>
      <c r="I49" s="232">
        <f>H49*(1+I50)</f>
        <v>379.35286753666651</v>
      </c>
      <c r="J49" s="232">
        <f t="shared" ref="J49:R49" si="74">I49*(1+J50)</f>
        <v>443.53263301575436</v>
      </c>
      <c r="K49" s="232">
        <f t="shared" si="74"/>
        <v>518.57047457503052</v>
      </c>
      <c r="L49" s="232">
        <f t="shared" si="74"/>
        <v>606.30338577910322</v>
      </c>
      <c r="M49" s="232">
        <f t="shared" si="74"/>
        <v>708.87914686707938</v>
      </c>
      <c r="N49" s="232">
        <f t="shared" si="74"/>
        <v>828.80890433635068</v>
      </c>
      <c r="O49" s="232">
        <f t="shared" si="74"/>
        <v>969.02864605781099</v>
      </c>
      <c r="P49" s="232">
        <f t="shared" si="74"/>
        <v>1132.971076888381</v>
      </c>
      <c r="Q49" s="232">
        <f t="shared" si="74"/>
        <v>1324.6496543602061</v>
      </c>
      <c r="R49" s="232">
        <f t="shared" si="74"/>
        <v>1548.7568417154607</v>
      </c>
    </row>
    <row r="50" spans="2:18">
      <c r="B50" s="65" t="str">
        <f>B49 &amp; " Growth (Y-O-Y)"</f>
        <v>Other Income Growth (Y-O-Y)</v>
      </c>
      <c r="C50" s="59"/>
      <c r="D50" s="66"/>
      <c r="E50" s="59">
        <f>E49/D49-1</f>
        <v>1.74732606163297E-3</v>
      </c>
      <c r="F50" s="59">
        <f t="shared" ref="F50:H50" si="75">F49/E49-1</f>
        <v>-0.10962524446323807</v>
      </c>
      <c r="G50" s="59">
        <f t="shared" si="75"/>
        <v>0.50347284060552089</v>
      </c>
      <c r="H50" s="59">
        <f t="shared" si="75"/>
        <v>0.28113401247729608</v>
      </c>
      <c r="I50" s="59">
        <f t="array" ref="I50:R50">CHOOSE(Assumptions!$C$11,'Revenue Build Up'!I53:R53,'Revenue Build Up'!I54:R54,'Revenue Build Up'!I55:R55)</f>
        <v>0.16918223367030297</v>
      </c>
      <c r="J50" s="59">
        <v>0.16918223367030297</v>
      </c>
      <c r="K50" s="59">
        <v>0.16918223367030297</v>
      </c>
      <c r="L50" s="59">
        <v>0.16918223367030297</v>
      </c>
      <c r="M50" s="59">
        <v>0.16918223367030297</v>
      </c>
      <c r="N50" s="59">
        <v>0.16918223367030297</v>
      </c>
      <c r="O50" s="59">
        <v>0.16918223367030297</v>
      </c>
      <c r="P50" s="59">
        <v>0.16918223367030297</v>
      </c>
      <c r="Q50" s="59">
        <v>0.16918223367030297</v>
      </c>
      <c r="R50" s="59">
        <v>0.16918223367030297</v>
      </c>
    </row>
    <row r="51" spans="2:18">
      <c r="B51" s="65" t="str">
        <f>B49 &amp; " Share as % Revenue"</f>
        <v>Other Income Share as % Revenue</v>
      </c>
      <c r="C51" s="65"/>
      <c r="D51" s="59">
        <f>D49/D13</f>
        <v>2.4995433959167687E-2</v>
      </c>
      <c r="E51" s="59">
        <f t="shared" ref="E51:R51" si="76">E49/E13</f>
        <v>2.3844122781037123E-2</v>
      </c>
      <c r="F51" s="59">
        <f t="shared" si="76"/>
        <v>1.7733875017502263E-2</v>
      </c>
      <c r="G51" s="59">
        <f t="shared" si="76"/>
        <v>2.0291301884993524E-2</v>
      </c>
      <c r="H51" s="59">
        <f t="shared" si="76"/>
        <v>2.10513476145461E-2</v>
      </c>
      <c r="I51" s="59">
        <f t="shared" si="76"/>
        <v>1.9921427121110315E-2</v>
      </c>
      <c r="J51" s="59">
        <f t="shared" si="76"/>
        <v>1.8754238806946603E-2</v>
      </c>
      <c r="K51" s="59">
        <f t="shared" si="76"/>
        <v>1.7551973204628087E-2</v>
      </c>
      <c r="L51" s="59">
        <f t="shared" si="76"/>
        <v>1.6340221921727301E-2</v>
      </c>
      <c r="M51" s="59">
        <f t="shared" si="76"/>
        <v>1.5140706714454355E-2</v>
      </c>
      <c r="N51" s="59">
        <f t="shared" si="76"/>
        <v>1.4309844176475369E-2</v>
      </c>
      <c r="O51" s="59">
        <f t="shared" si="76"/>
        <v>1.3472924430220298E-2</v>
      </c>
      <c r="P51" s="59">
        <f t="shared" si="76"/>
        <v>1.2642865843186161E-2</v>
      </c>
      <c r="Q51" s="59">
        <f t="shared" si="76"/>
        <v>1.1829941443457438E-2</v>
      </c>
      <c r="R51" s="59">
        <f t="shared" si="76"/>
        <v>1.1042008698259916E-2</v>
      </c>
    </row>
    <row r="52" spans="2:18">
      <c r="B52" s="1" t="s">
        <v>147</v>
      </c>
      <c r="D52" s="30"/>
      <c r="E52" s="30"/>
      <c r="F52" s="30"/>
      <c r="G52" s="30"/>
      <c r="H52" s="30"/>
      <c r="I52" s="31"/>
      <c r="J52" s="31"/>
      <c r="K52" s="31"/>
      <c r="L52" s="31"/>
      <c r="M52" s="31"/>
      <c r="N52" s="31"/>
      <c r="O52" s="31"/>
      <c r="P52" s="31"/>
      <c r="Q52" s="31"/>
      <c r="R52" s="31"/>
    </row>
    <row r="53" spans="2:18">
      <c r="B53" s="67" t="s">
        <v>148</v>
      </c>
      <c r="C53" s="67"/>
      <c r="D53" s="69"/>
      <c r="E53" s="69"/>
      <c r="F53" s="69"/>
      <c r="G53" s="69"/>
      <c r="H53" s="69"/>
      <c r="I53" s="68">
        <f>I54+10%</f>
        <v>0.26918223367030297</v>
      </c>
      <c r="J53" s="68">
        <f>I53</f>
        <v>0.26918223367030297</v>
      </c>
      <c r="K53" s="68">
        <f t="shared" ref="K53:R53" si="77">J53</f>
        <v>0.26918223367030297</v>
      </c>
      <c r="L53" s="68">
        <f t="shared" si="77"/>
        <v>0.26918223367030297</v>
      </c>
      <c r="M53" s="68">
        <f t="shared" si="77"/>
        <v>0.26918223367030297</v>
      </c>
      <c r="N53" s="68">
        <f t="shared" si="77"/>
        <v>0.26918223367030297</v>
      </c>
      <c r="O53" s="68">
        <f t="shared" si="77"/>
        <v>0.26918223367030297</v>
      </c>
      <c r="P53" s="68">
        <f t="shared" si="77"/>
        <v>0.26918223367030297</v>
      </c>
      <c r="Q53" s="68">
        <f t="shared" si="77"/>
        <v>0.26918223367030297</v>
      </c>
      <c r="R53" s="68">
        <f t="shared" si="77"/>
        <v>0.26918223367030297</v>
      </c>
    </row>
    <row r="54" spans="2:18">
      <c r="B54" s="67" t="s">
        <v>149</v>
      </c>
      <c r="C54" s="67"/>
      <c r="D54" s="69"/>
      <c r="E54" s="69"/>
      <c r="F54" s="69"/>
      <c r="G54" s="69"/>
      <c r="H54" s="69"/>
      <c r="I54" s="68">
        <f>AVERAGE(E50:H50)</f>
        <v>0.16918223367030297</v>
      </c>
      <c r="J54" s="68">
        <f t="shared" ref="J54:R54" si="78">I54</f>
        <v>0.16918223367030297</v>
      </c>
      <c r="K54" s="68">
        <f t="shared" si="78"/>
        <v>0.16918223367030297</v>
      </c>
      <c r="L54" s="68">
        <f t="shared" si="78"/>
        <v>0.16918223367030297</v>
      </c>
      <c r="M54" s="68">
        <f t="shared" si="78"/>
        <v>0.16918223367030297</v>
      </c>
      <c r="N54" s="68">
        <f t="shared" si="78"/>
        <v>0.16918223367030297</v>
      </c>
      <c r="O54" s="68">
        <f t="shared" si="78"/>
        <v>0.16918223367030297</v>
      </c>
      <c r="P54" s="68">
        <f t="shared" si="78"/>
        <v>0.16918223367030297</v>
      </c>
      <c r="Q54" s="68">
        <f t="shared" si="78"/>
        <v>0.16918223367030297</v>
      </c>
      <c r="R54" s="68">
        <f t="shared" si="78"/>
        <v>0.16918223367030297</v>
      </c>
    </row>
    <row r="55" spans="2:18">
      <c r="B55" s="67" t="s">
        <v>150</v>
      </c>
      <c r="C55" s="67"/>
      <c r="D55" s="69"/>
      <c r="E55" s="69"/>
      <c r="F55" s="69"/>
      <c r="G55" s="69"/>
      <c r="H55" s="69"/>
      <c r="I55" s="68">
        <f>I54-10%</f>
        <v>6.9182233670302962E-2</v>
      </c>
      <c r="J55" s="68">
        <f t="shared" ref="J55:R55" si="79">I55</f>
        <v>6.9182233670302962E-2</v>
      </c>
      <c r="K55" s="68">
        <f t="shared" si="79"/>
        <v>6.9182233670302962E-2</v>
      </c>
      <c r="L55" s="68">
        <f t="shared" si="79"/>
        <v>6.9182233670302962E-2</v>
      </c>
      <c r="M55" s="68">
        <f t="shared" si="79"/>
        <v>6.9182233670302962E-2</v>
      </c>
      <c r="N55" s="68">
        <f t="shared" si="79"/>
        <v>6.9182233670302962E-2</v>
      </c>
      <c r="O55" s="68">
        <f t="shared" si="79"/>
        <v>6.9182233670302962E-2</v>
      </c>
      <c r="P55" s="68">
        <f t="shared" si="79"/>
        <v>6.9182233670302962E-2</v>
      </c>
      <c r="Q55" s="68">
        <f t="shared" si="79"/>
        <v>6.9182233670302962E-2</v>
      </c>
      <c r="R55" s="68">
        <f t="shared" si="79"/>
        <v>6.9182233670302962E-2</v>
      </c>
    </row>
    <row r="56" spans="2:18">
      <c r="D56" s="34"/>
      <c r="E56" s="34"/>
      <c r="F56" s="34"/>
      <c r="G56" s="34"/>
      <c r="H56" s="34"/>
    </row>
    <row r="57" spans="2:18">
      <c r="J57" s="29"/>
      <c r="K57" s="29"/>
      <c r="L57" s="29"/>
      <c r="M57" s="29"/>
    </row>
    <row r="58" spans="2:18">
      <c r="B58" s="45" t="s">
        <v>19</v>
      </c>
      <c r="C58" s="45"/>
      <c r="D58" s="231">
        <f>'Historical P&amp;L'!D26</f>
        <v>-60.97</v>
      </c>
      <c r="E58" s="231">
        <f>'Historical P&amp;L'!E26</f>
        <v>-110.31</v>
      </c>
      <c r="F58" s="231">
        <f>'Historical P&amp;L'!F26</f>
        <v>-120.65</v>
      </c>
      <c r="G58" s="231">
        <f>'Historical P&amp;L'!G26</f>
        <v>-138.61000000000001</v>
      </c>
      <c r="H58" s="231">
        <f>'Historical P&amp;L'!H26</f>
        <v>-126</v>
      </c>
      <c r="I58" s="232">
        <f>-I60*I13</f>
        <v>-205.4838921988549</v>
      </c>
      <c r="J58" s="232">
        <f t="shared" ref="J58:R58" si="80">-J60*J13</f>
        <v>-255.20019151013091</v>
      </c>
      <c r="K58" s="232">
        <f t="shared" si="80"/>
        <v>-318.81349620696614</v>
      </c>
      <c r="L58" s="232">
        <f t="shared" si="80"/>
        <v>-400.39339261177855</v>
      </c>
      <c r="M58" s="232">
        <f t="shared" si="80"/>
        <v>-505.22044030202488</v>
      </c>
      <c r="N58" s="232">
        <f t="shared" si="80"/>
        <v>-624.99186241016719</v>
      </c>
      <c r="O58" s="232">
        <f t="shared" si="80"/>
        <v>-776.12129732644019</v>
      </c>
      <c r="P58" s="232">
        <f t="shared" si="80"/>
        <v>-967.00373747509741</v>
      </c>
      <c r="Q58" s="232">
        <f t="shared" si="80"/>
        <v>-1208.295880020811</v>
      </c>
      <c r="R58" s="232">
        <f t="shared" si="80"/>
        <v>-1513.5264399027731</v>
      </c>
    </row>
    <row r="59" spans="2:18">
      <c r="B59" s="65" t="str">
        <f>B58 &amp; " Growth (Y-O-Y)"</f>
        <v>Share of profit / (loss) of joint ventures and associates Growth (Y-O-Y)</v>
      </c>
      <c r="C59" s="59"/>
      <c r="D59" s="66"/>
      <c r="E59" s="59">
        <f>E58/D58-1</f>
        <v>0.80925045104149596</v>
      </c>
      <c r="F59" s="59">
        <f t="shared" ref="F59:H59" si="81">F58/E58-1</f>
        <v>9.3735835373039755E-2</v>
      </c>
      <c r="G59" s="59">
        <f t="shared" si="81"/>
        <v>0.14886033982594293</v>
      </c>
      <c r="H59" s="59">
        <f t="shared" si="81"/>
        <v>-9.0974677151720695E-2</v>
      </c>
      <c r="I59" s="59">
        <f t="shared" ref="I59" si="82">I58/H58-1</f>
        <v>0.63082454126075316</v>
      </c>
      <c r="J59" s="59">
        <f t="shared" ref="J59" si="83">J58/I58-1</f>
        <v>0.24194742847854744</v>
      </c>
      <c r="K59" s="59">
        <f t="shared" ref="K59" si="84">K58/J58-1</f>
        <v>0.24926824827366922</v>
      </c>
      <c r="L59" s="59">
        <f t="shared" ref="L59" si="85">L58/K58-1</f>
        <v>0.25588595644599899</v>
      </c>
      <c r="M59" s="59">
        <f t="shared" ref="M59" si="86">M58/L58-1</f>
        <v>0.26181013379480667</v>
      </c>
      <c r="N59" s="59">
        <f t="shared" ref="N59" si="87">N58/M58-1</f>
        <v>0.23706764919594692</v>
      </c>
      <c r="O59" s="59">
        <f t="shared" ref="O59" si="88">O58/N58-1</f>
        <v>0.24181024427017328</v>
      </c>
      <c r="P59" s="59">
        <f t="shared" ref="P59" si="89">P58/O58-1</f>
        <v>0.2459440822023613</v>
      </c>
      <c r="Q59" s="59">
        <f t="shared" ref="Q59" si="90">Q58/P58-1</f>
        <v>0.24952555320596925</v>
      </c>
      <c r="R59" s="59">
        <f t="shared" ref="R59" si="91">R58/Q58-1</f>
        <v>0.25261243121734811</v>
      </c>
    </row>
    <row r="60" spans="2:18">
      <c r="B60" s="65" t="str">
        <f>B58 &amp; " Share as % Revenue"</f>
        <v>Share of profit / (loss) of joint ventures and associates Share as % Revenue</v>
      </c>
      <c r="C60" s="65"/>
      <c r="D60" s="59">
        <f>-D58/D13</f>
        <v>8.0693191172850447E-3</v>
      </c>
      <c r="E60" s="59">
        <f t="shared" ref="E60:H60" si="92">-E58/E13</f>
        <v>1.3902664961024394E-2</v>
      </c>
      <c r="F60" s="59">
        <f t="shared" si="92"/>
        <v>1.2701644528712665E-2</v>
      </c>
      <c r="G60" s="59">
        <f t="shared" si="92"/>
        <v>1.1105493778247464E-2</v>
      </c>
      <c r="H60" s="59">
        <f t="shared" si="92"/>
        <v>8.1750286612611994E-3</v>
      </c>
      <c r="I60" s="59">
        <f>AVERAGE(D60:H60)</f>
        <v>1.0790830209306154E-2</v>
      </c>
      <c r="J60" s="59">
        <f>I60</f>
        <v>1.0790830209306154E-2</v>
      </c>
      <c r="K60" s="59">
        <f t="shared" ref="K60:R60" si="93">J60</f>
        <v>1.0790830209306154E-2</v>
      </c>
      <c r="L60" s="59">
        <f t="shared" si="93"/>
        <v>1.0790830209306154E-2</v>
      </c>
      <c r="M60" s="59">
        <f t="shared" si="93"/>
        <v>1.0790830209306154E-2</v>
      </c>
      <c r="N60" s="59">
        <f t="shared" si="93"/>
        <v>1.0790830209306154E-2</v>
      </c>
      <c r="O60" s="59">
        <f t="shared" si="93"/>
        <v>1.0790830209306154E-2</v>
      </c>
      <c r="P60" s="59">
        <f t="shared" si="93"/>
        <v>1.0790830209306154E-2</v>
      </c>
      <c r="Q60" s="59">
        <f t="shared" si="93"/>
        <v>1.0790830209306154E-2</v>
      </c>
      <c r="R60" s="59">
        <f t="shared" si="93"/>
        <v>1.0790830209306154E-2</v>
      </c>
    </row>
    <row r="62" spans="2:18">
      <c r="B62" s="45" t="s">
        <v>14</v>
      </c>
      <c r="C62" s="45"/>
      <c r="D62" s="70">
        <f>'Historical P&amp;L'!D28</f>
        <v>0</v>
      </c>
      <c r="E62" s="70">
        <f>'Historical P&amp;L'!E28</f>
        <v>0</v>
      </c>
      <c r="F62" s="231">
        <f>'Historical P&amp;L'!F28</f>
        <v>-243.82</v>
      </c>
      <c r="G62" s="70">
        <f>'Historical P&amp;L'!G28</f>
        <v>0</v>
      </c>
      <c r="H62" s="70">
        <f>'Historical P&amp;L'!H28</f>
        <v>0</v>
      </c>
      <c r="I62" s="71">
        <f>H62</f>
        <v>0</v>
      </c>
      <c r="J62" s="71">
        <f t="shared" ref="J62:R62" si="94">I62</f>
        <v>0</v>
      </c>
      <c r="K62" s="71">
        <f t="shared" si="94"/>
        <v>0</v>
      </c>
      <c r="L62" s="71">
        <f t="shared" si="94"/>
        <v>0</v>
      </c>
      <c r="M62" s="71">
        <f t="shared" si="94"/>
        <v>0</v>
      </c>
      <c r="N62" s="71">
        <f t="shared" si="94"/>
        <v>0</v>
      </c>
      <c r="O62" s="71">
        <f t="shared" si="94"/>
        <v>0</v>
      </c>
      <c r="P62" s="71">
        <f t="shared" si="94"/>
        <v>0</v>
      </c>
      <c r="Q62" s="71">
        <f t="shared" si="94"/>
        <v>0</v>
      </c>
      <c r="R62" s="71">
        <f t="shared" si="94"/>
        <v>0</v>
      </c>
    </row>
    <row r="65" spans="2:18">
      <c r="B65" s="129"/>
      <c r="C65" s="129"/>
      <c r="D65" s="129"/>
      <c r="E65" s="129"/>
      <c r="F65" s="129"/>
      <c r="G65" s="129"/>
      <c r="H65" s="129"/>
      <c r="I65" s="129"/>
      <c r="J65" s="129"/>
      <c r="K65" s="129"/>
      <c r="L65" s="129"/>
      <c r="M65" s="129"/>
      <c r="N65" s="129"/>
      <c r="O65" s="129"/>
      <c r="P65" s="129"/>
      <c r="Q65" s="129"/>
      <c r="R65" s="129"/>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0:R39"/>
  <sheetViews>
    <sheetView showGridLines="0" topLeftCell="A2" workbookViewId="0">
      <selection activeCell="B39" sqref="B39:R39"/>
    </sheetView>
  </sheetViews>
  <sheetFormatPr defaultRowHeight="15"/>
  <cols>
    <col min="1" max="1" width="1.85546875" customWidth="1"/>
    <col min="2" max="2" width="49" bestFit="1" customWidth="1"/>
    <col min="4" max="4" width="7.5703125" bestFit="1" customWidth="1"/>
    <col min="5" max="7" width="15.7109375" bestFit="1" customWidth="1"/>
    <col min="8" max="17" width="16.7109375" bestFit="1" customWidth="1"/>
    <col min="18" max="18" width="17.85546875" bestFit="1" customWidth="1"/>
  </cols>
  <sheetData>
    <row r="10" spans="1:18">
      <c r="A10" t="s">
        <v>21</v>
      </c>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row>
    <row r="11" spans="1:18">
      <c r="D11" s="244"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2" spans="1:18">
      <c r="B12" s="1" t="s">
        <v>1</v>
      </c>
    </row>
    <row r="13" spans="1:18">
      <c r="B13" t="s">
        <v>0</v>
      </c>
      <c r="D13" s="227">
        <f>'Revenue Build Up'!D13</f>
        <v>7555.78</v>
      </c>
      <c r="E13" s="227">
        <f>'Revenue Build Up'!E13</f>
        <v>7934.45</v>
      </c>
      <c r="F13" s="227">
        <f>'Revenue Build Up'!F13</f>
        <v>9498.77</v>
      </c>
      <c r="G13" s="227">
        <f>'Revenue Build Up'!G13</f>
        <v>12481.21</v>
      </c>
      <c r="H13" s="227">
        <f>'Revenue Build Up'!H13</f>
        <v>15412.79</v>
      </c>
      <c r="I13" s="227">
        <f>'Revenue Build Up'!I13</f>
        <v>19042.454400000002</v>
      </c>
      <c r="J13" s="227">
        <f>'Revenue Build Up'!J13</f>
        <v>23649.727274000004</v>
      </c>
      <c r="K13" s="227">
        <f>'Revenue Build Up'!K13</f>
        <v>29544.853363740003</v>
      </c>
      <c r="L13" s="227">
        <f>'Revenue Build Up'!L13</f>
        <v>37104.966424777405</v>
      </c>
      <c r="M13" s="227">
        <f>'Revenue Build Up'!M13</f>
        <v>46819.422648900189</v>
      </c>
      <c r="N13" s="227">
        <f>'Revenue Build Up'!N13</f>
        <v>57918.793112986437</v>
      </c>
      <c r="O13" s="227">
        <f>'Revenue Build Up'!O13</f>
        <v>71924.150623471302</v>
      </c>
      <c r="P13" s="227">
        <f>'Revenue Build Up'!P13</f>
        <v>89613.469836745338</v>
      </c>
      <c r="Q13" s="227">
        <f>'Revenue Build Up'!Q13</f>
        <v>111974.32047246565</v>
      </c>
      <c r="R13" s="227">
        <f>'Revenue Build Up'!R13</f>
        <v>140260.42580092567</v>
      </c>
    </row>
    <row r="14" spans="1:18">
      <c r="B14" t="s">
        <v>152</v>
      </c>
      <c r="D14" s="227">
        <f>'Cost Build Up'!D22</f>
        <v>5578.46</v>
      </c>
      <c r="E14" s="227">
        <f>'Cost Build Up'!E22</f>
        <v>5896.66</v>
      </c>
      <c r="F14" s="227">
        <f>'Cost Build Up'!F22</f>
        <v>7378.1800000000012</v>
      </c>
      <c r="G14" s="227">
        <f>'Cost Build Up'!G22</f>
        <v>9814.0399999999991</v>
      </c>
      <c r="H14" s="227">
        <f>'Cost Build Up'!H22</f>
        <v>11960.39</v>
      </c>
      <c r="I14" s="227">
        <f>'Cost Build Up'!I22</f>
        <v>14662.689888000003</v>
      </c>
      <c r="J14" s="227">
        <f>'Cost Build Up'!J22</f>
        <v>18210.290000980003</v>
      </c>
      <c r="K14" s="227">
        <f>'Cost Build Up'!K22</f>
        <v>22749.537090079804</v>
      </c>
      <c r="L14" s="227">
        <f>'Cost Build Up'!L22</f>
        <v>28570.824147078602</v>
      </c>
      <c r="M14" s="227">
        <f>'Cost Build Up'!M22</f>
        <v>36050.955439653146</v>
      </c>
      <c r="N14" s="227">
        <f>'Cost Build Up'!N22</f>
        <v>42280.718972480099</v>
      </c>
      <c r="O14" s="227">
        <f>'Cost Build Up'!O22</f>
        <v>52504.629955134049</v>
      </c>
      <c r="P14" s="227">
        <f>'Cost Build Up'!P22</f>
        <v>65417.832980824096</v>
      </c>
      <c r="Q14" s="227">
        <f>'Cost Build Up'!Q22</f>
        <v>81741.253944899916</v>
      </c>
      <c r="R14" s="227">
        <f>'Cost Build Up'!R22</f>
        <v>102390.11083467574</v>
      </c>
    </row>
    <row r="15" spans="1:18">
      <c r="B15" s="4" t="s">
        <v>154</v>
      </c>
      <c r="C15" s="4"/>
      <c r="D15" s="177">
        <f>D13-D14</f>
        <v>1977.3199999999997</v>
      </c>
      <c r="E15" s="177">
        <f t="shared" ref="E15:R15" si="1">E13-E14</f>
        <v>2037.79</v>
      </c>
      <c r="F15" s="177">
        <f t="shared" si="1"/>
        <v>2120.5899999999992</v>
      </c>
      <c r="G15" s="177">
        <f t="shared" si="1"/>
        <v>2667.17</v>
      </c>
      <c r="H15" s="177">
        <f t="shared" si="1"/>
        <v>3452.4000000000015</v>
      </c>
      <c r="I15" s="177">
        <f t="shared" si="1"/>
        <v>4379.7645119999997</v>
      </c>
      <c r="J15" s="177">
        <f t="shared" si="1"/>
        <v>5439.4372730200012</v>
      </c>
      <c r="K15" s="177">
        <f t="shared" si="1"/>
        <v>6795.3162736601989</v>
      </c>
      <c r="L15" s="177">
        <f t="shared" si="1"/>
        <v>8534.1422776988038</v>
      </c>
      <c r="M15" s="177">
        <f t="shared" si="1"/>
        <v>10768.467209247043</v>
      </c>
      <c r="N15" s="177">
        <f t="shared" si="1"/>
        <v>15638.074140506338</v>
      </c>
      <c r="O15" s="177">
        <f t="shared" si="1"/>
        <v>19419.520668337253</v>
      </c>
      <c r="P15" s="177">
        <f t="shared" si="1"/>
        <v>24195.636855921242</v>
      </c>
      <c r="Q15" s="177">
        <f t="shared" si="1"/>
        <v>30233.066527565737</v>
      </c>
      <c r="R15" s="177">
        <f t="shared" si="1"/>
        <v>37870.314966249935</v>
      </c>
    </row>
    <row r="16" spans="1:18">
      <c r="B16" s="43" t="s">
        <v>186</v>
      </c>
      <c r="C16" s="43"/>
      <c r="D16" s="44">
        <f>D15/D13</f>
        <v>0.26169634372625988</v>
      </c>
      <c r="E16" s="44">
        <f t="shared" ref="E16:R16" si="2">E15/E13</f>
        <v>0.25682813553554434</v>
      </c>
      <c r="F16" s="44">
        <f t="shared" si="2"/>
        <v>0.22324890485820786</v>
      </c>
      <c r="G16" s="44">
        <f t="shared" si="2"/>
        <v>0.21369482606253723</v>
      </c>
      <c r="H16" s="44">
        <f t="shared" si="2"/>
        <v>0.22399578531855693</v>
      </c>
      <c r="I16" s="44">
        <f t="shared" si="2"/>
        <v>0.22999999999999995</v>
      </c>
      <c r="J16" s="44">
        <f t="shared" si="2"/>
        <v>0.23</v>
      </c>
      <c r="K16" s="44">
        <f t="shared" si="2"/>
        <v>0.22999999999999993</v>
      </c>
      <c r="L16" s="44">
        <f t="shared" si="2"/>
        <v>0.23</v>
      </c>
      <c r="M16" s="44">
        <f t="shared" si="2"/>
        <v>0.22999999999999998</v>
      </c>
      <c r="N16" s="44">
        <f t="shared" si="2"/>
        <v>0.27</v>
      </c>
      <c r="O16" s="44">
        <f t="shared" si="2"/>
        <v>0.27</v>
      </c>
      <c r="P16" s="44">
        <f t="shared" si="2"/>
        <v>0.27</v>
      </c>
      <c r="Q16" s="44">
        <f t="shared" si="2"/>
        <v>0.27000000000000007</v>
      </c>
      <c r="R16" s="44">
        <f t="shared" si="2"/>
        <v>0.27</v>
      </c>
    </row>
    <row r="17" spans="2:18">
      <c r="B17" s="1" t="s">
        <v>4</v>
      </c>
    </row>
    <row r="18" spans="2:18">
      <c r="B18" s="14" t="s">
        <v>187</v>
      </c>
      <c r="D18" s="227">
        <f>'Cost Build Up'!D27</f>
        <v>601.67999999999995</v>
      </c>
      <c r="E18" s="227">
        <f>'Cost Build Up'!E27</f>
        <v>617.62</v>
      </c>
      <c r="F18" s="227">
        <f>'Cost Build Up'!F27</f>
        <v>667.21</v>
      </c>
      <c r="G18" s="227">
        <f>'Cost Build Up'!G27</f>
        <v>778.76</v>
      </c>
      <c r="H18" s="227">
        <f>'Cost Build Up'!H27</f>
        <v>890.07</v>
      </c>
      <c r="I18" s="227">
        <f>'Cost Build Up'!I27</f>
        <v>1324.8108421234515</v>
      </c>
      <c r="J18" s="227">
        <f>'Cost Build Up'!J27</f>
        <v>1645.3454185957196</v>
      </c>
      <c r="K18" s="227">
        <f>'Cost Build Up'!K27</f>
        <v>2055.4777888941817</v>
      </c>
      <c r="L18" s="227">
        <f>'Cost Build Up'!L27</f>
        <v>2581.4456888588766</v>
      </c>
      <c r="M18" s="227">
        <f>'Cost Build Up'!M27</f>
        <v>3257.2943300430456</v>
      </c>
      <c r="N18" s="227">
        <f>'Cost Build Up'!N27</f>
        <v>4608.6813707355022</v>
      </c>
      <c r="O18" s="227">
        <f>'Cost Build Up'!O27</f>
        <v>5723.1077387564501</v>
      </c>
      <c r="P18" s="227">
        <f>'Cost Build Up'!P27</f>
        <v>7130.6722189101356</v>
      </c>
      <c r="Q18" s="227">
        <f>'Cost Build Up'!Q27</f>
        <v>8909.9571490641229</v>
      </c>
      <c r="R18" s="227">
        <f>'Cost Build Up'!R27</f>
        <v>11160.723086531603</v>
      </c>
    </row>
    <row r="19" spans="2:18">
      <c r="B19" s="14" t="s">
        <v>188</v>
      </c>
      <c r="D19" s="227">
        <f>'Cost Build Up'!D29</f>
        <v>734.28</v>
      </c>
      <c r="E19" s="227">
        <f>'Cost Build Up'!E29</f>
        <v>738.62</v>
      </c>
      <c r="F19" s="227">
        <f>'Cost Build Up'!F29</f>
        <v>881.01</v>
      </c>
      <c r="G19" s="227">
        <f>'Cost Build Up'!G29</f>
        <v>1413.79</v>
      </c>
      <c r="H19" s="227">
        <f>'Cost Build Up'!H29</f>
        <v>1446.15</v>
      </c>
      <c r="I19" s="227">
        <f>'Cost Build Up'!I29</f>
        <v>1866.6281507788592</v>
      </c>
      <c r="J19" s="227">
        <f>'Cost Build Up'!J29</f>
        <v>2318.2540317854705</v>
      </c>
      <c r="K19" s="227">
        <f>'Cost Build Up'!K29</f>
        <v>2896.121153342006</v>
      </c>
      <c r="L19" s="227">
        <f>'Cost Build Up'!L29</f>
        <v>3637.1978846484149</v>
      </c>
      <c r="M19" s="227">
        <f>'Cost Build Up'!M29</f>
        <v>4589.4531494664043</v>
      </c>
      <c r="N19" s="227">
        <f>'Cost Build Up'!N29</f>
        <v>6256.6519498352045</v>
      </c>
      <c r="O19" s="227">
        <f>'Cost Build Up'!O29</f>
        <v>7769.5744861383091</v>
      </c>
      <c r="P19" s="227">
        <f>'Cost Build Up'!P29</f>
        <v>9680.4553522344777</v>
      </c>
      <c r="Q19" s="227">
        <f>'Cost Build Up'!Q29</f>
        <v>12095.976329286472</v>
      </c>
      <c r="R19" s="227">
        <f>'Cost Build Up'!R29</f>
        <v>15151.570317775022</v>
      </c>
    </row>
    <row r="20" spans="2:18">
      <c r="B20" s="4" t="s">
        <v>156</v>
      </c>
      <c r="C20" s="4"/>
      <c r="D20" s="177">
        <f>D15-SUM(D18:D19)</f>
        <v>641.35999999999967</v>
      </c>
      <c r="E20" s="177">
        <f t="shared" ref="E20:R20" si="3">E15-SUM(E18:E19)</f>
        <v>681.55</v>
      </c>
      <c r="F20" s="177">
        <f t="shared" si="3"/>
        <v>572.36999999999921</v>
      </c>
      <c r="G20" s="177">
        <f t="shared" si="3"/>
        <v>474.61999999999989</v>
      </c>
      <c r="H20" s="177">
        <f t="shared" si="3"/>
        <v>1116.1800000000012</v>
      </c>
      <c r="I20" s="177">
        <f t="shared" si="3"/>
        <v>1188.3255190976888</v>
      </c>
      <c r="J20" s="177">
        <f t="shared" si="3"/>
        <v>1475.8378226388113</v>
      </c>
      <c r="K20" s="177">
        <f t="shared" si="3"/>
        <v>1843.7173314240117</v>
      </c>
      <c r="L20" s="177">
        <f t="shared" si="3"/>
        <v>2315.4987041915119</v>
      </c>
      <c r="M20" s="177">
        <f t="shared" si="3"/>
        <v>2921.7197297375933</v>
      </c>
      <c r="N20" s="177">
        <f t="shared" si="3"/>
        <v>4772.7408199356323</v>
      </c>
      <c r="O20" s="177">
        <f t="shared" si="3"/>
        <v>5926.8384434424934</v>
      </c>
      <c r="P20" s="177">
        <f t="shared" si="3"/>
        <v>7384.5092847766282</v>
      </c>
      <c r="Q20" s="177">
        <f t="shared" si="3"/>
        <v>9227.1330492151428</v>
      </c>
      <c r="R20" s="177">
        <f t="shared" si="3"/>
        <v>11558.021561943307</v>
      </c>
    </row>
    <row r="21" spans="2:18">
      <c r="B21" s="43" t="s">
        <v>189</v>
      </c>
      <c r="C21" s="43"/>
      <c r="D21" s="44">
        <f>D20/D13</f>
        <v>8.4883360817810963E-2</v>
      </c>
      <c r="E21" s="44">
        <f t="shared" ref="E21:R21" si="4">E20/E13</f>
        <v>8.5897573240741321E-2</v>
      </c>
      <c r="F21" s="44">
        <f t="shared" si="4"/>
        <v>6.0257275415658992E-2</v>
      </c>
      <c r="G21" s="44">
        <f t="shared" si="4"/>
        <v>3.8026761828380412E-2</v>
      </c>
      <c r="H21" s="44">
        <f t="shared" si="4"/>
        <v>7.2419075326401072E-2</v>
      </c>
      <c r="I21" s="44">
        <f t="shared" si="4"/>
        <v>6.2404010225577261E-2</v>
      </c>
      <c r="J21" s="44">
        <f t="shared" si="4"/>
        <v>6.240401022557733E-2</v>
      </c>
      <c r="K21" s="44">
        <f t="shared" si="4"/>
        <v>6.2404010225577254E-2</v>
      </c>
      <c r="L21" s="44">
        <f t="shared" si="4"/>
        <v>6.240401022557731E-2</v>
      </c>
      <c r="M21" s="44">
        <f t="shared" si="4"/>
        <v>6.240401022557731E-2</v>
      </c>
      <c r="N21" s="44">
        <f t="shared" si="4"/>
        <v>8.2404010225577334E-2</v>
      </c>
      <c r="O21" s="44">
        <f t="shared" si="4"/>
        <v>8.2404010225577334E-2</v>
      </c>
      <c r="P21" s="44">
        <f t="shared" si="4"/>
        <v>8.240401022557732E-2</v>
      </c>
      <c r="Q21" s="44">
        <f t="shared" si="4"/>
        <v>8.2404010225577418E-2</v>
      </c>
      <c r="R21" s="44">
        <f t="shared" si="4"/>
        <v>8.240401022557732E-2</v>
      </c>
    </row>
    <row r="22" spans="2:18">
      <c r="B22" t="s">
        <v>190</v>
      </c>
      <c r="D22" s="227">
        <f>'Historical P&amp;L'!D21</f>
        <v>33.89</v>
      </c>
      <c r="E22" s="227">
        <f>'Historical P&amp;L'!E21</f>
        <v>37.26</v>
      </c>
      <c r="F22" s="227">
        <f>'Historical P&amp;L'!F21</f>
        <v>39.619999999999997</v>
      </c>
      <c r="G22" s="227">
        <f>'Historical P&amp;L'!G21</f>
        <v>47.59</v>
      </c>
      <c r="H22" s="227">
        <f>'Historical P&amp;L'!H21</f>
        <v>61.78</v>
      </c>
      <c r="I22" s="227">
        <f>-Schedules!I16</f>
        <v>71.015100767294513</v>
      </c>
      <c r="J22" s="227">
        <f>-Schedules!J16</f>
        <v>82.605094636712323</v>
      </c>
      <c r="K22" s="227">
        <f>-Schedules!K16</f>
        <v>96.771457412337099</v>
      </c>
      <c r="L22" s="227">
        <f>-Schedules!L16</f>
        <v>116.54885609193298</v>
      </c>
      <c r="M22" s="227">
        <f>-Schedules!M16</f>
        <v>142.40699805276171</v>
      </c>
      <c r="N22" s="227">
        <f>-Schedules!N16</f>
        <v>173.89459215537553</v>
      </c>
      <c r="O22" s="227">
        <f>-Schedules!O16</f>
        <v>208.51246173611568</v>
      </c>
      <c r="P22" s="227">
        <f>-Schedules!P16</f>
        <v>252.50474184867053</v>
      </c>
      <c r="Q22" s="227">
        <f>-Schedules!Q16</f>
        <v>307.47690619678531</v>
      </c>
      <c r="R22" s="227">
        <f>-Schedules!R16</f>
        <v>375.71627992490068</v>
      </c>
    </row>
    <row r="23" spans="2:18">
      <c r="B23" s="4" t="s">
        <v>157</v>
      </c>
      <c r="C23" s="4"/>
      <c r="D23" s="177">
        <f>D20-D22</f>
        <v>607.46999999999969</v>
      </c>
      <c r="E23" s="177">
        <f t="shared" ref="E23:R23" si="5">E20-E22</f>
        <v>644.29</v>
      </c>
      <c r="F23" s="177">
        <f t="shared" si="5"/>
        <v>532.7499999999992</v>
      </c>
      <c r="G23" s="177">
        <f t="shared" si="5"/>
        <v>427.02999999999986</v>
      </c>
      <c r="H23" s="177">
        <f t="shared" si="5"/>
        <v>1054.4000000000012</v>
      </c>
      <c r="I23" s="177">
        <f t="shared" si="5"/>
        <v>1117.3104183303942</v>
      </c>
      <c r="J23" s="177">
        <f t="shared" si="5"/>
        <v>1393.2327280020991</v>
      </c>
      <c r="K23" s="177">
        <f t="shared" si="5"/>
        <v>1746.9458740116747</v>
      </c>
      <c r="L23" s="177">
        <f t="shared" si="5"/>
        <v>2198.949848099579</v>
      </c>
      <c r="M23" s="177">
        <f t="shared" si="5"/>
        <v>2779.3127316848318</v>
      </c>
      <c r="N23" s="177">
        <f t="shared" si="5"/>
        <v>4598.8462277802564</v>
      </c>
      <c r="O23" s="177">
        <f t="shared" si="5"/>
        <v>5718.3259817063781</v>
      </c>
      <c r="P23" s="177">
        <f t="shared" si="5"/>
        <v>7132.004542927958</v>
      </c>
      <c r="Q23" s="177">
        <f t="shared" si="5"/>
        <v>8919.6561430183574</v>
      </c>
      <c r="R23" s="177">
        <f t="shared" si="5"/>
        <v>11182.305282018408</v>
      </c>
    </row>
    <row r="24" spans="2:18">
      <c r="B24" s="43" t="s">
        <v>192</v>
      </c>
      <c r="C24" s="43"/>
      <c r="D24" s="44">
        <f>D23/D13</f>
        <v>8.0398052881370252E-2</v>
      </c>
      <c r="E24" s="44">
        <f t="shared" ref="E24:R24" si="6">E23/E13</f>
        <v>8.1201595573732271E-2</v>
      </c>
      <c r="F24" s="44">
        <f t="shared" si="6"/>
        <v>5.6086209056540916E-2</v>
      </c>
      <c r="G24" s="44">
        <f t="shared" si="6"/>
        <v>3.421383022960113E-2</v>
      </c>
      <c r="H24" s="44">
        <f t="shared" si="6"/>
        <v>6.8410716035189029E-2</v>
      </c>
      <c r="I24" s="44">
        <f t="shared" si="6"/>
        <v>5.8674706256899009E-2</v>
      </c>
      <c r="J24" s="44">
        <f t="shared" si="6"/>
        <v>5.8911154105941374E-2</v>
      </c>
      <c r="K24" s="44">
        <f t="shared" si="6"/>
        <v>5.9128601943094349E-2</v>
      </c>
      <c r="L24" s="44">
        <f t="shared" si="6"/>
        <v>5.9262952105279272E-2</v>
      </c>
      <c r="M24" s="44">
        <f t="shared" si="6"/>
        <v>5.9362387967210849E-2</v>
      </c>
      <c r="N24" s="44">
        <f t="shared" si="6"/>
        <v>7.9401623904851573E-2</v>
      </c>
      <c r="O24" s="44">
        <f t="shared" si="6"/>
        <v>7.950494975800651E-2</v>
      </c>
      <c r="P24" s="44">
        <f t="shared" si="6"/>
        <v>7.9586300540764598E-2</v>
      </c>
      <c r="Q24" s="44">
        <f t="shared" si="6"/>
        <v>7.9658051108349351E-2</v>
      </c>
      <c r="R24" s="44">
        <f t="shared" si="6"/>
        <v>7.9725305396474905E-2</v>
      </c>
    </row>
    <row r="25" spans="2:18">
      <c r="B25" t="s">
        <v>160</v>
      </c>
      <c r="D25" s="227">
        <f>Schedules!D24</f>
        <v>26.15</v>
      </c>
      <c r="E25" s="227">
        <f>Schedules!E24</f>
        <v>25.87</v>
      </c>
      <c r="F25" s="227">
        <f>Schedules!F24</f>
        <v>29.59</v>
      </c>
      <c r="G25" s="227">
        <f>Schedules!G24</f>
        <v>55.88</v>
      </c>
      <c r="H25" s="227">
        <f>Schedules!H24</f>
        <v>62.11</v>
      </c>
      <c r="I25" s="227">
        <f>Schedules!I24</f>
        <v>78.200746650145547</v>
      </c>
      <c r="J25" s="227">
        <f>Schedules!J24</f>
        <v>78.200746650145547</v>
      </c>
      <c r="K25" s="227">
        <f>Schedules!K24</f>
        <v>78.200746650145547</v>
      </c>
      <c r="L25" s="227">
        <f>Schedules!L24</f>
        <v>78.200746650145547</v>
      </c>
      <c r="M25" s="227">
        <f>Schedules!M24</f>
        <v>78.200746650145547</v>
      </c>
      <c r="N25" s="227">
        <f>Schedules!N24</f>
        <v>78.200746650145547</v>
      </c>
      <c r="O25" s="227">
        <f>Schedules!O24</f>
        <v>78.200746650145547</v>
      </c>
      <c r="P25" s="227">
        <f>Schedules!P24</f>
        <v>78.200746650145547</v>
      </c>
      <c r="Q25" s="227">
        <f>Schedules!Q24</f>
        <v>78.200746650145547</v>
      </c>
      <c r="R25" s="227">
        <f>Schedules!R24</f>
        <v>78.200746650145547</v>
      </c>
    </row>
    <row r="26" spans="2:18">
      <c r="B26" t="s">
        <v>14</v>
      </c>
      <c r="D26" s="227">
        <f>'Revenue Build Up'!D62</f>
        <v>0</v>
      </c>
      <c r="E26" s="227">
        <f>'Revenue Build Up'!E62</f>
        <v>0</v>
      </c>
      <c r="F26" s="227">
        <f>'Revenue Build Up'!F62</f>
        <v>-243.82</v>
      </c>
      <c r="G26" s="227">
        <f>'Revenue Build Up'!G62</f>
        <v>0</v>
      </c>
      <c r="H26" s="227">
        <f>'Revenue Build Up'!H62</f>
        <v>0</v>
      </c>
      <c r="I26" s="227">
        <f>'Revenue Build Up'!I62</f>
        <v>0</v>
      </c>
      <c r="J26" s="227">
        <f>'Revenue Build Up'!J62</f>
        <v>0</v>
      </c>
      <c r="K26" s="227">
        <f>'Revenue Build Up'!K62</f>
        <v>0</v>
      </c>
      <c r="L26" s="227">
        <f>'Revenue Build Up'!L62</f>
        <v>0</v>
      </c>
      <c r="M26" s="227">
        <f>'Revenue Build Up'!M62</f>
        <v>0</v>
      </c>
      <c r="N26" s="227">
        <f>'Revenue Build Up'!N62</f>
        <v>0</v>
      </c>
      <c r="O26" s="227">
        <f>'Revenue Build Up'!O62</f>
        <v>0</v>
      </c>
      <c r="P26" s="227">
        <f>'Revenue Build Up'!P62</f>
        <v>0</v>
      </c>
      <c r="Q26" s="227">
        <f>'Revenue Build Up'!Q62</f>
        <v>0</v>
      </c>
      <c r="R26" s="227">
        <f>'Revenue Build Up'!R62</f>
        <v>0</v>
      </c>
    </row>
    <row r="27" spans="2:18">
      <c r="B27" t="s">
        <v>2</v>
      </c>
      <c r="D27" s="227">
        <f>'Revenue Build Up'!D49</f>
        <v>188.86</v>
      </c>
      <c r="E27" s="227">
        <f>'Revenue Build Up'!E49</f>
        <v>189.19</v>
      </c>
      <c r="F27" s="227">
        <f>'Revenue Build Up'!F49</f>
        <v>168.45</v>
      </c>
      <c r="G27" s="227">
        <f>'Revenue Build Up'!G49</f>
        <v>253.26</v>
      </c>
      <c r="H27" s="227">
        <f>'Revenue Build Up'!H49</f>
        <v>324.45999999999998</v>
      </c>
      <c r="I27" s="227">
        <f>'Revenue Build Up'!I49</f>
        <v>379.35286753666651</v>
      </c>
      <c r="J27" s="227">
        <f>'Revenue Build Up'!J49</f>
        <v>443.53263301575436</v>
      </c>
      <c r="K27" s="227">
        <f>'Revenue Build Up'!K49</f>
        <v>518.57047457503052</v>
      </c>
      <c r="L27" s="227">
        <f>'Revenue Build Up'!L49</f>
        <v>606.30338577910322</v>
      </c>
      <c r="M27" s="227">
        <f>'Revenue Build Up'!M49</f>
        <v>708.87914686707938</v>
      </c>
      <c r="N27" s="227">
        <f>'Revenue Build Up'!N49</f>
        <v>828.80890433635068</v>
      </c>
      <c r="O27" s="227">
        <f>'Revenue Build Up'!O49</f>
        <v>969.02864605781099</v>
      </c>
      <c r="P27" s="227">
        <f>'Revenue Build Up'!P49</f>
        <v>1132.971076888381</v>
      </c>
      <c r="Q27" s="227">
        <f>'Revenue Build Up'!Q49</f>
        <v>1324.6496543602061</v>
      </c>
      <c r="R27" s="227">
        <f>'Revenue Build Up'!R49</f>
        <v>1548.7568417154607</v>
      </c>
    </row>
    <row r="28" spans="2:18">
      <c r="B28" s="4" t="s">
        <v>191</v>
      </c>
      <c r="C28" s="4"/>
      <c r="D28" s="177">
        <f>D23-D25+D26+D27</f>
        <v>770.17999999999972</v>
      </c>
      <c r="E28" s="177">
        <f t="shared" ref="E28:R28" si="7">E23-E25+E26+E27</f>
        <v>807.6099999999999</v>
      </c>
      <c r="F28" s="177">
        <f t="shared" si="7"/>
        <v>427.78999999999922</v>
      </c>
      <c r="G28" s="177">
        <f t="shared" si="7"/>
        <v>624.40999999999985</v>
      </c>
      <c r="H28" s="177">
        <f t="shared" si="7"/>
        <v>1316.7500000000011</v>
      </c>
      <c r="I28" s="177">
        <f t="shared" si="7"/>
        <v>1418.4625392169153</v>
      </c>
      <c r="J28" s="177">
        <f t="shared" si="7"/>
        <v>1758.5646143677079</v>
      </c>
      <c r="K28" s="177">
        <f t="shared" si="7"/>
        <v>2187.3156019365597</v>
      </c>
      <c r="L28" s="177">
        <f t="shared" si="7"/>
        <v>2727.0524872285368</v>
      </c>
      <c r="M28" s="177">
        <f t="shared" si="7"/>
        <v>3409.9911319017656</v>
      </c>
      <c r="N28" s="177">
        <f t="shared" si="7"/>
        <v>5349.4543854664616</v>
      </c>
      <c r="O28" s="177">
        <f t="shared" si="7"/>
        <v>6609.1538811140435</v>
      </c>
      <c r="P28" s="177">
        <f t="shared" si="7"/>
        <v>8186.7748731661941</v>
      </c>
      <c r="Q28" s="177">
        <f t="shared" si="7"/>
        <v>10166.105050728418</v>
      </c>
      <c r="R28" s="177">
        <f t="shared" si="7"/>
        <v>12652.861377083722</v>
      </c>
    </row>
    <row r="29" spans="2:18">
      <c r="B29" s="43" t="s">
        <v>193</v>
      </c>
      <c r="C29" s="43"/>
      <c r="D29" s="44">
        <f t="shared" ref="D29:R29" si="8">D28/D13</f>
        <v>0.1019325602386517</v>
      </c>
      <c r="E29" s="44">
        <f t="shared" si="8"/>
        <v>0.10178525291608113</v>
      </c>
      <c r="F29" s="44">
        <f t="shared" si="8"/>
        <v>4.5036357338897479E-2</v>
      </c>
      <c r="G29" s="44">
        <f t="shared" si="8"/>
        <v>5.0028002092745806E-2</v>
      </c>
      <c r="H29" s="44">
        <f t="shared" si="8"/>
        <v>8.543229356917216E-2</v>
      </c>
      <c r="I29" s="44">
        <f t="shared" si="8"/>
        <v>7.4489480684638801E-2</v>
      </c>
      <c r="J29" s="44">
        <f t="shared" si="8"/>
        <v>7.4358769299679647E-2</v>
      </c>
      <c r="K29" s="44">
        <f t="shared" si="8"/>
        <v>7.4033726788470797E-2</v>
      </c>
      <c r="L29" s="44">
        <f t="shared" si="8"/>
        <v>7.3495619319776717E-2</v>
      </c>
      <c r="M29" s="44">
        <f t="shared" si="8"/>
        <v>7.2832831738942172E-2</v>
      </c>
      <c r="N29" s="44">
        <f t="shared" si="8"/>
        <v>9.2361288934852084E-2</v>
      </c>
      <c r="O29" s="44">
        <f t="shared" si="8"/>
        <v>9.1890607310936415E-2</v>
      </c>
      <c r="P29" s="44">
        <f t="shared" si="8"/>
        <v>9.1356521380999658E-2</v>
      </c>
      <c r="Q29" s="44">
        <f t="shared" si="8"/>
        <v>9.0789611473715087E-2</v>
      </c>
      <c r="R29" s="44">
        <f t="shared" si="8"/>
        <v>9.0209774459420022E-2</v>
      </c>
    </row>
    <row r="30" spans="2:18">
      <c r="B30" t="s">
        <v>17</v>
      </c>
      <c r="D30" s="227">
        <f>'Historical P&amp;L'!D30</f>
        <v>-180.42</v>
      </c>
      <c r="E30" s="227">
        <f>'Historical P&amp;L'!E30</f>
        <v>-191.3</v>
      </c>
      <c r="F30" s="227">
        <f>'Historical P&amp;L'!F30</f>
        <v>-170.92</v>
      </c>
      <c r="G30" s="227">
        <f>'Historical P&amp;L'!G30</f>
        <v>-237.69</v>
      </c>
      <c r="H30" s="227">
        <f>'Historical P&amp;L'!H30</f>
        <v>-356.47</v>
      </c>
      <c r="I30" s="227">
        <f>-I28*'Cost Build Up'!I35</f>
        <v>-411.35413637290543</v>
      </c>
      <c r="J30" s="227">
        <f>-J28*'Cost Build Up'!J35</f>
        <v>-509.98373816663525</v>
      </c>
      <c r="K30" s="227">
        <f>-K28*'Cost Build Up'!K35</f>
        <v>-634.32152456160225</v>
      </c>
      <c r="L30" s="227">
        <f>-L28*'Cost Build Up'!L35</f>
        <v>-790.84522129627567</v>
      </c>
      <c r="M30" s="227">
        <f>-M28*'Cost Build Up'!M35</f>
        <v>-988.897428251512</v>
      </c>
      <c r="N30" s="227">
        <f>-N28*'Cost Build Up'!N35</f>
        <v>-1551.3417717852737</v>
      </c>
      <c r="O30" s="227">
        <f>-O28*'Cost Build Up'!O35</f>
        <v>-1916.6546255230726</v>
      </c>
      <c r="P30" s="227">
        <f>-P28*'Cost Build Up'!P35</f>
        <v>-2374.1647132181961</v>
      </c>
      <c r="Q30" s="227">
        <f>-Q28*'Cost Build Up'!Q35</f>
        <v>-2948.170464711241</v>
      </c>
      <c r="R30" s="227">
        <f>-R28*'Cost Build Up'!R35</f>
        <v>-3669.3297993542792</v>
      </c>
    </row>
    <row r="31" spans="2:18">
      <c r="B31" s="14" t="s">
        <v>194</v>
      </c>
      <c r="D31" s="227">
        <f>'Revenue Build Up'!D58</f>
        <v>-60.97</v>
      </c>
      <c r="E31" s="227">
        <f>'Revenue Build Up'!E58</f>
        <v>-110.31</v>
      </c>
      <c r="F31" s="227">
        <f>'Revenue Build Up'!F58</f>
        <v>-120.65</v>
      </c>
      <c r="G31" s="227">
        <f>'Revenue Build Up'!G58</f>
        <v>-138.61000000000001</v>
      </c>
      <c r="H31" s="227">
        <f>'Revenue Build Up'!H58</f>
        <v>-126</v>
      </c>
      <c r="I31" s="227">
        <f>'Revenue Build Up'!I58</f>
        <v>-205.4838921988549</v>
      </c>
      <c r="J31" s="227">
        <f>'Revenue Build Up'!J58</f>
        <v>-255.20019151013091</v>
      </c>
      <c r="K31" s="227">
        <f>'Revenue Build Up'!K58</f>
        <v>-318.81349620696614</v>
      </c>
      <c r="L31" s="227">
        <f>'Revenue Build Up'!L58</f>
        <v>-400.39339261177855</v>
      </c>
      <c r="M31" s="227">
        <f>'Revenue Build Up'!M58</f>
        <v>-505.22044030202488</v>
      </c>
      <c r="N31" s="227">
        <f>'Revenue Build Up'!N58</f>
        <v>-624.99186241016719</v>
      </c>
      <c r="O31" s="227">
        <f>'Revenue Build Up'!O58</f>
        <v>-776.12129732644019</v>
      </c>
      <c r="P31" s="227">
        <f>'Revenue Build Up'!P58</f>
        <v>-967.00373747509741</v>
      </c>
      <c r="Q31" s="227">
        <f>'Revenue Build Up'!Q58</f>
        <v>-1208.295880020811</v>
      </c>
      <c r="R31" s="227">
        <f>'Revenue Build Up'!R58</f>
        <v>-1513.5264399027731</v>
      </c>
    </row>
    <row r="32" spans="2:18" ht="15.75" thickBot="1">
      <c r="B32" s="8" t="s">
        <v>18</v>
      </c>
      <c r="C32" s="8"/>
      <c r="D32" s="178">
        <f>D28+D30+D31</f>
        <v>528.78999999999974</v>
      </c>
      <c r="E32" s="178">
        <f t="shared" ref="E32:R32" si="9">E28+E30+E31</f>
        <v>505.99999999999994</v>
      </c>
      <c r="F32" s="178">
        <f t="shared" si="9"/>
        <v>136.2199999999992</v>
      </c>
      <c r="G32" s="178">
        <f t="shared" si="9"/>
        <v>248.10999999999984</v>
      </c>
      <c r="H32" s="178">
        <f t="shared" si="9"/>
        <v>834.28000000000111</v>
      </c>
      <c r="I32" s="178">
        <f t="shared" si="9"/>
        <v>801.62451064515494</v>
      </c>
      <c r="J32" s="178">
        <f t="shared" si="9"/>
        <v>993.38068469094173</v>
      </c>
      <c r="K32" s="178">
        <f t="shared" si="9"/>
        <v>1234.1805811679912</v>
      </c>
      <c r="L32" s="178">
        <f t="shared" si="9"/>
        <v>1535.8138733204826</v>
      </c>
      <c r="M32" s="178">
        <f t="shared" si="9"/>
        <v>1915.8732633482289</v>
      </c>
      <c r="N32" s="178">
        <f t="shared" si="9"/>
        <v>3173.1207512710207</v>
      </c>
      <c r="O32" s="178">
        <f t="shared" si="9"/>
        <v>3916.3779582645311</v>
      </c>
      <c r="P32" s="178">
        <f t="shared" si="9"/>
        <v>4845.6064224729007</v>
      </c>
      <c r="Q32" s="178">
        <f t="shared" si="9"/>
        <v>6009.6387059963663</v>
      </c>
      <c r="R32" s="178">
        <f t="shared" si="9"/>
        <v>7470.0051378266689</v>
      </c>
    </row>
    <row r="34" spans="2:18" ht="15.75" thickBot="1">
      <c r="B34" s="8" t="s">
        <v>195</v>
      </c>
      <c r="C34" s="9"/>
      <c r="D34" s="236">
        <f>'Historical Cash Flow'!D71</f>
        <v>-135.79</v>
      </c>
      <c r="E34" s="236">
        <f>'Historical Cash Flow'!E71</f>
        <v>-167.61</v>
      </c>
      <c r="F34" s="236">
        <f>'Historical Cash Flow'!F71</f>
        <v>-182.85</v>
      </c>
      <c r="G34" s="236">
        <f>'Historical Cash Flow'!G71</f>
        <v>-143.24</v>
      </c>
      <c r="H34" s="236">
        <f>'Historical Cash Flow'!H71</f>
        <v>-181.99</v>
      </c>
      <c r="I34" s="237">
        <f>-I35*I32</f>
        <v>-174.86652525808071</v>
      </c>
      <c r="J34" s="237">
        <f t="shared" ref="J34:R34" si="10">-J35*J32</f>
        <v>-216.69625402371418</v>
      </c>
      <c r="K34" s="237">
        <f t="shared" si="10"/>
        <v>-269.22438985324163</v>
      </c>
      <c r="L34" s="237">
        <f t="shared" si="10"/>
        <v>-335.02273434050232</v>
      </c>
      <c r="M34" s="237">
        <f t="shared" si="10"/>
        <v>-417.92896293419926</v>
      </c>
      <c r="N34" s="237">
        <f t="shared" si="10"/>
        <v>-692.18517227287282</v>
      </c>
      <c r="O34" s="237">
        <f t="shared" si="10"/>
        <v>-854.31944266260859</v>
      </c>
      <c r="P34" s="237">
        <f t="shared" si="10"/>
        <v>-1057.0215189454884</v>
      </c>
      <c r="Q34" s="237">
        <f t="shared" si="10"/>
        <v>-1310.9437456300971</v>
      </c>
      <c r="R34" s="237">
        <f t="shared" si="10"/>
        <v>-1629.5083605421128</v>
      </c>
    </row>
    <row r="35" spans="2:18">
      <c r="B35" s="43" t="s">
        <v>196</v>
      </c>
      <c r="C35" s="43"/>
      <c r="D35" s="44">
        <f>-D34/D32</f>
        <v>0.25679381228843218</v>
      </c>
      <c r="E35" s="44">
        <f t="shared" ref="E35:H35" si="11">-E34/E32</f>
        <v>0.33124505928853759</v>
      </c>
      <c r="F35" s="44">
        <f t="shared" si="11"/>
        <v>1.3423139039788656</v>
      </c>
      <c r="G35" s="44">
        <f t="shared" si="11"/>
        <v>0.57732457377776025</v>
      </c>
      <c r="H35" s="44">
        <f t="shared" si="11"/>
        <v>0.2181401927410459</v>
      </c>
      <c r="I35" s="44">
        <f>H35</f>
        <v>0.2181401927410459</v>
      </c>
      <c r="J35" s="44">
        <f>I35</f>
        <v>0.2181401927410459</v>
      </c>
      <c r="K35" s="44">
        <f t="shared" ref="K35:R35" si="12">J35</f>
        <v>0.2181401927410459</v>
      </c>
      <c r="L35" s="44">
        <f t="shared" si="12"/>
        <v>0.2181401927410459</v>
      </c>
      <c r="M35" s="44">
        <f t="shared" si="12"/>
        <v>0.2181401927410459</v>
      </c>
      <c r="N35" s="44">
        <f t="shared" si="12"/>
        <v>0.2181401927410459</v>
      </c>
      <c r="O35" s="44">
        <f t="shared" si="12"/>
        <v>0.2181401927410459</v>
      </c>
      <c r="P35" s="44">
        <f t="shared" si="12"/>
        <v>0.2181401927410459</v>
      </c>
      <c r="Q35" s="44">
        <f t="shared" si="12"/>
        <v>0.2181401927410459</v>
      </c>
      <c r="R35" s="44">
        <f t="shared" si="12"/>
        <v>0.2181401927410459</v>
      </c>
    </row>
    <row r="37" spans="2:18">
      <c r="B37" s="248" t="s">
        <v>417</v>
      </c>
      <c r="C37" s="248"/>
      <c r="D37" s="249">
        <f>(D32+D34)/D32</f>
        <v>0.74320618771156788</v>
      </c>
      <c r="E37" s="249">
        <f t="shared" ref="E37:R37" si="13">(E32+E34)/E32</f>
        <v>0.66875494071146235</v>
      </c>
      <c r="F37" s="249">
        <f t="shared" si="13"/>
        <v>-0.34231390397886552</v>
      </c>
      <c r="G37" s="249">
        <f t="shared" si="13"/>
        <v>0.42267542622223975</v>
      </c>
      <c r="H37" s="249">
        <f t="shared" si="13"/>
        <v>0.7818598072589541</v>
      </c>
      <c r="I37" s="249">
        <f t="shared" si="13"/>
        <v>0.7818598072589541</v>
      </c>
      <c r="J37" s="249">
        <f t="shared" si="13"/>
        <v>0.78185980725895421</v>
      </c>
      <c r="K37" s="249">
        <f t="shared" si="13"/>
        <v>0.7818598072589541</v>
      </c>
      <c r="L37" s="249">
        <f t="shared" si="13"/>
        <v>0.78185980725895399</v>
      </c>
      <c r="M37" s="249">
        <f t="shared" si="13"/>
        <v>0.7818598072589541</v>
      </c>
      <c r="N37" s="249">
        <f t="shared" si="13"/>
        <v>0.7818598072589541</v>
      </c>
      <c r="O37" s="249">
        <f t="shared" si="13"/>
        <v>0.7818598072589541</v>
      </c>
      <c r="P37" s="249">
        <f t="shared" si="13"/>
        <v>0.7818598072589541</v>
      </c>
      <c r="Q37" s="249">
        <f t="shared" si="13"/>
        <v>0.78185980725895399</v>
      </c>
      <c r="R37" s="249">
        <f t="shared" si="13"/>
        <v>0.78185980725895399</v>
      </c>
    </row>
    <row r="39" spans="2:18">
      <c r="B39" s="129"/>
      <c r="C39" s="129"/>
      <c r="D39" s="129"/>
      <c r="E39" s="129"/>
      <c r="F39" s="129"/>
      <c r="G39" s="129"/>
      <c r="H39" s="129"/>
      <c r="I39" s="129"/>
      <c r="J39" s="129"/>
      <c r="K39" s="129"/>
      <c r="L39" s="129"/>
      <c r="M39" s="129"/>
      <c r="N39" s="129"/>
      <c r="O39" s="129"/>
      <c r="P39" s="129"/>
      <c r="Q39" s="129"/>
      <c r="R39" s="129"/>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0:R44"/>
  <sheetViews>
    <sheetView showGridLines="0" topLeftCell="A34" workbookViewId="0">
      <selection activeCell="B42" sqref="B42:R42"/>
    </sheetView>
  </sheetViews>
  <sheetFormatPr defaultRowHeight="15"/>
  <cols>
    <col min="1" max="1" width="1.85546875" customWidth="1"/>
    <col min="2" max="2" width="53.140625" bestFit="1" customWidth="1"/>
  </cols>
  <sheetData>
    <row r="10" spans="2:18">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row>
    <row r="11" spans="2:18">
      <c r="D11" s="244"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2" spans="2:18">
      <c r="B12" s="1" t="s">
        <v>216</v>
      </c>
    </row>
    <row r="13" spans="2:18">
      <c r="B13" t="s">
        <v>217</v>
      </c>
      <c r="D13" s="227">
        <f>'Historical Cash Flow'!D13+'Historical Cash Flow'!D43</f>
        <v>639.91999999999939</v>
      </c>
      <c r="E13" s="227">
        <f>'Historical Cash Flow'!E13+'Historical Cash Flow'!E43</f>
        <v>480.41999999999973</v>
      </c>
      <c r="F13" s="227">
        <f>'Historical Cash Flow'!F13+'Historical Cash Flow'!F43</f>
        <v>141.5600000000006</v>
      </c>
      <c r="G13" s="227">
        <f>'Historical Cash Flow'!G13+'Historical Cash Flow'!G43</f>
        <v>274.28000000000168</v>
      </c>
      <c r="H13" s="227">
        <f>'Historical Cash Flow'!H13+'Historical Cash Flow'!H43</f>
        <v>880.05</v>
      </c>
      <c r="I13" s="227">
        <f>'P&amp;L Statement'!I32</f>
        <v>801.62451064515494</v>
      </c>
      <c r="J13" s="227">
        <f>'P&amp;L Statement'!J32</f>
        <v>993.38068469094173</v>
      </c>
      <c r="K13" s="227">
        <f>'P&amp;L Statement'!K32</f>
        <v>1234.1805811679912</v>
      </c>
      <c r="L13" s="227">
        <f>'P&amp;L Statement'!L32</f>
        <v>1535.8138733204826</v>
      </c>
      <c r="M13" s="227">
        <f>'P&amp;L Statement'!M32</f>
        <v>1915.8732633482289</v>
      </c>
      <c r="N13" s="227">
        <f>'P&amp;L Statement'!N32</f>
        <v>3173.1207512710207</v>
      </c>
      <c r="O13" s="227">
        <f>'P&amp;L Statement'!O32</f>
        <v>3916.3779582645311</v>
      </c>
      <c r="P13" s="227">
        <f>'P&amp;L Statement'!P32</f>
        <v>4845.6064224729007</v>
      </c>
      <c r="Q13" s="227">
        <f>'P&amp;L Statement'!Q32</f>
        <v>6009.6387059963663</v>
      </c>
      <c r="R13" s="227">
        <f>'P&amp;L Statement'!R32</f>
        <v>7470.0051378266689</v>
      </c>
    </row>
    <row r="14" spans="2:18">
      <c r="B14" t="s">
        <v>218</v>
      </c>
      <c r="D14" s="227">
        <f>'P&amp;L Statement'!D22</f>
        <v>33.89</v>
      </c>
      <c r="E14" s="227">
        <f>'P&amp;L Statement'!E22</f>
        <v>37.26</v>
      </c>
      <c r="F14" s="227">
        <f>'P&amp;L Statement'!F22</f>
        <v>39.619999999999997</v>
      </c>
      <c r="G14" s="227">
        <f>'P&amp;L Statement'!G22</f>
        <v>47.59</v>
      </c>
      <c r="H14" s="227">
        <f>'P&amp;L Statement'!H22</f>
        <v>61.78</v>
      </c>
      <c r="I14" s="227">
        <f>'P&amp;L Statement'!I22</f>
        <v>71.015100767294513</v>
      </c>
      <c r="J14" s="227">
        <f>'P&amp;L Statement'!J22</f>
        <v>82.605094636712323</v>
      </c>
      <c r="K14" s="227">
        <f>'P&amp;L Statement'!K22</f>
        <v>96.771457412337099</v>
      </c>
      <c r="L14" s="227">
        <f>'P&amp;L Statement'!L22</f>
        <v>116.54885609193298</v>
      </c>
      <c r="M14" s="227">
        <f>'P&amp;L Statement'!M22</f>
        <v>142.40699805276171</v>
      </c>
      <c r="N14" s="227">
        <f>'P&amp;L Statement'!N22</f>
        <v>173.89459215537553</v>
      </c>
      <c r="O14" s="227">
        <f>'P&amp;L Statement'!O22</f>
        <v>208.51246173611568</v>
      </c>
      <c r="P14" s="227">
        <f>'P&amp;L Statement'!P22</f>
        <v>252.50474184867053</v>
      </c>
      <c r="Q14" s="227">
        <f>'P&amp;L Statement'!Q22</f>
        <v>307.47690619678531</v>
      </c>
      <c r="R14" s="227">
        <f>'P&amp;L Statement'!R22</f>
        <v>375.71627992490068</v>
      </c>
    </row>
    <row r="15" spans="2:18">
      <c r="B15" t="s">
        <v>219</v>
      </c>
      <c r="D15" s="227">
        <f>'Historical Cash Flow'!D26-'Historical Cash Flow'!D16</f>
        <v>40.249999999999986</v>
      </c>
      <c r="E15" s="227">
        <f>'Historical Cash Flow'!E26-'Historical Cash Flow'!E16</f>
        <v>110.38</v>
      </c>
      <c r="F15" s="227">
        <f>'Historical Cash Flow'!F26-'Historical Cash Flow'!F16</f>
        <v>361.83999999999986</v>
      </c>
      <c r="G15" s="227">
        <f>'Historical Cash Flow'!G26-'Historical Cash Flow'!G16</f>
        <v>359.51999999999987</v>
      </c>
      <c r="H15" s="227">
        <f>'Historical Cash Flow'!H26-'Historical Cash Flow'!H16</f>
        <v>-72.79000000000002</v>
      </c>
      <c r="I15" s="227">
        <f>'P&amp;L Statement'!I25-'P&amp;L Statement'!I27</f>
        <v>-301.15212088652095</v>
      </c>
      <c r="J15" s="227">
        <f>'P&amp;L Statement'!J25-'P&amp;L Statement'!J27</f>
        <v>-365.3318863656088</v>
      </c>
      <c r="K15" s="227">
        <f>'P&amp;L Statement'!K25-'P&amp;L Statement'!K27</f>
        <v>-440.36972792488496</v>
      </c>
      <c r="L15" s="227">
        <f>'P&amp;L Statement'!L25-'P&amp;L Statement'!L27</f>
        <v>-528.10263912895766</v>
      </c>
      <c r="M15" s="227">
        <f>'P&amp;L Statement'!M25-'P&amp;L Statement'!M27</f>
        <v>-630.67840021693382</v>
      </c>
      <c r="N15" s="227">
        <f>'P&amp;L Statement'!N25-'P&amp;L Statement'!N27</f>
        <v>-750.60815768620512</v>
      </c>
      <c r="O15" s="227">
        <f>'P&amp;L Statement'!O25-'P&amp;L Statement'!O27</f>
        <v>-890.82789940766543</v>
      </c>
      <c r="P15" s="227">
        <f>'P&amp;L Statement'!P25-'P&amp;L Statement'!P27</f>
        <v>-1054.7703302382356</v>
      </c>
      <c r="Q15" s="227">
        <f>'P&amp;L Statement'!Q25-'P&amp;L Statement'!Q27</f>
        <v>-1246.4489077100607</v>
      </c>
      <c r="R15" s="227">
        <f>'P&amp;L Statement'!R25-'P&amp;L Statement'!R27</f>
        <v>-1470.5560950653153</v>
      </c>
    </row>
    <row r="16" spans="2:18">
      <c r="B16" s="14" t="s">
        <v>220</v>
      </c>
      <c r="D16" s="227">
        <f>'Working capital'!D32</f>
        <v>-157.95000000000002</v>
      </c>
      <c r="E16" s="227">
        <f>'Working capital'!E32</f>
        <v>-43.830000000000041</v>
      </c>
      <c r="F16" s="227">
        <f>'Working capital'!F32</f>
        <v>-383.64</v>
      </c>
      <c r="G16" s="227">
        <f>'Working capital'!G32</f>
        <v>80.120000000000175</v>
      </c>
      <c r="H16" s="227">
        <f>'Working capital'!H32</f>
        <v>-1093.1499999999996</v>
      </c>
      <c r="I16" s="227">
        <f>'Working capital'!I32</f>
        <v>-215.37627801226745</v>
      </c>
      <c r="J16" s="227">
        <f>'Working capital'!J32</f>
        <v>-374.73937407363792</v>
      </c>
      <c r="K16" s="227">
        <f>'Working capital'!K32</f>
        <v>-479.48882589981531</v>
      </c>
      <c r="L16" s="227">
        <f>'Working capital'!L32</f>
        <v>-614.91301121034485</v>
      </c>
      <c r="M16" s="227">
        <f>'Working capital'!M32</f>
        <v>-790.1397083374768</v>
      </c>
      <c r="N16" s="227">
        <f>'Working capital'!N32</f>
        <v>-1314.1234529766498</v>
      </c>
      <c r="O16" s="227">
        <f>'Working capital'!O32</f>
        <v>-1238.6126810129208</v>
      </c>
      <c r="P16" s="227">
        <f>'Working capital'!P32</f>
        <v>-1564.4166940861051</v>
      </c>
      <c r="Q16" s="227">
        <f>'Working capital'!Q32</f>
        <v>-1977.5598827023587</v>
      </c>
      <c r="R16" s="227">
        <f>'Working capital'!R32</f>
        <v>-2501.5804651947656</v>
      </c>
    </row>
    <row r="17" spans="2:18">
      <c r="B17" s="4" t="s">
        <v>221</v>
      </c>
      <c r="C17" s="4"/>
      <c r="D17" s="177">
        <f>D13+D14+D15+D16</f>
        <v>556.10999999999933</v>
      </c>
      <c r="E17" s="177">
        <f t="shared" ref="E17:H17" si="1">E13+E14+E15+E16</f>
        <v>584.22999999999968</v>
      </c>
      <c r="F17" s="177">
        <f t="shared" si="1"/>
        <v>159.38000000000045</v>
      </c>
      <c r="G17" s="177">
        <f t="shared" si="1"/>
        <v>761.51000000000181</v>
      </c>
      <c r="H17" s="177">
        <f t="shared" si="1"/>
        <v>-224.10999999999967</v>
      </c>
      <c r="I17" s="177">
        <f t="shared" ref="I17" si="2">I13+I14+I15+I16</f>
        <v>356.11121251366103</v>
      </c>
      <c r="J17" s="177">
        <f t="shared" ref="J17" si="3">J13+J14+J15+J16</f>
        <v>335.9145188884072</v>
      </c>
      <c r="K17" s="177">
        <f t="shared" ref="K17" si="4">K13+K14+K15+K16</f>
        <v>411.0934847556282</v>
      </c>
      <c r="L17" s="177">
        <f t="shared" ref="L17" si="5">L13+L14+L15+L16</f>
        <v>509.34707907311304</v>
      </c>
      <c r="M17" s="177">
        <f t="shared" ref="M17" si="6">M13+M14+M15+M16</f>
        <v>637.46215284658001</v>
      </c>
      <c r="N17" s="177">
        <f t="shared" ref="N17" si="7">N13+N14+N15+N16</f>
        <v>1282.2837327635411</v>
      </c>
      <c r="O17" s="177">
        <f t="shared" ref="O17" si="8">O13+O14+O15+O16</f>
        <v>1995.4498395800601</v>
      </c>
      <c r="P17" s="177">
        <f t="shared" ref="P17" si="9">P13+P14+P15+P16</f>
        <v>2478.9241399972302</v>
      </c>
      <c r="Q17" s="177">
        <f t="shared" ref="Q17" si="10">Q13+Q14+Q15+Q16</f>
        <v>3093.1068217807324</v>
      </c>
      <c r="R17" s="177">
        <f t="shared" ref="R17" si="11">R13+R14+R15+R16</f>
        <v>3873.5848574914889</v>
      </c>
    </row>
    <row r="18" spans="2:18">
      <c r="B18" s="1"/>
      <c r="C18" s="1"/>
      <c r="D18" s="176"/>
      <c r="E18" s="176"/>
      <c r="F18" s="176"/>
      <c r="G18" s="176"/>
      <c r="H18" s="176"/>
      <c r="I18" s="176"/>
      <c r="J18" s="176"/>
      <c r="K18" s="176"/>
      <c r="L18" s="176"/>
      <c r="M18" s="176"/>
      <c r="N18" s="176"/>
      <c r="O18" s="176"/>
      <c r="P18" s="176"/>
      <c r="Q18" s="176"/>
      <c r="R18" s="176"/>
    </row>
    <row r="19" spans="2:18">
      <c r="B19" s="1" t="s">
        <v>222</v>
      </c>
      <c r="C19" s="1"/>
      <c r="D19" s="176"/>
      <c r="E19" s="176"/>
      <c r="F19" s="176"/>
      <c r="G19" s="176"/>
      <c r="H19" s="176"/>
      <c r="I19" s="176"/>
      <c r="J19" s="176"/>
      <c r="K19" s="176"/>
      <c r="L19" s="176"/>
      <c r="M19" s="176"/>
      <c r="N19" s="176"/>
      <c r="O19" s="176"/>
      <c r="P19" s="176"/>
      <c r="Q19" s="176"/>
      <c r="R19" s="176"/>
    </row>
    <row r="20" spans="2:18">
      <c r="B20" s="14" t="s">
        <v>223</v>
      </c>
      <c r="D20" s="227">
        <f>'Historical Cash Flow'!D47</f>
        <v>-20.82</v>
      </c>
      <c r="E20" s="227">
        <f>'Historical Cash Flow'!E47</f>
        <v>-48.16</v>
      </c>
      <c r="F20" s="227">
        <f>'Historical Cash Flow'!F47</f>
        <v>-179.93</v>
      </c>
      <c r="G20" s="227">
        <f>'Historical Cash Flow'!G47</f>
        <v>-293.05</v>
      </c>
      <c r="H20" s="227">
        <f>'Historical Cash Flow'!H47</f>
        <v>-208.18</v>
      </c>
      <c r="I20" s="227">
        <f>-Schedules!I15</f>
        <v>-275.05009111591096</v>
      </c>
      <c r="J20" s="227">
        <f>-Schedules!J15</f>
        <v>-342.64049290377079</v>
      </c>
      <c r="K20" s="227">
        <f>-Schedules!K15</f>
        <v>-430.41503262722631</v>
      </c>
      <c r="L20" s="227">
        <f>-Schedules!L15</f>
        <v>-542.0844169710623</v>
      </c>
      <c r="M20" s="227">
        <f>-Schedules!M15</f>
        <v>-684.29127806035592</v>
      </c>
      <c r="N20" s="227">
        <f>-Schedules!N15</f>
        <v>-768.31521783076084</v>
      </c>
      <c r="O20" s="227">
        <f>-Schedules!O15</f>
        <v>-952.98035270307321</v>
      </c>
      <c r="P20" s="227">
        <f>-Schedules!P15</f>
        <v>-1183.5189549958595</v>
      </c>
      <c r="Q20" s="227">
        <f>-Schedules!Q15</f>
        <v>-1471.4594288226901</v>
      </c>
      <c r="R20" s="227">
        <f>-Schedules!R15</f>
        <v>-1831.2454306178668</v>
      </c>
    </row>
    <row r="21" spans="2:18">
      <c r="B21" s="14" t="s">
        <v>224</v>
      </c>
      <c r="D21" s="227">
        <f>'Historical Cash Flow'!D48</f>
        <v>2.17</v>
      </c>
      <c r="E21" s="227">
        <f>'Historical Cash Flow'!E48</f>
        <v>1.26</v>
      </c>
      <c r="F21" s="227">
        <f>'Historical Cash Flow'!F48</f>
        <v>2.4900000000000002</v>
      </c>
      <c r="G21" s="227">
        <f>'Historical Cash Flow'!G48</f>
        <v>4.76</v>
      </c>
      <c r="H21" s="227">
        <f>'Historical Cash Flow'!H48</f>
        <v>17.440000000000001</v>
      </c>
      <c r="I21" s="227">
        <f>'Historical Cash Flow'!I48</f>
        <v>0</v>
      </c>
      <c r="J21" s="227">
        <f>'Historical Cash Flow'!J48</f>
        <v>0</v>
      </c>
      <c r="K21" s="227">
        <f>'Historical Cash Flow'!K48</f>
        <v>0</v>
      </c>
      <c r="L21" s="227">
        <f>'Historical Cash Flow'!L48</f>
        <v>0</v>
      </c>
      <c r="M21" s="227">
        <f>'Historical Cash Flow'!M48</f>
        <v>0</v>
      </c>
      <c r="N21" s="227">
        <f>'Historical Cash Flow'!N48</f>
        <v>0</v>
      </c>
      <c r="O21" s="227">
        <f>'Historical Cash Flow'!O48</f>
        <v>0</v>
      </c>
      <c r="P21" s="227">
        <f>'Historical Cash Flow'!P48</f>
        <v>0</v>
      </c>
      <c r="Q21" s="227">
        <f>'Historical Cash Flow'!Q48</f>
        <v>0</v>
      </c>
      <c r="R21" s="227">
        <f>'Historical Cash Flow'!R48</f>
        <v>0</v>
      </c>
    </row>
    <row r="22" spans="2:18">
      <c r="B22" s="14" t="s">
        <v>225</v>
      </c>
      <c r="D22" s="227">
        <f>SUM('Historical Cash Flow'!D49:D55)</f>
        <v>-296.25</v>
      </c>
      <c r="E22" s="227">
        <f>SUM('Historical Cash Flow'!E49:E55)</f>
        <v>-347.37999999999977</v>
      </c>
      <c r="F22" s="227">
        <f>SUM('Historical Cash Flow'!F49:F55)</f>
        <v>25.269999999999982</v>
      </c>
      <c r="G22" s="227">
        <f>SUM('Historical Cash Flow'!G49:G55)</f>
        <v>-317.55999999999995</v>
      </c>
      <c r="H22" s="227">
        <f>SUM('Historical Cash Flow'!H49:H55)</f>
        <v>217.75000000000091</v>
      </c>
      <c r="I22" s="227">
        <f>SUM('Historical Cash Flow'!I49:I55)</f>
        <v>0</v>
      </c>
      <c r="J22" s="227">
        <f>SUM('Historical Cash Flow'!J49:J55)</f>
        <v>0</v>
      </c>
      <c r="K22" s="227">
        <f>SUM('Historical Cash Flow'!K49:K55)</f>
        <v>0</v>
      </c>
      <c r="L22" s="227">
        <f>SUM('Historical Cash Flow'!L49:L55)</f>
        <v>0</v>
      </c>
      <c r="M22" s="227">
        <f>SUM('Historical Cash Flow'!M49:M55)</f>
        <v>0</v>
      </c>
      <c r="N22" s="227">
        <f>SUM('Historical Cash Flow'!N49:N55)</f>
        <v>0</v>
      </c>
      <c r="O22" s="227">
        <f>SUM('Historical Cash Flow'!O49:O55)</f>
        <v>0</v>
      </c>
      <c r="P22" s="227">
        <f>SUM('Historical Cash Flow'!P49:P55)</f>
        <v>0</v>
      </c>
      <c r="Q22" s="227">
        <f>SUM('Historical Cash Flow'!Q49:Q55)</f>
        <v>0</v>
      </c>
      <c r="R22" s="227">
        <f>SUM('Historical Cash Flow'!R49:R55)</f>
        <v>0</v>
      </c>
    </row>
    <row r="23" spans="2:18">
      <c r="B23" t="s">
        <v>226</v>
      </c>
      <c r="D23" s="227">
        <f>'Historical Cash Flow'!D58+'Historical Cash Flow'!D59</f>
        <v>11.51</v>
      </c>
      <c r="E23" s="227">
        <f>'Historical Cash Flow'!E58+'Historical Cash Flow'!E59</f>
        <v>6.3599999999999994</v>
      </c>
      <c r="F23" s="227">
        <f>'Historical Cash Flow'!F58+'Historical Cash Flow'!F59</f>
        <v>8.84</v>
      </c>
      <c r="G23" s="227">
        <f>'Historical Cash Flow'!G58+'Historical Cash Flow'!G59</f>
        <v>10.31</v>
      </c>
      <c r="H23" s="227">
        <f>'Historical Cash Flow'!H58+'Historical Cash Flow'!H59</f>
        <v>16.75</v>
      </c>
      <c r="I23" s="227">
        <v>0</v>
      </c>
      <c r="J23" s="227">
        <v>0</v>
      </c>
      <c r="K23" s="227">
        <v>0</v>
      </c>
      <c r="L23" s="227">
        <v>0</v>
      </c>
      <c r="M23" s="227">
        <v>0</v>
      </c>
      <c r="N23" s="227">
        <v>0</v>
      </c>
      <c r="O23" s="227">
        <v>0</v>
      </c>
      <c r="P23" s="227">
        <v>0</v>
      </c>
      <c r="Q23" s="227">
        <v>0</v>
      </c>
      <c r="R23" s="227">
        <v>0</v>
      </c>
    </row>
    <row r="24" spans="2:18">
      <c r="B24" t="s">
        <v>107</v>
      </c>
      <c r="D24" s="227">
        <f>'Historical Cash Flow'!D56</f>
        <v>20.76</v>
      </c>
      <c r="E24" s="227">
        <f>'Historical Cash Flow'!E56</f>
        <v>9.2200000000000006</v>
      </c>
      <c r="F24" s="227">
        <f>'Historical Cash Flow'!F56</f>
        <v>36.19</v>
      </c>
      <c r="G24" s="227">
        <f>'Historical Cash Flow'!G56</f>
        <v>44.63</v>
      </c>
      <c r="H24" s="227">
        <f>'Historical Cash Flow'!H56</f>
        <v>78.78</v>
      </c>
      <c r="I24" s="227">
        <f>'P&amp;L Statement'!I27</f>
        <v>379.35286753666651</v>
      </c>
      <c r="J24" s="227">
        <f>'P&amp;L Statement'!J27</f>
        <v>443.53263301575436</v>
      </c>
      <c r="K24" s="227">
        <f>'P&amp;L Statement'!K27</f>
        <v>518.57047457503052</v>
      </c>
      <c r="L24" s="227">
        <f>'P&amp;L Statement'!L27</f>
        <v>606.30338577910322</v>
      </c>
      <c r="M24" s="227">
        <f>'P&amp;L Statement'!M27</f>
        <v>708.87914686707938</v>
      </c>
      <c r="N24" s="227">
        <f>'P&amp;L Statement'!N27</f>
        <v>828.80890433635068</v>
      </c>
      <c r="O24" s="227">
        <f>'P&amp;L Statement'!O27</f>
        <v>969.02864605781099</v>
      </c>
      <c r="P24" s="227">
        <f>'P&amp;L Statement'!P27</f>
        <v>1132.971076888381</v>
      </c>
      <c r="Q24" s="227">
        <f>'P&amp;L Statement'!Q27</f>
        <v>1324.6496543602061</v>
      </c>
      <c r="R24" s="227">
        <f>'P&amp;L Statement'!R27</f>
        <v>1548.7568417154607</v>
      </c>
    </row>
    <row r="25" spans="2:18">
      <c r="B25" t="s">
        <v>111</v>
      </c>
      <c r="D25" s="227">
        <f>'Historical Cash Flow'!D60+'Historical Cash Flow'!D61</f>
        <v>26.72</v>
      </c>
      <c r="E25" s="227">
        <f>'Historical Cash Flow'!E60+'Historical Cash Flow'!E61</f>
        <v>14.070000000000002</v>
      </c>
      <c r="F25" s="227">
        <f>'Historical Cash Flow'!F60+'Historical Cash Flow'!F61</f>
        <v>25.54</v>
      </c>
      <c r="G25" s="227">
        <f>'Historical Cash Flow'!G60+'Historical Cash Flow'!G61</f>
        <v>28.55</v>
      </c>
      <c r="H25" s="227">
        <f>'Historical Cash Flow'!H60+'Historical Cash Flow'!H61</f>
        <v>35.400000000000006</v>
      </c>
      <c r="I25" s="227">
        <f>'Historical Cash Flow'!I60+'Historical Cash Flow'!I61</f>
        <v>0</v>
      </c>
      <c r="J25" s="227">
        <f>'Historical Cash Flow'!J60+'Historical Cash Flow'!J61</f>
        <v>0</v>
      </c>
      <c r="K25" s="227">
        <f>'Historical Cash Flow'!K60+'Historical Cash Flow'!K61</f>
        <v>0</v>
      </c>
      <c r="L25" s="227">
        <f>'Historical Cash Flow'!L60+'Historical Cash Flow'!L61</f>
        <v>0</v>
      </c>
      <c r="M25" s="227">
        <f>'Historical Cash Flow'!M60+'Historical Cash Flow'!M61</f>
        <v>0</v>
      </c>
      <c r="N25" s="227">
        <f>'Historical Cash Flow'!N60+'Historical Cash Flow'!N61</f>
        <v>0</v>
      </c>
      <c r="O25" s="227">
        <f>'Historical Cash Flow'!O60+'Historical Cash Flow'!O61</f>
        <v>0</v>
      </c>
      <c r="P25" s="227">
        <f>'Historical Cash Flow'!P60+'Historical Cash Flow'!P61</f>
        <v>0</v>
      </c>
      <c r="Q25" s="227">
        <f>'Historical Cash Flow'!Q60+'Historical Cash Flow'!Q61</f>
        <v>0</v>
      </c>
      <c r="R25" s="227">
        <f>'Historical Cash Flow'!R60+'Historical Cash Flow'!R61</f>
        <v>0</v>
      </c>
    </row>
    <row r="26" spans="2:18">
      <c r="B26" s="4" t="s">
        <v>227</v>
      </c>
      <c r="C26" s="5"/>
      <c r="D26" s="177">
        <f>SUM(D20:D25)</f>
        <v>-255.91</v>
      </c>
      <c r="E26" s="177">
        <f t="shared" ref="E26:H26" si="12">SUM(E20:E25)</f>
        <v>-364.62999999999971</v>
      </c>
      <c r="F26" s="177">
        <f t="shared" si="12"/>
        <v>-81.600000000000023</v>
      </c>
      <c r="G26" s="177">
        <f t="shared" si="12"/>
        <v>-522.36</v>
      </c>
      <c r="H26" s="177">
        <f t="shared" si="12"/>
        <v>157.94000000000091</v>
      </c>
      <c r="I26" s="177">
        <f t="shared" ref="I26" si="13">SUM(I20:I25)</f>
        <v>104.30277642075555</v>
      </c>
      <c r="J26" s="177">
        <f t="shared" ref="J26" si="14">SUM(J20:J25)</f>
        <v>100.89214011198357</v>
      </c>
      <c r="K26" s="177">
        <f t="shared" ref="K26" si="15">SUM(K20:K25)</f>
        <v>88.155441947804206</v>
      </c>
      <c r="L26" s="177">
        <f t="shared" ref="L26" si="16">SUM(L20:L25)</f>
        <v>64.218968808040927</v>
      </c>
      <c r="M26" s="177">
        <f t="shared" ref="M26" si="17">SUM(M20:M25)</f>
        <v>24.587868806723463</v>
      </c>
      <c r="N26" s="177">
        <f t="shared" ref="N26" si="18">SUM(N20:N25)</f>
        <v>60.493686505589835</v>
      </c>
      <c r="O26" s="177">
        <f t="shared" ref="O26" si="19">SUM(O20:O25)</f>
        <v>16.04829335473778</v>
      </c>
      <c r="P26" s="177">
        <f t="shared" ref="P26" si="20">SUM(P20:P25)</f>
        <v>-50.547878107478482</v>
      </c>
      <c r="Q26" s="177">
        <f t="shared" ref="Q26" si="21">SUM(Q20:Q25)</f>
        <v>-146.80977446248403</v>
      </c>
      <c r="R26" s="177">
        <f t="shared" ref="R26" si="22">SUM(R20:R25)</f>
        <v>-282.48858890240604</v>
      </c>
    </row>
    <row r="27" spans="2:18">
      <c r="C27" s="1"/>
      <c r="D27" s="176"/>
      <c r="E27" s="176"/>
      <c r="F27" s="176"/>
      <c r="G27" s="176"/>
      <c r="H27" s="176"/>
      <c r="I27" s="176"/>
      <c r="J27" s="176"/>
      <c r="K27" s="176"/>
      <c r="L27" s="176"/>
      <c r="M27" s="176"/>
      <c r="N27" s="176"/>
      <c r="O27" s="176"/>
      <c r="P27" s="176"/>
      <c r="Q27" s="176"/>
      <c r="R27" s="176"/>
    </row>
    <row r="28" spans="2:18">
      <c r="B28" s="1" t="s">
        <v>228</v>
      </c>
      <c r="D28" s="176"/>
      <c r="E28" s="176"/>
      <c r="F28" s="176"/>
      <c r="G28" s="176"/>
      <c r="H28" s="176"/>
      <c r="I28" s="176"/>
      <c r="J28" s="176"/>
      <c r="K28" s="176"/>
      <c r="L28" s="176"/>
      <c r="M28" s="176"/>
      <c r="N28" s="176"/>
      <c r="O28" s="176"/>
      <c r="P28" s="176"/>
      <c r="Q28" s="176"/>
      <c r="R28" s="176"/>
    </row>
    <row r="29" spans="2:18">
      <c r="B29" s="14" t="s">
        <v>229</v>
      </c>
      <c r="D29" s="227">
        <f>'Historical Cash Flow'!D67+'Historical Cash Flow'!D68+'Historical Cash Flow'!D70</f>
        <v>36.970000000000041</v>
      </c>
      <c r="E29" s="227">
        <f>'Historical Cash Flow'!E67+'Historical Cash Flow'!E68+'Historical Cash Flow'!E70</f>
        <v>83.089999999999989</v>
      </c>
      <c r="F29" s="227">
        <f>'Historical Cash Flow'!F67+'Historical Cash Flow'!F68+'Historical Cash Flow'!F70</f>
        <v>266.30999999999995</v>
      </c>
      <c r="G29" s="227">
        <f>'Historical Cash Flow'!G67+'Historical Cash Flow'!G68+'Historical Cash Flow'!G70</f>
        <v>79.010000000000019</v>
      </c>
      <c r="H29" s="227">
        <f>'Historical Cash Flow'!H67+'Historical Cash Flow'!H68+'Historical Cash Flow'!H70</f>
        <v>135.79000000000002</v>
      </c>
      <c r="I29" s="227">
        <f>Schedules!I22</f>
        <v>0</v>
      </c>
      <c r="J29" s="227">
        <f>Schedules!J22</f>
        <v>0</v>
      </c>
      <c r="K29" s="227">
        <f>Schedules!K22</f>
        <v>0</v>
      </c>
      <c r="L29" s="227">
        <f>Schedules!L22</f>
        <v>0</v>
      </c>
      <c r="M29" s="227">
        <f>Schedules!M22</f>
        <v>0</v>
      </c>
      <c r="N29" s="227">
        <f>Schedules!N22</f>
        <v>0</v>
      </c>
      <c r="O29" s="227">
        <f>Schedules!O22</f>
        <v>0</v>
      </c>
      <c r="P29" s="227">
        <f>Schedules!P22</f>
        <v>0</v>
      </c>
      <c r="Q29" s="227">
        <f>Schedules!Q22</f>
        <v>0</v>
      </c>
      <c r="R29" s="227">
        <f>Schedules!R22</f>
        <v>0</v>
      </c>
    </row>
    <row r="30" spans="2:18">
      <c r="B30" s="14" t="s">
        <v>230</v>
      </c>
      <c r="D30" s="227">
        <f>'Historical Cash Flow'!D65+'Historical Cash Flow'!D66</f>
        <v>-1.51</v>
      </c>
      <c r="E30" s="227">
        <f>'Historical Cash Flow'!E65+'Historical Cash Flow'!E66</f>
        <v>0</v>
      </c>
      <c r="F30" s="227">
        <f>'Historical Cash Flow'!F65+'Historical Cash Flow'!F66</f>
        <v>0</v>
      </c>
      <c r="G30" s="227">
        <f>'Historical Cash Flow'!G65+'Historical Cash Flow'!G66</f>
        <v>0</v>
      </c>
      <c r="H30" s="227">
        <f>'Historical Cash Flow'!H65+'Historical Cash Flow'!H66</f>
        <v>0</v>
      </c>
      <c r="I30" s="227">
        <f>'Historical Cash Flow'!I65+'Historical Cash Flow'!I66</f>
        <v>0</v>
      </c>
      <c r="J30" s="227">
        <f>'Historical Cash Flow'!J65+'Historical Cash Flow'!J66</f>
        <v>0</v>
      </c>
      <c r="K30" s="227">
        <f>'Historical Cash Flow'!K65+'Historical Cash Flow'!K66</f>
        <v>0</v>
      </c>
      <c r="L30" s="227">
        <f>'Historical Cash Flow'!L65+'Historical Cash Flow'!L66</f>
        <v>0</v>
      </c>
      <c r="M30" s="227">
        <f>'Historical Cash Flow'!M65+'Historical Cash Flow'!M66</f>
        <v>0</v>
      </c>
      <c r="N30" s="227">
        <f>'Historical Cash Flow'!N65+'Historical Cash Flow'!N66</f>
        <v>0</v>
      </c>
      <c r="O30" s="227">
        <f>'Historical Cash Flow'!O65+'Historical Cash Flow'!O66</f>
        <v>0</v>
      </c>
      <c r="P30" s="227">
        <f>'Historical Cash Flow'!P65+'Historical Cash Flow'!P66</f>
        <v>0</v>
      </c>
      <c r="Q30" s="227">
        <f>'Historical Cash Flow'!Q65+'Historical Cash Flow'!Q66</f>
        <v>0</v>
      </c>
      <c r="R30" s="227">
        <f>'Historical Cash Flow'!R65+'Historical Cash Flow'!R66</f>
        <v>0</v>
      </c>
    </row>
    <row r="31" spans="2:18">
      <c r="B31" s="14" t="s">
        <v>231</v>
      </c>
      <c r="D31" s="227">
        <f>'Historical Cash Flow'!D71</f>
        <v>-135.79</v>
      </c>
      <c r="E31" s="227">
        <f>'Historical Cash Flow'!E71</f>
        <v>-167.61</v>
      </c>
      <c r="F31" s="227">
        <f>'Historical Cash Flow'!F71</f>
        <v>-182.85</v>
      </c>
      <c r="G31" s="227">
        <f>'Historical Cash Flow'!G71</f>
        <v>-143.24</v>
      </c>
      <c r="H31" s="227">
        <f>'Historical Cash Flow'!H71</f>
        <v>-181.99</v>
      </c>
      <c r="I31" s="227">
        <f>'P&amp;L Statement'!I34</f>
        <v>-174.86652525808071</v>
      </c>
      <c r="J31" s="227">
        <f>'P&amp;L Statement'!J34</f>
        <v>-216.69625402371418</v>
      </c>
      <c r="K31" s="227">
        <f>'P&amp;L Statement'!K34</f>
        <v>-269.22438985324163</v>
      </c>
      <c r="L31" s="227">
        <f>'P&amp;L Statement'!L34</f>
        <v>-335.02273434050232</v>
      </c>
      <c r="M31" s="227">
        <f>'P&amp;L Statement'!M34</f>
        <v>-417.92896293419926</v>
      </c>
      <c r="N31" s="227">
        <f>'P&amp;L Statement'!N34</f>
        <v>-692.18517227287282</v>
      </c>
      <c r="O31" s="227">
        <f>'P&amp;L Statement'!O34</f>
        <v>-854.31944266260859</v>
      </c>
      <c r="P31" s="227">
        <f>'P&amp;L Statement'!P34</f>
        <v>-1057.0215189454884</v>
      </c>
      <c r="Q31" s="227">
        <f>'P&amp;L Statement'!Q34</f>
        <v>-1310.9437456300971</v>
      </c>
      <c r="R31" s="227">
        <f>'P&amp;L Statement'!R34</f>
        <v>-1629.5083605421128</v>
      </c>
    </row>
    <row r="32" spans="2:18">
      <c r="B32" s="14" t="s">
        <v>119</v>
      </c>
      <c r="D32" s="227">
        <f>'Historical Cash Flow'!D69</f>
        <v>-21.18</v>
      </c>
      <c r="E32" s="227">
        <f>'Historical Cash Flow'!E69</f>
        <v>-22.52</v>
      </c>
      <c r="F32" s="227">
        <f>'Historical Cash Flow'!F69</f>
        <v>-28.41</v>
      </c>
      <c r="G32" s="227">
        <f>'Historical Cash Flow'!G69</f>
        <v>-52.09</v>
      </c>
      <c r="H32" s="227">
        <f>'Historical Cash Flow'!H69</f>
        <v>-53.51</v>
      </c>
      <c r="I32" s="227">
        <f>-Schedules!I24</f>
        <v>-78.200746650145547</v>
      </c>
      <c r="J32" s="227">
        <f>-Schedules!J24</f>
        <v>-78.200746650145547</v>
      </c>
      <c r="K32" s="227">
        <f>-Schedules!K24</f>
        <v>-78.200746650145547</v>
      </c>
      <c r="L32" s="227">
        <f>-Schedules!L24</f>
        <v>-78.200746650145547</v>
      </c>
      <c r="M32" s="227">
        <f>-Schedules!M24</f>
        <v>-78.200746650145547</v>
      </c>
      <c r="N32" s="227">
        <f>-Schedules!N24</f>
        <v>-78.200746650145547</v>
      </c>
      <c r="O32" s="227">
        <f>-Schedules!O24</f>
        <v>-78.200746650145547</v>
      </c>
      <c r="P32" s="227">
        <f>-Schedules!P24</f>
        <v>-78.200746650145547</v>
      </c>
      <c r="Q32" s="227">
        <f>-Schedules!Q24</f>
        <v>-78.200746650145547</v>
      </c>
      <c r="R32" s="227">
        <f>-Schedules!R24</f>
        <v>-78.200746650145547</v>
      </c>
    </row>
    <row r="33" spans="2:18">
      <c r="B33" s="4" t="s">
        <v>232</v>
      </c>
      <c r="C33" s="5"/>
      <c r="D33" s="177">
        <f>SUM(D29:D32)</f>
        <v>-121.50999999999996</v>
      </c>
      <c r="E33" s="177">
        <f t="shared" ref="E33:H33" si="23">SUM(E29:E32)</f>
        <v>-107.04000000000002</v>
      </c>
      <c r="F33" s="177">
        <f t="shared" si="23"/>
        <v>55.049999999999955</v>
      </c>
      <c r="G33" s="177">
        <f t="shared" si="23"/>
        <v>-116.32</v>
      </c>
      <c r="H33" s="177">
        <f t="shared" si="23"/>
        <v>-99.70999999999998</v>
      </c>
      <c r="I33" s="177">
        <f t="shared" ref="I33" si="24">SUM(I29:I32)</f>
        <v>-253.06727190822625</v>
      </c>
      <c r="J33" s="177">
        <f t="shared" ref="J33" si="25">SUM(J29:J32)</f>
        <v>-294.89700067385974</v>
      </c>
      <c r="K33" s="177">
        <f t="shared" ref="K33" si="26">SUM(K29:K32)</f>
        <v>-347.42513650338719</v>
      </c>
      <c r="L33" s="177">
        <f t="shared" ref="L33" si="27">SUM(L29:L32)</f>
        <v>-413.22348099064789</v>
      </c>
      <c r="M33" s="177">
        <f t="shared" ref="M33" si="28">SUM(M29:M32)</f>
        <v>-496.12970958434482</v>
      </c>
      <c r="N33" s="177">
        <f t="shared" ref="N33" si="29">SUM(N29:N32)</f>
        <v>-770.38591892301838</v>
      </c>
      <c r="O33" s="177">
        <f t="shared" ref="O33" si="30">SUM(O29:O32)</f>
        <v>-932.52018931275416</v>
      </c>
      <c r="P33" s="177">
        <f t="shared" ref="P33" si="31">SUM(P29:P32)</f>
        <v>-1135.2222655956339</v>
      </c>
      <c r="Q33" s="177">
        <f t="shared" ref="Q33" si="32">SUM(Q29:Q32)</f>
        <v>-1389.1444922802425</v>
      </c>
      <c r="R33" s="177">
        <f t="shared" ref="R33" si="33">SUM(R29:R32)</f>
        <v>-1707.7091071922582</v>
      </c>
    </row>
    <row r="34" spans="2:18">
      <c r="B34" s="6"/>
      <c r="D34" s="176"/>
      <c r="E34" s="176"/>
      <c r="F34" s="176"/>
      <c r="G34" s="176"/>
      <c r="H34" s="176"/>
      <c r="I34" s="176"/>
      <c r="J34" s="176"/>
      <c r="K34" s="176"/>
      <c r="L34" s="176"/>
      <c r="M34" s="176"/>
      <c r="N34" s="176"/>
      <c r="O34" s="176"/>
      <c r="P34" s="176"/>
      <c r="Q34" s="176"/>
      <c r="R34" s="176"/>
    </row>
    <row r="35" spans="2:18">
      <c r="B35" s="1" t="s">
        <v>233</v>
      </c>
      <c r="C35" s="1"/>
      <c r="D35" s="179">
        <f>D17+D26+D33</f>
        <v>178.6899999999994</v>
      </c>
      <c r="E35" s="179">
        <f t="shared" ref="E35:I35" si="34">E17+E26+E33</f>
        <v>112.55999999999995</v>
      </c>
      <c r="F35" s="179">
        <f t="shared" si="34"/>
        <v>132.83000000000038</v>
      </c>
      <c r="G35" s="179">
        <f t="shared" si="34"/>
        <v>122.8300000000018</v>
      </c>
      <c r="H35" s="179">
        <f t="shared" si="34"/>
        <v>-165.87999999999874</v>
      </c>
      <c r="I35" s="179">
        <f t="shared" si="34"/>
        <v>207.34671702619033</v>
      </c>
      <c r="J35" s="179">
        <f t="shared" ref="J35:R35" si="35">J17+J26+J33</f>
        <v>141.90965832653103</v>
      </c>
      <c r="K35" s="179">
        <f t="shared" si="35"/>
        <v>151.82379020004521</v>
      </c>
      <c r="L35" s="179">
        <f t="shared" si="35"/>
        <v>160.34256689050608</v>
      </c>
      <c r="M35" s="179">
        <f t="shared" si="35"/>
        <v>165.92031206895865</v>
      </c>
      <c r="N35" s="179">
        <f t="shared" si="35"/>
        <v>572.39150034611248</v>
      </c>
      <c r="O35" s="179">
        <f t="shared" si="35"/>
        <v>1078.9779436220438</v>
      </c>
      <c r="P35" s="179">
        <f t="shared" si="35"/>
        <v>1293.1539962941179</v>
      </c>
      <c r="Q35" s="179">
        <f t="shared" si="35"/>
        <v>1557.1525550380061</v>
      </c>
      <c r="R35" s="179">
        <f t="shared" si="35"/>
        <v>1883.3871613968245</v>
      </c>
    </row>
    <row r="36" spans="2:18">
      <c r="B36" s="1" t="s">
        <v>234</v>
      </c>
      <c r="C36" s="1"/>
      <c r="D36" s="179">
        <f>'Historical Cash Flow'!D77</f>
        <v>269.27999999999997</v>
      </c>
      <c r="E36" s="179">
        <f>D36+D35</f>
        <v>447.96999999999935</v>
      </c>
      <c r="F36" s="179">
        <f t="shared" ref="F36:H36" si="36">E36+E35</f>
        <v>560.52999999999929</v>
      </c>
      <c r="G36" s="179">
        <f t="shared" si="36"/>
        <v>693.35999999999967</v>
      </c>
      <c r="H36" s="179">
        <f t="shared" si="36"/>
        <v>816.19000000000142</v>
      </c>
      <c r="I36" s="179">
        <f t="shared" ref="I36:R36" si="37">H36+H35</f>
        <v>650.31000000000267</v>
      </c>
      <c r="J36" s="179">
        <f t="shared" si="37"/>
        <v>857.65671702619306</v>
      </c>
      <c r="K36" s="179">
        <f t="shared" si="37"/>
        <v>999.56637535272409</v>
      </c>
      <c r="L36" s="179">
        <f t="shared" si="37"/>
        <v>1151.3901655527693</v>
      </c>
      <c r="M36" s="179">
        <f t="shared" si="37"/>
        <v>1311.7327324432754</v>
      </c>
      <c r="N36" s="179">
        <f t="shared" si="37"/>
        <v>1477.6530445122339</v>
      </c>
      <c r="O36" s="179">
        <f t="shared" si="37"/>
        <v>2050.0445448583464</v>
      </c>
      <c r="P36" s="179">
        <f t="shared" si="37"/>
        <v>3129.0224884803902</v>
      </c>
      <c r="Q36" s="179">
        <f t="shared" si="37"/>
        <v>4422.176484774508</v>
      </c>
      <c r="R36" s="179">
        <f t="shared" si="37"/>
        <v>5979.3290398125137</v>
      </c>
    </row>
    <row r="37" spans="2:18">
      <c r="B37" t="s">
        <v>125</v>
      </c>
      <c r="D37" s="224">
        <v>0.18</v>
      </c>
      <c r="E37" s="224">
        <v>-1.63</v>
      </c>
      <c r="F37" s="224">
        <v>-0.64</v>
      </c>
      <c r="G37" s="224">
        <v>-0.89</v>
      </c>
      <c r="H37" s="224">
        <v>-0.52</v>
      </c>
      <c r="I37" s="224">
        <v>-0.52</v>
      </c>
      <c r="J37" s="224">
        <v>-0.52</v>
      </c>
      <c r="K37" s="224">
        <v>-0.52</v>
      </c>
      <c r="L37" s="224">
        <v>-0.52</v>
      </c>
      <c r="M37" s="224">
        <v>-0.52</v>
      </c>
      <c r="N37" s="224">
        <v>-0.52</v>
      </c>
      <c r="O37" s="224">
        <v>-0.52</v>
      </c>
      <c r="P37" s="224">
        <v>-0.52</v>
      </c>
      <c r="Q37" s="224">
        <v>-0.52</v>
      </c>
      <c r="R37" s="224">
        <v>-0.52</v>
      </c>
    </row>
    <row r="38" spans="2:18">
      <c r="B38" s="1"/>
      <c r="D38" s="176"/>
      <c r="E38" s="176"/>
      <c r="F38" s="176"/>
      <c r="G38" s="176"/>
      <c r="H38" s="176"/>
      <c r="I38" s="176"/>
      <c r="J38" s="176"/>
      <c r="K38" s="176"/>
      <c r="L38" s="176"/>
      <c r="M38" s="176"/>
      <c r="N38" s="176"/>
      <c r="O38" s="176"/>
      <c r="P38" s="176"/>
      <c r="Q38" s="176"/>
      <c r="R38" s="176"/>
    </row>
    <row r="39" spans="2:18" ht="15.75" thickBot="1">
      <c r="B39" s="8" t="s">
        <v>235</v>
      </c>
      <c r="C39" s="8"/>
      <c r="D39" s="178">
        <f>SUM(D35:D37)</f>
        <v>448.14999999999935</v>
      </c>
      <c r="E39" s="178">
        <f t="shared" ref="E39:H39" si="38">SUM(E35:E37)</f>
        <v>558.8999999999993</v>
      </c>
      <c r="F39" s="178">
        <f t="shared" si="38"/>
        <v>692.71999999999969</v>
      </c>
      <c r="G39" s="178">
        <f t="shared" si="38"/>
        <v>815.30000000000143</v>
      </c>
      <c r="H39" s="178">
        <f t="shared" si="38"/>
        <v>649.79000000000269</v>
      </c>
      <c r="I39" s="178">
        <f t="shared" ref="I39:R39" si="39">SUM(I35:I37)</f>
        <v>857.13671702619308</v>
      </c>
      <c r="J39" s="178">
        <f t="shared" si="39"/>
        <v>999.04637535272411</v>
      </c>
      <c r="K39" s="178">
        <f t="shared" si="39"/>
        <v>1150.8701655527693</v>
      </c>
      <c r="L39" s="178">
        <f t="shared" si="39"/>
        <v>1311.2127324432754</v>
      </c>
      <c r="M39" s="178">
        <f t="shared" si="39"/>
        <v>1477.1330445122339</v>
      </c>
      <c r="N39" s="178">
        <f t="shared" si="39"/>
        <v>2049.5245448583464</v>
      </c>
      <c r="O39" s="178">
        <f t="shared" si="39"/>
        <v>3128.5024884803902</v>
      </c>
      <c r="P39" s="178">
        <f t="shared" si="39"/>
        <v>4421.6564847745076</v>
      </c>
      <c r="Q39" s="178">
        <f t="shared" si="39"/>
        <v>5978.8090398125132</v>
      </c>
      <c r="R39" s="178">
        <f t="shared" si="39"/>
        <v>7862.1962012093372</v>
      </c>
    </row>
    <row r="41" spans="2:18">
      <c r="D41" s="35"/>
      <c r="E41" s="35"/>
      <c r="F41" s="35"/>
      <c r="G41" s="35"/>
      <c r="H41" s="35"/>
    </row>
    <row r="42" spans="2:18">
      <c r="B42" s="129"/>
      <c r="C42" s="129"/>
      <c r="D42" s="129"/>
      <c r="E42" s="129"/>
      <c r="F42" s="129"/>
      <c r="G42" s="129"/>
      <c r="H42" s="129"/>
      <c r="I42" s="129"/>
      <c r="J42" s="129"/>
      <c r="K42" s="129"/>
      <c r="L42" s="129"/>
      <c r="M42" s="129"/>
      <c r="N42" s="129"/>
      <c r="O42" s="129"/>
      <c r="P42" s="129"/>
      <c r="Q42" s="129"/>
      <c r="R42" s="129"/>
    </row>
    <row r="44" spans="2:18">
      <c r="D44" s="14"/>
      <c r="E44" s="14"/>
      <c r="F44" s="14"/>
      <c r="G44" s="14"/>
      <c r="H44" s="1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0:R33"/>
  <sheetViews>
    <sheetView showGridLines="0" topLeftCell="A9" workbookViewId="0">
      <selection activeCell="I18" sqref="I18"/>
    </sheetView>
  </sheetViews>
  <sheetFormatPr defaultRowHeight="15"/>
  <cols>
    <col min="1" max="1" width="1.85546875" customWidth="1"/>
    <col min="2" max="2" width="26.85546875" bestFit="1" customWidth="1"/>
    <col min="4" max="8" width="9.28515625" bestFit="1" customWidth="1"/>
    <col min="9" max="9" width="7.140625" bestFit="1" customWidth="1"/>
    <col min="10" max="13" width="9.28515625" bestFit="1" customWidth="1"/>
    <col min="14" max="18" width="7.140625" bestFit="1" customWidth="1"/>
  </cols>
  <sheetData>
    <row r="10" spans="2:18">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row>
    <row r="11" spans="2:18">
      <c r="D11" s="244"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2" spans="2:18">
      <c r="B12" s="54" t="s">
        <v>161</v>
      </c>
    </row>
    <row r="13" spans="2:18" ht="3" customHeight="1"/>
    <row r="14" spans="2:18">
      <c r="B14" s="45" t="s">
        <v>162</v>
      </c>
      <c r="C14" s="45"/>
      <c r="D14" s="232"/>
      <c r="E14" s="233">
        <f>D17</f>
        <v>607.66000000000008</v>
      </c>
      <c r="F14" s="233">
        <f t="shared" ref="F14:H14" si="1">E17</f>
        <v>636.73</v>
      </c>
      <c r="G14" s="233">
        <f t="shared" si="1"/>
        <v>821.13000000000011</v>
      </c>
      <c r="H14" s="233">
        <f t="shared" si="1"/>
        <v>1081.8500000000001</v>
      </c>
      <c r="I14" s="232">
        <f t="shared" ref="I14:R14" si="2">H17</f>
        <v>1190.5100000000002</v>
      </c>
      <c r="J14" s="232">
        <f t="shared" si="2"/>
        <v>1394.5449903486167</v>
      </c>
      <c r="K14" s="232">
        <f t="shared" si="2"/>
        <v>1654.5803886156752</v>
      </c>
      <c r="L14" s="232">
        <f t="shared" si="2"/>
        <v>1988.2239638305646</v>
      </c>
      <c r="M14" s="232">
        <f t="shared" si="2"/>
        <v>2413.7595247096938</v>
      </c>
      <c r="N14" s="232">
        <f t="shared" si="2"/>
        <v>2955.6438047172883</v>
      </c>
      <c r="O14" s="232">
        <f t="shared" si="2"/>
        <v>3550.0644303926738</v>
      </c>
      <c r="P14" s="232">
        <f t="shared" si="2"/>
        <v>4294.5323213596321</v>
      </c>
      <c r="Q14" s="232">
        <f t="shared" si="2"/>
        <v>5225.5465345068214</v>
      </c>
      <c r="R14" s="232">
        <f t="shared" si="2"/>
        <v>6389.5290571327259</v>
      </c>
    </row>
    <row r="15" spans="2:18">
      <c r="B15" t="s">
        <v>163</v>
      </c>
      <c r="D15" s="176"/>
      <c r="E15" s="227">
        <f>E17-E14-E16</f>
        <v>66.329999999999927</v>
      </c>
      <c r="F15" s="227">
        <f t="shared" ref="F15:G15" si="3">F17-F14-F16</f>
        <v>224.0200000000001</v>
      </c>
      <c r="G15" s="227">
        <f t="shared" si="3"/>
        <v>308.31000000000006</v>
      </c>
      <c r="H15" s="227">
        <f>H17-H14-H16</f>
        <v>170.44000000000008</v>
      </c>
      <c r="I15" s="176">
        <f>('Revenue Build Up'!I13-'Revenue Build Up'!H13)/Schedules!I30</f>
        <v>275.05009111591096</v>
      </c>
      <c r="J15" s="176">
        <f>('Revenue Build Up'!J13-'Revenue Build Up'!I13)/Schedules!J30</f>
        <v>342.64049290377079</v>
      </c>
      <c r="K15" s="176">
        <f>('Revenue Build Up'!K13-'Revenue Build Up'!J13)/Schedules!K30</f>
        <v>430.41503262722631</v>
      </c>
      <c r="L15" s="176">
        <f>('Revenue Build Up'!L13-'Revenue Build Up'!K13)/Schedules!L30</f>
        <v>542.0844169710623</v>
      </c>
      <c r="M15" s="176">
        <f>('Revenue Build Up'!M13-'Revenue Build Up'!L13)/Schedules!M30</f>
        <v>684.29127806035592</v>
      </c>
      <c r="N15" s="176">
        <f>('Revenue Build Up'!N13-'Revenue Build Up'!M13)/Schedules!N30</f>
        <v>768.31521783076084</v>
      </c>
      <c r="O15" s="176">
        <f>('Revenue Build Up'!O13-'Revenue Build Up'!N13)/Schedules!O30</f>
        <v>952.98035270307321</v>
      </c>
      <c r="P15" s="176">
        <f>('Revenue Build Up'!P13-'Revenue Build Up'!O13)/Schedules!P30</f>
        <v>1183.5189549958595</v>
      </c>
      <c r="Q15" s="176">
        <f>('Revenue Build Up'!Q13-'Revenue Build Up'!P13)/Schedules!Q30</f>
        <v>1471.4594288226901</v>
      </c>
      <c r="R15" s="176">
        <f>('Revenue Build Up'!R13-'Revenue Build Up'!Q13)/Schedules!R30</f>
        <v>1831.2454306178668</v>
      </c>
    </row>
    <row r="16" spans="2:18">
      <c r="B16" t="s">
        <v>164</v>
      </c>
      <c r="D16" s="176"/>
      <c r="E16" s="227">
        <f>-'Historical P&amp;L'!E21</f>
        <v>-37.26</v>
      </c>
      <c r="F16" s="227">
        <f>-'Historical P&amp;L'!F21</f>
        <v>-39.619999999999997</v>
      </c>
      <c r="G16" s="227">
        <f>-'Historical P&amp;L'!G21</f>
        <v>-47.59</v>
      </c>
      <c r="H16" s="227">
        <f>-'Historical P&amp;L'!H21</f>
        <v>-61.78</v>
      </c>
      <c r="I16" s="176">
        <f>-I28*I14</f>
        <v>-71.015100767294513</v>
      </c>
      <c r="J16" s="176">
        <f t="shared" ref="J16:R16" si="4">-J28*J14</f>
        <v>-82.605094636712323</v>
      </c>
      <c r="K16" s="176">
        <f t="shared" si="4"/>
        <v>-96.771457412337099</v>
      </c>
      <c r="L16" s="176">
        <f t="shared" si="4"/>
        <v>-116.54885609193298</v>
      </c>
      <c r="M16" s="176">
        <f t="shared" si="4"/>
        <v>-142.40699805276171</v>
      </c>
      <c r="N16" s="176">
        <f t="shared" si="4"/>
        <v>-173.89459215537553</v>
      </c>
      <c r="O16" s="176">
        <f t="shared" si="4"/>
        <v>-208.51246173611568</v>
      </c>
      <c r="P16" s="176">
        <f t="shared" si="4"/>
        <v>-252.50474184867053</v>
      </c>
      <c r="Q16" s="176">
        <f t="shared" si="4"/>
        <v>-307.47690619678531</v>
      </c>
      <c r="R16" s="176">
        <f t="shared" si="4"/>
        <v>-375.71627992490068</v>
      </c>
    </row>
    <row r="17" spans="2:18" ht="15.75" thickBot="1">
      <c r="B17" s="8" t="s">
        <v>165</v>
      </c>
      <c r="C17" s="8"/>
      <c r="D17" s="234">
        <f>SUM('Historical B_sheet'!D14:D16,'Historical B_sheet'!D18:D20)</f>
        <v>607.66000000000008</v>
      </c>
      <c r="E17" s="234">
        <f>SUM('Historical B_sheet'!E14:E16,'Historical B_sheet'!E18:E20)</f>
        <v>636.73</v>
      </c>
      <c r="F17" s="234">
        <f>SUM('Historical B_sheet'!F14:F16,'Historical B_sheet'!F18:F20)</f>
        <v>821.13000000000011</v>
      </c>
      <c r="G17" s="234">
        <f>SUM('Historical B_sheet'!G14:G16,'Historical B_sheet'!G18:G20)</f>
        <v>1081.8500000000001</v>
      </c>
      <c r="H17" s="234">
        <f>SUM('Historical B_sheet'!H14:H16,'Historical B_sheet'!H18:H20)</f>
        <v>1190.5100000000002</v>
      </c>
      <c r="I17" s="178">
        <f>I14+I15+I16</f>
        <v>1394.5449903486167</v>
      </c>
      <c r="J17" s="178">
        <f t="shared" ref="J17:R17" si="5">J14+J15+J16</f>
        <v>1654.5803886156752</v>
      </c>
      <c r="K17" s="178">
        <f t="shared" si="5"/>
        <v>1988.2239638305646</v>
      </c>
      <c r="L17" s="178">
        <f t="shared" si="5"/>
        <v>2413.7595247096938</v>
      </c>
      <c r="M17" s="178">
        <f t="shared" si="5"/>
        <v>2955.6438047172883</v>
      </c>
      <c r="N17" s="178">
        <f t="shared" si="5"/>
        <v>3550.0644303926738</v>
      </c>
      <c r="O17" s="178">
        <f t="shared" si="5"/>
        <v>4294.5323213596321</v>
      </c>
      <c r="P17" s="178">
        <f t="shared" si="5"/>
        <v>5225.5465345068214</v>
      </c>
      <c r="Q17" s="178">
        <f t="shared" si="5"/>
        <v>6389.5290571327259</v>
      </c>
      <c r="R17" s="178">
        <f t="shared" si="5"/>
        <v>7845.0582078256912</v>
      </c>
    </row>
    <row r="18" spans="2:18">
      <c r="D18" s="176"/>
      <c r="E18" s="176"/>
      <c r="F18" s="176"/>
      <c r="G18" s="176"/>
      <c r="H18" s="176"/>
      <c r="I18" s="176"/>
      <c r="J18" s="176"/>
      <c r="K18" s="176"/>
      <c r="L18" s="176"/>
      <c r="M18" s="176"/>
      <c r="N18" s="176"/>
      <c r="O18" s="176"/>
      <c r="P18" s="176"/>
      <c r="Q18" s="176"/>
      <c r="R18" s="176"/>
    </row>
    <row r="19" spans="2:18">
      <c r="B19" s="1" t="s">
        <v>170</v>
      </c>
      <c r="D19" s="176"/>
      <c r="E19" s="176"/>
      <c r="F19" s="176"/>
      <c r="G19" s="176"/>
      <c r="H19" s="176"/>
      <c r="I19" s="176"/>
      <c r="J19" s="176"/>
      <c r="K19" s="176"/>
      <c r="L19" s="176"/>
      <c r="M19" s="176"/>
      <c r="N19" s="176"/>
      <c r="O19" s="176"/>
      <c r="P19" s="176"/>
      <c r="Q19" s="176"/>
      <c r="R19" s="176"/>
    </row>
    <row r="20" spans="2:18" ht="4.5" customHeight="1">
      <c r="B20" s="1"/>
      <c r="D20" s="176"/>
      <c r="E20" s="176"/>
      <c r="F20" s="176"/>
      <c r="G20" s="176"/>
      <c r="H20" s="176"/>
      <c r="I20" s="176"/>
      <c r="J20" s="176"/>
      <c r="K20" s="176"/>
      <c r="L20" s="176"/>
      <c r="M20" s="176"/>
      <c r="N20" s="176"/>
      <c r="O20" s="176"/>
      <c r="P20" s="176"/>
      <c r="Q20" s="176"/>
      <c r="R20" s="176"/>
    </row>
    <row r="21" spans="2:18">
      <c r="B21" s="45" t="s">
        <v>166</v>
      </c>
      <c r="C21" s="45"/>
      <c r="D21" s="232"/>
      <c r="E21" s="232">
        <f>D23</f>
        <v>260.61</v>
      </c>
      <c r="F21" s="232">
        <f t="shared" ref="F21:R21" si="6">E23</f>
        <v>360.83</v>
      </c>
      <c r="G21" s="232">
        <f t="shared" si="6"/>
        <v>650.58000000000004</v>
      </c>
      <c r="H21" s="232">
        <f t="shared" si="6"/>
        <v>743.63</v>
      </c>
      <c r="I21" s="232">
        <f t="shared" si="6"/>
        <v>891.97</v>
      </c>
      <c r="J21" s="232">
        <f t="shared" si="6"/>
        <v>891.97</v>
      </c>
      <c r="K21" s="232">
        <f t="shared" si="6"/>
        <v>891.97</v>
      </c>
      <c r="L21" s="232">
        <f t="shared" si="6"/>
        <v>891.97</v>
      </c>
      <c r="M21" s="232">
        <f t="shared" si="6"/>
        <v>891.97</v>
      </c>
      <c r="N21" s="232">
        <f t="shared" si="6"/>
        <v>891.97</v>
      </c>
      <c r="O21" s="232">
        <f t="shared" si="6"/>
        <v>891.97</v>
      </c>
      <c r="P21" s="232">
        <f t="shared" si="6"/>
        <v>891.97</v>
      </c>
      <c r="Q21" s="232">
        <f t="shared" si="6"/>
        <v>891.97</v>
      </c>
      <c r="R21" s="232">
        <f t="shared" si="6"/>
        <v>891.97</v>
      </c>
    </row>
    <row r="22" spans="2:18">
      <c r="B22" t="s">
        <v>167</v>
      </c>
      <c r="D22" s="176"/>
      <c r="E22" s="176">
        <f>E23-E21</f>
        <v>100.21999999999997</v>
      </c>
      <c r="F22" s="176">
        <f t="shared" ref="F22:H22" si="7">F23-F21</f>
        <v>289.75000000000006</v>
      </c>
      <c r="G22" s="176">
        <f t="shared" si="7"/>
        <v>93.049999999999955</v>
      </c>
      <c r="H22" s="176">
        <f t="shared" si="7"/>
        <v>148.34000000000003</v>
      </c>
      <c r="I22" s="176">
        <v>0</v>
      </c>
      <c r="J22" s="176">
        <v>0</v>
      </c>
      <c r="K22" s="176">
        <v>0</v>
      </c>
      <c r="L22" s="176">
        <v>0</v>
      </c>
      <c r="M22" s="176">
        <v>0</v>
      </c>
      <c r="N22" s="176">
        <v>0</v>
      </c>
      <c r="O22" s="176">
        <v>0</v>
      </c>
      <c r="P22" s="176">
        <v>0</v>
      </c>
      <c r="Q22" s="176">
        <v>0</v>
      </c>
      <c r="R22" s="176">
        <v>0</v>
      </c>
    </row>
    <row r="23" spans="2:18">
      <c r="B23" s="16" t="s">
        <v>168</v>
      </c>
      <c r="C23" s="16"/>
      <c r="D23" s="235">
        <f>'Historical B_sheet'!D59+'Historical B_sheet'!D60+'Historical B_sheet'!D71+'Historical B_sheet'!D72</f>
        <v>260.61</v>
      </c>
      <c r="E23" s="235">
        <f>'Historical B_sheet'!E59+'Historical B_sheet'!E60+'Historical B_sheet'!E71+'Historical B_sheet'!E72</f>
        <v>360.83</v>
      </c>
      <c r="F23" s="235">
        <f>'Historical B_sheet'!F59+'Historical B_sheet'!F60+'Historical B_sheet'!F71+'Historical B_sheet'!F72</f>
        <v>650.58000000000004</v>
      </c>
      <c r="G23" s="235">
        <f>'Historical B_sheet'!G59+'Historical B_sheet'!G60+'Historical B_sheet'!G71+'Historical B_sheet'!G72</f>
        <v>743.63</v>
      </c>
      <c r="H23" s="235">
        <f>'Historical B_sheet'!H59+'Historical B_sheet'!H60+'Historical B_sheet'!H71+'Historical B_sheet'!H72</f>
        <v>891.97</v>
      </c>
      <c r="I23" s="226">
        <f>SUM(I21:I22)</f>
        <v>891.97</v>
      </c>
      <c r="J23" s="226">
        <f t="shared" ref="J23:R23" si="8">SUM(J21:J22)</f>
        <v>891.97</v>
      </c>
      <c r="K23" s="226">
        <f t="shared" si="8"/>
        <v>891.97</v>
      </c>
      <c r="L23" s="226">
        <f t="shared" si="8"/>
        <v>891.97</v>
      </c>
      <c r="M23" s="226">
        <f t="shared" si="8"/>
        <v>891.97</v>
      </c>
      <c r="N23" s="226">
        <f t="shared" si="8"/>
        <v>891.97</v>
      </c>
      <c r="O23" s="226">
        <f t="shared" si="8"/>
        <v>891.97</v>
      </c>
      <c r="P23" s="226">
        <f t="shared" si="8"/>
        <v>891.97</v>
      </c>
      <c r="Q23" s="226">
        <f t="shared" si="8"/>
        <v>891.97</v>
      </c>
      <c r="R23" s="226">
        <f t="shared" si="8"/>
        <v>891.97</v>
      </c>
    </row>
    <row r="24" spans="2:18" ht="15.75" thickBot="1">
      <c r="B24" s="8" t="s">
        <v>169</v>
      </c>
      <c r="C24" s="8"/>
      <c r="D24" s="234">
        <f>'Historical P&amp;L'!D20</f>
        <v>26.15</v>
      </c>
      <c r="E24" s="234">
        <f>'Historical P&amp;L'!E20</f>
        <v>25.87</v>
      </c>
      <c r="F24" s="234">
        <f>'Historical P&amp;L'!F20</f>
        <v>29.59</v>
      </c>
      <c r="G24" s="234">
        <f>'Historical P&amp;L'!G20</f>
        <v>55.88</v>
      </c>
      <c r="H24" s="234">
        <f>'Historical P&amp;L'!H20</f>
        <v>62.11</v>
      </c>
      <c r="I24" s="178">
        <f>I21*I26</f>
        <v>78.200746650145547</v>
      </c>
      <c r="J24" s="178">
        <f t="shared" ref="J24:R24" si="9">J21*J26</f>
        <v>78.200746650145547</v>
      </c>
      <c r="K24" s="178">
        <f t="shared" si="9"/>
        <v>78.200746650145547</v>
      </c>
      <c r="L24" s="178">
        <f t="shared" si="9"/>
        <v>78.200746650145547</v>
      </c>
      <c r="M24" s="178">
        <f t="shared" si="9"/>
        <v>78.200746650145547</v>
      </c>
      <c r="N24" s="178">
        <f t="shared" si="9"/>
        <v>78.200746650145547</v>
      </c>
      <c r="O24" s="178">
        <f t="shared" si="9"/>
        <v>78.200746650145547</v>
      </c>
      <c r="P24" s="178">
        <f t="shared" si="9"/>
        <v>78.200746650145547</v>
      </c>
      <c r="Q24" s="178">
        <f t="shared" si="9"/>
        <v>78.200746650145547</v>
      </c>
      <c r="R24" s="178">
        <f t="shared" si="9"/>
        <v>78.200746650145547</v>
      </c>
    </row>
    <row r="26" spans="2:18" ht="15.75" thickBot="1">
      <c r="B26" s="8" t="s">
        <v>173</v>
      </c>
      <c r="C26" s="8"/>
      <c r="D26" s="8"/>
      <c r="E26" s="55">
        <f>'Historical P&amp;L'!E20/Schedules!E21</f>
        <v>9.9267104101914735E-2</v>
      </c>
      <c r="F26" s="55">
        <f>'Historical P&amp;L'!F20/Schedules!F21</f>
        <v>8.2005376493085383E-2</v>
      </c>
      <c r="G26" s="55">
        <f>'Historical P&amp;L'!G20/Schedules!G21</f>
        <v>8.5892588152110427E-2</v>
      </c>
      <c r="H26" s="55">
        <f>'Historical P&amp;L'!H20/Schedules!H21</f>
        <v>8.3522719632075096E-2</v>
      </c>
      <c r="I26" s="56">
        <f>AVERAGE(E26:H26)</f>
        <v>8.7671947094796407E-2</v>
      </c>
      <c r="J26" s="56">
        <f>I26</f>
        <v>8.7671947094796407E-2</v>
      </c>
      <c r="K26" s="56">
        <f t="shared" ref="K26:R26" si="10">J26</f>
        <v>8.7671947094796407E-2</v>
      </c>
      <c r="L26" s="56">
        <f t="shared" si="10"/>
        <v>8.7671947094796407E-2</v>
      </c>
      <c r="M26" s="56">
        <f t="shared" si="10"/>
        <v>8.7671947094796407E-2</v>
      </c>
      <c r="N26" s="56">
        <f t="shared" si="10"/>
        <v>8.7671947094796407E-2</v>
      </c>
      <c r="O26" s="56">
        <f t="shared" si="10"/>
        <v>8.7671947094796407E-2</v>
      </c>
      <c r="P26" s="56">
        <f t="shared" si="10"/>
        <v>8.7671947094796407E-2</v>
      </c>
      <c r="Q26" s="56">
        <f t="shared" si="10"/>
        <v>8.7671947094796407E-2</v>
      </c>
      <c r="R26" s="56">
        <f t="shared" si="10"/>
        <v>8.7671947094796407E-2</v>
      </c>
    </row>
    <row r="27" spans="2:18">
      <c r="B27" s="14"/>
      <c r="C27" s="14"/>
      <c r="D27" s="14"/>
      <c r="E27" s="14"/>
      <c r="F27" s="14"/>
      <c r="G27" s="14"/>
      <c r="H27" s="14"/>
      <c r="I27" s="14"/>
      <c r="J27" s="14"/>
      <c r="K27" s="14"/>
      <c r="L27" s="14"/>
      <c r="M27" s="14"/>
      <c r="N27" s="14"/>
      <c r="O27" s="14"/>
      <c r="P27" s="14"/>
      <c r="Q27" s="14"/>
      <c r="R27" s="14"/>
    </row>
    <row r="28" spans="2:18" ht="15.75" thickBot="1">
      <c r="B28" s="8" t="s">
        <v>171</v>
      </c>
      <c r="C28" s="8"/>
      <c r="D28" s="8"/>
      <c r="E28" s="55">
        <f>'Historical P&amp;L'!E21/Schedules!E14</f>
        <v>6.1317183951551842E-2</v>
      </c>
      <c r="F28" s="55">
        <f>'Historical P&amp;L'!F21/Schedules!F14</f>
        <v>6.2224176652584291E-2</v>
      </c>
      <c r="G28" s="55">
        <f>'Historical P&amp;L'!G21/Schedules!G14</f>
        <v>5.7956718181043192E-2</v>
      </c>
      <c r="H28" s="55">
        <f>'Historical P&amp;L'!H21/Schedules!H14</f>
        <v>5.7105883440403009E-2</v>
      </c>
      <c r="I28" s="56">
        <f>AVERAGE(E28:H28)</f>
        <v>5.9650990556395583E-2</v>
      </c>
      <c r="J28" s="56">
        <f t="shared" ref="J28:R28" si="11">AVERAGE(F28:I28)</f>
        <v>5.9234442207606521E-2</v>
      </c>
      <c r="K28" s="56">
        <f t="shared" si="11"/>
        <v>5.8487008596362071E-2</v>
      </c>
      <c r="L28" s="56">
        <f t="shared" si="11"/>
        <v>5.8619581200191798E-2</v>
      </c>
      <c r="M28" s="56">
        <f t="shared" si="11"/>
        <v>5.899800564013899E-2</v>
      </c>
      <c r="N28" s="56">
        <f t="shared" si="11"/>
        <v>5.8834759411074848E-2</v>
      </c>
      <c r="O28" s="56">
        <f t="shared" si="11"/>
        <v>5.8734838711941927E-2</v>
      </c>
      <c r="P28" s="56">
        <f t="shared" si="11"/>
        <v>5.879679624083689E-2</v>
      </c>
      <c r="Q28" s="56">
        <f t="shared" si="11"/>
        <v>5.8841100000998167E-2</v>
      </c>
      <c r="R28" s="56">
        <f t="shared" si="11"/>
        <v>5.8801873591212958E-2</v>
      </c>
    </row>
    <row r="29" spans="2:18">
      <c r="B29" s="14"/>
      <c r="C29" s="14"/>
      <c r="D29" s="14"/>
      <c r="E29" s="14"/>
      <c r="F29" s="14"/>
      <c r="G29" s="14"/>
      <c r="H29" s="14"/>
      <c r="I29" s="14"/>
      <c r="J29" s="14"/>
      <c r="K29" s="14"/>
      <c r="L29" s="14"/>
      <c r="M29" s="14"/>
      <c r="N29" s="14"/>
      <c r="O29" s="14"/>
      <c r="P29" s="14"/>
      <c r="Q29" s="14"/>
      <c r="R29" s="14"/>
    </row>
    <row r="30" spans="2:18" ht="15.75" thickBot="1">
      <c r="B30" s="8" t="s">
        <v>172</v>
      </c>
      <c r="C30" s="8"/>
      <c r="D30" s="57">
        <f>'Revenue Build Up'!D13/Schedules!D17</f>
        <v>12.434223085277949</v>
      </c>
      <c r="E30" s="57">
        <f>'Revenue Build Up'!E13/Schedules!E17</f>
        <v>12.461247310476967</v>
      </c>
      <c r="F30" s="57">
        <f>'Revenue Build Up'!F13/Schedules!F17</f>
        <v>11.56792468914788</v>
      </c>
      <c r="G30" s="57">
        <f>'Revenue Build Up'!G13/Schedules!G17</f>
        <v>11.53691362018764</v>
      </c>
      <c r="H30" s="57">
        <f>'Revenue Build Up'!H13/Schedules!H17</f>
        <v>12.946375922923787</v>
      </c>
      <c r="I30" s="57">
        <f>H30+0.25</f>
        <v>13.196375922923787</v>
      </c>
      <c r="J30" s="57">
        <f t="shared" ref="J30:R30" si="12">I30+0.25</f>
        <v>13.446375922923787</v>
      </c>
      <c r="K30" s="57">
        <f t="shared" si="12"/>
        <v>13.696375922923787</v>
      </c>
      <c r="L30" s="57">
        <f t="shared" si="12"/>
        <v>13.946375922923787</v>
      </c>
      <c r="M30" s="57">
        <f t="shared" si="12"/>
        <v>14.196375922923787</v>
      </c>
      <c r="N30" s="57">
        <f t="shared" si="12"/>
        <v>14.446375922923787</v>
      </c>
      <c r="O30" s="57">
        <f t="shared" si="12"/>
        <v>14.696375922923787</v>
      </c>
      <c r="P30" s="57">
        <f t="shared" si="12"/>
        <v>14.946375922923787</v>
      </c>
      <c r="Q30" s="57">
        <f t="shared" si="12"/>
        <v>15.196375922923787</v>
      </c>
      <c r="R30" s="57">
        <f t="shared" si="12"/>
        <v>15.446375922923787</v>
      </c>
    </row>
    <row r="33" spans="2:18">
      <c r="B33" s="129"/>
      <c r="C33" s="129"/>
      <c r="D33" s="129"/>
      <c r="E33" s="129"/>
      <c r="F33" s="129"/>
      <c r="G33" s="129"/>
      <c r="H33" s="129"/>
      <c r="I33" s="129"/>
      <c r="J33" s="129"/>
      <c r="K33" s="129"/>
      <c r="L33" s="129"/>
      <c r="M33" s="129"/>
      <c r="N33" s="129"/>
      <c r="O33" s="129"/>
      <c r="P33" s="129"/>
      <c r="Q33" s="129"/>
      <c r="R33" s="129"/>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0:R34"/>
  <sheetViews>
    <sheetView showGridLines="0" topLeftCell="A9" workbookViewId="0">
      <selection activeCell="O23" sqref="O23"/>
    </sheetView>
  </sheetViews>
  <sheetFormatPr defaultRowHeight="15"/>
  <cols>
    <col min="1" max="1" width="1.85546875" customWidth="1"/>
    <col min="2" max="2" width="20" bestFit="1" customWidth="1"/>
  </cols>
  <sheetData>
    <row r="10" spans="2:18">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row>
    <row r="11" spans="2:18">
      <c r="D11" s="244"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2" spans="2:18">
      <c r="B12" s="53" t="s">
        <v>174</v>
      </c>
      <c r="C12" s="53"/>
      <c r="D12" s="53">
        <v>365</v>
      </c>
      <c r="E12" s="53">
        <f>D12</f>
        <v>365</v>
      </c>
      <c r="F12" s="53">
        <f t="shared" ref="F12:R12" si="1">E12</f>
        <v>365</v>
      </c>
      <c r="G12" s="53">
        <f t="shared" si="1"/>
        <v>365</v>
      </c>
      <c r="H12" s="53">
        <f t="shared" si="1"/>
        <v>365</v>
      </c>
      <c r="I12" s="53">
        <f t="shared" si="1"/>
        <v>365</v>
      </c>
      <c r="J12" s="53">
        <f t="shared" si="1"/>
        <v>365</v>
      </c>
      <c r="K12" s="53">
        <f t="shared" si="1"/>
        <v>365</v>
      </c>
      <c r="L12" s="53">
        <f t="shared" si="1"/>
        <v>365</v>
      </c>
      <c r="M12" s="53">
        <f t="shared" si="1"/>
        <v>365</v>
      </c>
      <c r="N12" s="53">
        <f t="shared" si="1"/>
        <v>365</v>
      </c>
      <c r="O12" s="53">
        <f t="shared" si="1"/>
        <v>365</v>
      </c>
      <c r="P12" s="53">
        <f t="shared" si="1"/>
        <v>365</v>
      </c>
      <c r="Q12" s="53">
        <f t="shared" si="1"/>
        <v>365</v>
      </c>
      <c r="R12" s="53">
        <f t="shared" si="1"/>
        <v>365</v>
      </c>
    </row>
    <row r="14" spans="2:18">
      <c r="B14" t="s">
        <v>175</v>
      </c>
      <c r="D14" s="227">
        <f>'Historical B_sheet'!D32</f>
        <v>1279.5999999999999</v>
      </c>
      <c r="E14" s="227">
        <f>'Historical B_sheet'!E32</f>
        <v>1661.39</v>
      </c>
      <c r="F14" s="227">
        <f>'Historical B_sheet'!F32</f>
        <v>1591.97</v>
      </c>
      <c r="G14" s="227">
        <f>'Historical B_sheet'!G32</f>
        <v>2135.38</v>
      </c>
      <c r="H14" s="227">
        <f>'Historical B_sheet'!H32</f>
        <v>2714.81</v>
      </c>
      <c r="I14" s="176">
        <f>I21*'Cost Build Up'!I22/'Working capital'!I12</f>
        <v>3435.3750669686879</v>
      </c>
      <c r="J14" s="176">
        <f>J21*'Cost Build Up'!J22/'Working capital'!J12</f>
        <v>4266.5552302810793</v>
      </c>
      <c r="K14" s="176">
        <f>K21*'Cost Build Up'!K22/'Working capital'!K12</f>
        <v>5330.0719786961063</v>
      </c>
      <c r="L14" s="176">
        <f>L21*'Cost Build Up'!L22/'Working capital'!L12</f>
        <v>6693.9625448907764</v>
      </c>
      <c r="M14" s="176">
        <f>M21*'Cost Build Up'!M22/'Working capital'!M12</f>
        <v>8446.509774386057</v>
      </c>
      <c r="N14" s="176">
        <f>N21*'Cost Build Up'!N22/'Working capital'!N12</f>
        <v>9906.1037832111087</v>
      </c>
      <c r="O14" s="176">
        <f>O21*'Cost Build Up'!O22/'Working capital'!O12</f>
        <v>12301.501158795072</v>
      </c>
      <c r="P14" s="176">
        <f>P21*'Cost Build Up'!P22/'Working capital'!P12</f>
        <v>15326.982571006209</v>
      </c>
      <c r="Q14" s="176">
        <f>Q21*'Cost Build Up'!Q22/'Working capital'!Q12</f>
        <v>19151.456376014779</v>
      </c>
      <c r="R14" s="176">
        <f>R21*'Cost Build Up'!R22/'Working capital'!R12</f>
        <v>23989.352332512855</v>
      </c>
    </row>
    <row r="15" spans="2:18">
      <c r="B15" t="s">
        <v>176</v>
      </c>
      <c r="D15" s="227">
        <f>'Historical B_sheet'!D36</f>
        <v>1800.93</v>
      </c>
      <c r="E15" s="227">
        <f>'Historical B_sheet'!E36</f>
        <v>2109.67</v>
      </c>
      <c r="F15" s="227">
        <f>'Historical B_sheet'!F36</f>
        <v>2191.85</v>
      </c>
      <c r="G15" s="227">
        <f>'Historical B_sheet'!G36</f>
        <v>2400.31</v>
      </c>
      <c r="H15" s="227">
        <f>'Historical B_sheet'!H36</f>
        <v>2511.4699999999998</v>
      </c>
      <c r="I15" s="176">
        <f>I22*'Cost Build Up'!I13/'Working capital'!I12</f>
        <v>4152.20953674873</v>
      </c>
      <c r="J15" s="176">
        <f>J22*'Cost Build Up'!J13/'Working capital'!J12</f>
        <v>5156.8259566691859</v>
      </c>
      <c r="K15" s="176">
        <f>K22*'Cost Build Up'!K13/'Working capital'!K12</f>
        <v>6442.2589295403013</v>
      </c>
      <c r="L15" s="176">
        <f>L22*'Cost Build Up'!L13/'Working capital'!L12</f>
        <v>8090.7425173984993</v>
      </c>
      <c r="M15" s="176">
        <f>M22*'Cost Build Up'!M13/'Working capital'!M12</f>
        <v>10208.980898377931</v>
      </c>
      <c r="N15" s="176">
        <f>N22*'Cost Build Up'!N13/'Working capital'!N12</f>
        <v>12629.200000642717</v>
      </c>
      <c r="O15" s="176">
        <f>O22*'Cost Build Up'!O13/'Working capital'!O12</f>
        <v>15683.069937734999</v>
      </c>
      <c r="P15" s="176">
        <f>P22*'Cost Build Up'!P13/'Working capital'!P12</f>
        <v>19540.228179686677</v>
      </c>
      <c r="Q15" s="176">
        <f>Q22*'Cost Build Up'!Q13/'Working capital'!Q12</f>
        <v>24416.014425993864</v>
      </c>
      <c r="R15" s="176">
        <f>R22*'Cost Build Up'!R13/'Working capital'!R12</f>
        <v>30583.803190782019</v>
      </c>
    </row>
    <row r="16" spans="2:18">
      <c r="B16" t="s">
        <v>68</v>
      </c>
      <c r="D16" s="227">
        <f>'Historical B_sheet'!D73</f>
        <v>2464.5300000000002</v>
      </c>
      <c r="E16" s="227">
        <f>'Historical B_sheet'!E73</f>
        <v>2942.05</v>
      </c>
      <c r="F16" s="227">
        <f>'Historical B_sheet'!F73</f>
        <v>3012.63</v>
      </c>
      <c r="G16" s="227">
        <f>'Historical B_sheet'!G73</f>
        <v>3775.45</v>
      </c>
      <c r="H16" s="227">
        <f>'Historical B_sheet'!H73</f>
        <v>3892.81</v>
      </c>
      <c r="I16" s="176">
        <f>I23*'Cost Build Up'!I22/'Working capital'!I12</f>
        <v>6038.7383257051506</v>
      </c>
      <c r="J16" s="176">
        <f>J23*'Cost Build Up'!J22/'Working capital'!J12</f>
        <v>7499.79553486436</v>
      </c>
      <c r="K16" s="176">
        <f>K23*'Cost Build Up'!K22/'Working capital'!K12</f>
        <v>9369.2564302506871</v>
      </c>
      <c r="L16" s="176">
        <f>L23*'Cost Build Up'!L22/'Working capital'!L12</f>
        <v>11766.71757309321</v>
      </c>
      <c r="M16" s="176">
        <f>M23*'Cost Build Up'!M22/'Working capital'!M12</f>
        <v>14847.363475230446</v>
      </c>
      <c r="N16" s="176">
        <f>N23*'Cost Build Up'!N22/'Working capital'!N12</f>
        <v>17413.053133343634</v>
      </c>
      <c r="O16" s="176">
        <f>O23*'Cost Build Up'!O22/'Working capital'!O12</f>
        <v>21623.707765006959</v>
      </c>
      <c r="P16" s="176">
        <f>P23*'Cost Build Up'!P22/'Working capital'!P12</f>
        <v>26941.930725083668</v>
      </c>
      <c r="Q16" s="176">
        <f>Q23*'Cost Build Up'!Q22/'Working capital'!Q12</f>
        <v>33664.630893697067</v>
      </c>
      <c r="R16" s="176">
        <f>R23*'Cost Build Up'!R22/'Working capital'!R12</f>
        <v>42168.735149788532</v>
      </c>
    </row>
    <row r="17" spans="2:18" ht="15.75" thickBot="1">
      <c r="B17" s="8" t="s">
        <v>177</v>
      </c>
      <c r="C17" s="8"/>
      <c r="D17" s="178">
        <f>D14+D15-D16</f>
        <v>615.99999999999955</v>
      </c>
      <c r="E17" s="178">
        <f t="shared" ref="E17:R17" si="2">E14+E15-E16</f>
        <v>829.01000000000022</v>
      </c>
      <c r="F17" s="178">
        <f t="shared" si="2"/>
        <v>771.1899999999996</v>
      </c>
      <c r="G17" s="178">
        <f t="shared" si="2"/>
        <v>760.24000000000069</v>
      </c>
      <c r="H17" s="178">
        <f t="shared" si="2"/>
        <v>1333.4699999999998</v>
      </c>
      <c r="I17" s="178">
        <f t="shared" si="2"/>
        <v>1548.8462780122672</v>
      </c>
      <c r="J17" s="178">
        <f t="shared" si="2"/>
        <v>1923.5856520859043</v>
      </c>
      <c r="K17" s="178">
        <f t="shared" si="2"/>
        <v>2403.0744779857196</v>
      </c>
      <c r="L17" s="178">
        <f t="shared" si="2"/>
        <v>3017.9874891960644</v>
      </c>
      <c r="M17" s="178">
        <f t="shared" si="2"/>
        <v>3808.1271975335439</v>
      </c>
      <c r="N17" s="178">
        <f t="shared" si="2"/>
        <v>5122.2506505101919</v>
      </c>
      <c r="O17" s="178">
        <f t="shared" si="2"/>
        <v>6360.8633315231127</v>
      </c>
      <c r="P17" s="178">
        <f t="shared" si="2"/>
        <v>7925.2800256092196</v>
      </c>
      <c r="Q17" s="178">
        <f t="shared" si="2"/>
        <v>9902.8399083115728</v>
      </c>
      <c r="R17" s="178">
        <f t="shared" si="2"/>
        <v>12404.420373506342</v>
      </c>
    </row>
    <row r="20" spans="2:18">
      <c r="B20" s="1" t="s">
        <v>178</v>
      </c>
    </row>
    <row r="21" spans="2:18">
      <c r="B21" t="s">
        <v>179</v>
      </c>
      <c r="D21" s="15">
        <f>D14/'Cost Build Up'!D22*'Working capital'!D12</f>
        <v>83.724540464572655</v>
      </c>
      <c r="E21" s="15">
        <f>E14/'Cost Build Up'!E22*'Working capital'!E12</f>
        <v>102.83912418216414</v>
      </c>
      <c r="F21" s="15">
        <f>F14/'Cost Build Up'!F22*'Working capital'!F12</f>
        <v>78.755065612386787</v>
      </c>
      <c r="G21" s="15">
        <f>G14/'Cost Build Up'!G22*'Working capital'!G12</f>
        <v>79.418231431703973</v>
      </c>
      <c r="H21" s="15">
        <f>H14/'Cost Build Up'!H22*'Working capital'!H12</f>
        <v>82.848941380674049</v>
      </c>
      <c r="I21" s="15">
        <f>AVERAGE(D21:H21)</f>
        <v>85.517180614300315</v>
      </c>
      <c r="J21" s="15">
        <f>I21</f>
        <v>85.517180614300315</v>
      </c>
      <c r="K21" s="15">
        <f t="shared" ref="K21:R21" si="3">J21</f>
        <v>85.517180614300315</v>
      </c>
      <c r="L21" s="15">
        <f t="shared" si="3"/>
        <v>85.517180614300315</v>
      </c>
      <c r="M21" s="15">
        <f t="shared" si="3"/>
        <v>85.517180614300315</v>
      </c>
      <c r="N21" s="15">
        <f t="shared" si="3"/>
        <v>85.517180614300315</v>
      </c>
      <c r="O21" s="15">
        <f t="shared" si="3"/>
        <v>85.517180614300315</v>
      </c>
      <c r="P21" s="15">
        <f t="shared" si="3"/>
        <v>85.517180614300315</v>
      </c>
      <c r="Q21" s="15">
        <f t="shared" si="3"/>
        <v>85.517180614300315</v>
      </c>
      <c r="R21" s="15">
        <f t="shared" si="3"/>
        <v>85.517180614300315</v>
      </c>
    </row>
    <row r="22" spans="2:18">
      <c r="B22" t="s">
        <v>180</v>
      </c>
      <c r="D22" s="15">
        <f>D15/'Cost Build Up'!D13*'Working capital'!D12</f>
        <v>86.998225199780833</v>
      </c>
      <c r="E22" s="15">
        <f>E15/'Cost Build Up'!E13*'Working capital'!E12</f>
        <v>97.048888076678296</v>
      </c>
      <c r="F22" s="15">
        <f>F15/'Cost Build Up'!F13*'Working capital'!F12</f>
        <v>84.224089013630177</v>
      </c>
      <c r="G22" s="15">
        <f>G15/'Cost Build Up'!G13*'Working capital'!G12</f>
        <v>70.194568475332119</v>
      </c>
      <c r="H22" s="15">
        <f>H15/'Cost Build Up'!H13*'Working capital'!H12</f>
        <v>59.47570491779878</v>
      </c>
      <c r="I22" s="15">
        <f t="shared" ref="I22:I23" si="4">AVERAGE(D22:H22)</f>
        <v>79.588295136644049</v>
      </c>
      <c r="J22" s="15">
        <f>I22</f>
        <v>79.588295136644049</v>
      </c>
      <c r="K22" s="15">
        <f t="shared" ref="K22:R22" si="5">J22</f>
        <v>79.588295136644049</v>
      </c>
      <c r="L22" s="15">
        <f t="shared" si="5"/>
        <v>79.588295136644049</v>
      </c>
      <c r="M22" s="15">
        <f t="shared" si="5"/>
        <v>79.588295136644049</v>
      </c>
      <c r="N22" s="15">
        <f t="shared" si="5"/>
        <v>79.588295136644049</v>
      </c>
      <c r="O22" s="15">
        <f t="shared" si="5"/>
        <v>79.588295136644049</v>
      </c>
      <c r="P22" s="15">
        <f t="shared" si="5"/>
        <v>79.588295136644049</v>
      </c>
      <c r="Q22" s="15">
        <f t="shared" si="5"/>
        <v>79.588295136644049</v>
      </c>
      <c r="R22" s="15">
        <f t="shared" si="5"/>
        <v>79.588295136644049</v>
      </c>
    </row>
    <row r="23" spans="2:18">
      <c r="B23" t="s">
        <v>181</v>
      </c>
      <c r="D23" s="15">
        <f>D16/'Cost Build Up'!D22*'Working capital'!D12</f>
        <v>161.2547997117484</v>
      </c>
      <c r="E23" s="15">
        <f>E16/'Cost Build Up'!E22*'Working capital'!E12</f>
        <v>182.11127146554153</v>
      </c>
      <c r="F23" s="15">
        <f>F16/'Cost Build Up'!F22*'Working capital'!F12</f>
        <v>149.03539219699167</v>
      </c>
      <c r="G23" s="15">
        <f>G16/'Cost Build Up'!G22*'Working capital'!G12</f>
        <v>140.41508390020829</v>
      </c>
      <c r="H23" s="15">
        <f>H16/'Cost Build Up'!H22*'Working capital'!H12</f>
        <v>118.79843801080065</v>
      </c>
      <c r="I23" s="15">
        <f t="shared" si="4"/>
        <v>150.3229970570581</v>
      </c>
      <c r="J23" s="15">
        <f>I23</f>
        <v>150.3229970570581</v>
      </c>
      <c r="K23" s="15">
        <f t="shared" ref="K23:R23" si="6">J23</f>
        <v>150.3229970570581</v>
      </c>
      <c r="L23" s="15">
        <f t="shared" si="6"/>
        <v>150.3229970570581</v>
      </c>
      <c r="M23" s="15">
        <f t="shared" si="6"/>
        <v>150.3229970570581</v>
      </c>
      <c r="N23" s="15">
        <f t="shared" si="6"/>
        <v>150.3229970570581</v>
      </c>
      <c r="O23" s="15">
        <f t="shared" si="6"/>
        <v>150.3229970570581</v>
      </c>
      <c r="P23" s="15">
        <f t="shared" si="6"/>
        <v>150.3229970570581</v>
      </c>
      <c r="Q23" s="15">
        <f t="shared" si="6"/>
        <v>150.3229970570581</v>
      </c>
      <c r="R23" s="15">
        <f t="shared" si="6"/>
        <v>150.3229970570581</v>
      </c>
    </row>
    <row r="24" spans="2:18">
      <c r="B24" s="16" t="s">
        <v>182</v>
      </c>
      <c r="C24" s="16"/>
      <c r="D24" s="39">
        <f>D21+D22-D23</f>
        <v>9.4679659526050841</v>
      </c>
      <c r="E24" s="39">
        <f t="shared" ref="E24:H24" si="7">E21+E22-E23</f>
        <v>17.776740793300888</v>
      </c>
      <c r="F24" s="39">
        <f t="shared" si="7"/>
        <v>13.943762429025298</v>
      </c>
      <c r="G24" s="39">
        <f t="shared" si="7"/>
        <v>9.1977160068278181</v>
      </c>
      <c r="H24" s="39">
        <f t="shared" si="7"/>
        <v>23.526208287672176</v>
      </c>
      <c r="I24" s="39">
        <f t="shared" ref="I24" si="8">I21+I22-I23</f>
        <v>14.782478693886276</v>
      </c>
      <c r="J24" s="39">
        <f t="shared" ref="J24" si="9">J21+J22-J23</f>
        <v>14.782478693886276</v>
      </c>
      <c r="K24" s="39">
        <f t="shared" ref="K24" si="10">K21+K22-K23</f>
        <v>14.782478693886276</v>
      </c>
      <c r="L24" s="39">
        <f t="shared" ref="L24" si="11">L21+L22-L23</f>
        <v>14.782478693886276</v>
      </c>
      <c r="M24" s="39">
        <f t="shared" ref="M24" si="12">M21+M22-M23</f>
        <v>14.782478693886276</v>
      </c>
      <c r="N24" s="39">
        <f t="shared" ref="N24" si="13">N21+N22-N23</f>
        <v>14.782478693886276</v>
      </c>
      <c r="O24" s="39">
        <f t="shared" ref="O24" si="14">O21+O22-O23</f>
        <v>14.782478693886276</v>
      </c>
      <c r="P24" s="39">
        <f t="shared" ref="P24" si="15">P21+P22-P23</f>
        <v>14.782478693886276</v>
      </c>
      <c r="Q24" s="39">
        <f t="shared" ref="Q24" si="16">Q21+Q22-Q23</f>
        <v>14.782478693886276</v>
      </c>
      <c r="R24" s="39">
        <f t="shared" ref="R24" si="17">R21+R22-R23</f>
        <v>14.782478693886276</v>
      </c>
    </row>
    <row r="26" spans="2:18">
      <c r="B26" s="1" t="s">
        <v>183</v>
      </c>
    </row>
    <row r="27" spans="2:18" ht="6.75" customHeight="1">
      <c r="D27" s="15"/>
      <c r="E27" s="15"/>
      <c r="F27" s="15"/>
      <c r="G27" s="15"/>
      <c r="H27" s="15"/>
    </row>
    <row r="28" spans="2:18">
      <c r="B28" t="s">
        <v>175</v>
      </c>
      <c r="D28" s="227">
        <f>'Historical Cash Flow'!D30</f>
        <v>189.34</v>
      </c>
      <c r="E28" s="227">
        <f>'Historical Cash Flow'!E30</f>
        <v>-381.79</v>
      </c>
      <c r="F28" s="227">
        <f>'Historical Cash Flow'!F30</f>
        <v>69.42</v>
      </c>
      <c r="G28" s="227">
        <f>'Historical Cash Flow'!G30</f>
        <v>-543.4</v>
      </c>
      <c r="H28" s="227">
        <f>'Historical Cash Flow'!H30</f>
        <v>-579.41999999999996</v>
      </c>
      <c r="I28" s="176">
        <f>H14-I14</f>
        <v>-720.56506696868792</v>
      </c>
      <c r="J28" s="176">
        <f t="shared" ref="J28:R28" si="18">I14-J14</f>
        <v>-831.18016331239141</v>
      </c>
      <c r="K28" s="176">
        <f t="shared" si="18"/>
        <v>-1063.516748415027</v>
      </c>
      <c r="L28" s="176">
        <f t="shared" si="18"/>
        <v>-1363.8905661946701</v>
      </c>
      <c r="M28" s="176">
        <f t="shared" si="18"/>
        <v>-1752.5472294952806</v>
      </c>
      <c r="N28" s="176">
        <f t="shared" si="18"/>
        <v>-1459.5940088250518</v>
      </c>
      <c r="O28" s="176">
        <f t="shared" si="18"/>
        <v>-2395.3973755839634</v>
      </c>
      <c r="P28" s="176">
        <f t="shared" si="18"/>
        <v>-3025.4814122111366</v>
      </c>
      <c r="Q28" s="176">
        <f t="shared" si="18"/>
        <v>-3824.4738050085707</v>
      </c>
      <c r="R28" s="176">
        <f t="shared" si="18"/>
        <v>-4837.895956498076</v>
      </c>
    </row>
    <row r="29" spans="2:18">
      <c r="B29" t="s">
        <v>176</v>
      </c>
      <c r="D29" s="227">
        <f>'Historical Cash Flow'!D31</f>
        <v>-87.01</v>
      </c>
      <c r="E29" s="227">
        <f>'Historical Cash Flow'!E31</f>
        <v>-386.81</v>
      </c>
      <c r="F29" s="227">
        <f>'Historical Cash Flow'!F31</f>
        <v>-287.48</v>
      </c>
      <c r="G29" s="227">
        <f>'Historical Cash Flow'!G31</f>
        <v>-635.79999999999995</v>
      </c>
      <c r="H29" s="227">
        <f>'Historical Cash Flow'!H31</f>
        <v>-190.89</v>
      </c>
      <c r="I29" s="176">
        <f>H15-I15</f>
        <v>-1640.7395367487302</v>
      </c>
      <c r="J29" s="176">
        <f t="shared" ref="J29:R29" si="19">I15-J15</f>
        <v>-1004.6164199204559</v>
      </c>
      <c r="K29" s="176">
        <f t="shared" si="19"/>
        <v>-1285.4329728711155</v>
      </c>
      <c r="L29" s="176">
        <f t="shared" si="19"/>
        <v>-1648.483587858198</v>
      </c>
      <c r="M29" s="176">
        <f t="shared" si="19"/>
        <v>-2118.2383809794319</v>
      </c>
      <c r="N29" s="176">
        <f t="shared" si="19"/>
        <v>-2420.2191022647858</v>
      </c>
      <c r="O29" s="176">
        <f t="shared" si="19"/>
        <v>-3053.8699370922823</v>
      </c>
      <c r="P29" s="176">
        <f t="shared" si="19"/>
        <v>-3857.1582419516781</v>
      </c>
      <c r="Q29" s="176">
        <f t="shared" si="19"/>
        <v>-4875.786246307187</v>
      </c>
      <c r="R29" s="176">
        <f t="shared" si="19"/>
        <v>-6167.7887647881544</v>
      </c>
    </row>
    <row r="30" spans="2:18">
      <c r="B30" t="s">
        <v>68</v>
      </c>
      <c r="D30" s="227">
        <f>'Historical Cash Flow'!D36</f>
        <v>-182.3</v>
      </c>
      <c r="E30" s="227">
        <f>'Historical Cash Flow'!E36</f>
        <v>485.27</v>
      </c>
      <c r="F30" s="227">
        <f>'Historical Cash Flow'!F36</f>
        <v>80.760000000000005</v>
      </c>
      <c r="G30" s="227">
        <f>'Historical Cash Flow'!G36</f>
        <v>846.79</v>
      </c>
      <c r="H30" s="227">
        <f>'Historical Cash Flow'!H36</f>
        <v>139.97</v>
      </c>
      <c r="I30" s="176">
        <f>I16-H16</f>
        <v>2145.9283257051507</v>
      </c>
      <c r="J30" s="176">
        <f t="shared" ref="J30:R30" si="20">J16-I16</f>
        <v>1461.0572091592094</v>
      </c>
      <c r="K30" s="176">
        <f t="shared" si="20"/>
        <v>1869.4608953863271</v>
      </c>
      <c r="L30" s="176">
        <f t="shared" si="20"/>
        <v>2397.4611428425233</v>
      </c>
      <c r="M30" s="176">
        <f t="shared" si="20"/>
        <v>3080.6459021372357</v>
      </c>
      <c r="N30" s="176">
        <f t="shared" si="20"/>
        <v>2565.6896581131878</v>
      </c>
      <c r="O30" s="176">
        <f t="shared" si="20"/>
        <v>4210.6546316633248</v>
      </c>
      <c r="P30" s="176">
        <f t="shared" si="20"/>
        <v>5318.2229600767096</v>
      </c>
      <c r="Q30" s="176">
        <f t="shared" si="20"/>
        <v>6722.700168613399</v>
      </c>
      <c r="R30" s="176">
        <f t="shared" si="20"/>
        <v>8504.1042560914648</v>
      </c>
    </row>
    <row r="31" spans="2:18">
      <c r="B31" t="s">
        <v>144</v>
      </c>
      <c r="D31" s="227">
        <f>'Historical Cash Flow'!D32+'Historical Cash Flow'!D33+'Historical Cash Flow'!D34+'Historical Cash Flow'!D37+'Historical Cash Flow'!D38+'Historical Cash Flow'!D39+'Historical Cash Flow'!D40</f>
        <v>-77.98</v>
      </c>
      <c r="E31" s="227">
        <f>'Historical Cash Flow'!E32+'Historical Cash Flow'!E33+'Historical Cash Flow'!E34+'Historical Cash Flow'!E37+'Historical Cash Flow'!E38+'Historical Cash Flow'!E39+'Historical Cash Flow'!E40</f>
        <v>239.5</v>
      </c>
      <c r="F31" s="227">
        <f>'Historical Cash Flow'!F32+'Historical Cash Flow'!F33+'Historical Cash Flow'!F34+'Historical Cash Flow'!F37+'Historical Cash Flow'!F38+'Historical Cash Flow'!F39+'Historical Cash Flow'!F40</f>
        <v>-246.33999999999997</v>
      </c>
      <c r="G31" s="227">
        <f>'Historical Cash Flow'!G32+'Historical Cash Flow'!G33+'Historical Cash Flow'!G34+'Historical Cash Flow'!G37+'Historical Cash Flow'!G38+'Historical Cash Flow'!G39+'Historical Cash Flow'!G40</f>
        <v>412.53000000000003</v>
      </c>
      <c r="H31" s="227">
        <f>'Historical Cash Flow'!H32+'Historical Cash Flow'!H33+'Historical Cash Flow'!H34+'Historical Cash Flow'!H37+'Historical Cash Flow'!H38+'Historical Cash Flow'!H39+'Historical Cash Flow'!H40</f>
        <v>-462.80999999999983</v>
      </c>
      <c r="I31" s="176"/>
      <c r="J31" s="176"/>
      <c r="K31" s="176"/>
      <c r="L31" s="176"/>
      <c r="M31" s="176"/>
      <c r="N31" s="176"/>
      <c r="O31" s="176"/>
      <c r="P31" s="176"/>
      <c r="Q31" s="176"/>
      <c r="R31" s="176"/>
    </row>
    <row r="32" spans="2:18" ht="15.75" thickBot="1">
      <c r="B32" s="8" t="s">
        <v>185</v>
      </c>
      <c r="C32" s="9"/>
      <c r="D32" s="178">
        <f>SUM(D28:D31)</f>
        <v>-157.95000000000002</v>
      </c>
      <c r="E32" s="178">
        <f t="shared" ref="E32:R32" si="21">SUM(E28:E31)</f>
        <v>-43.830000000000041</v>
      </c>
      <c r="F32" s="178">
        <f t="shared" si="21"/>
        <v>-383.64</v>
      </c>
      <c r="G32" s="178">
        <f t="shared" si="21"/>
        <v>80.120000000000175</v>
      </c>
      <c r="H32" s="178">
        <f t="shared" si="21"/>
        <v>-1093.1499999999996</v>
      </c>
      <c r="I32" s="178">
        <f t="shared" si="21"/>
        <v>-215.37627801226745</v>
      </c>
      <c r="J32" s="178">
        <f t="shared" si="21"/>
        <v>-374.73937407363792</v>
      </c>
      <c r="K32" s="178">
        <f t="shared" si="21"/>
        <v>-479.48882589981531</v>
      </c>
      <c r="L32" s="178">
        <f t="shared" si="21"/>
        <v>-614.91301121034485</v>
      </c>
      <c r="M32" s="178">
        <f t="shared" si="21"/>
        <v>-790.1397083374768</v>
      </c>
      <c r="N32" s="178">
        <f t="shared" si="21"/>
        <v>-1314.1234529766498</v>
      </c>
      <c r="O32" s="178">
        <f t="shared" si="21"/>
        <v>-1238.6126810129208</v>
      </c>
      <c r="P32" s="178">
        <f t="shared" si="21"/>
        <v>-1564.4166940861051</v>
      </c>
      <c r="Q32" s="178">
        <f t="shared" si="21"/>
        <v>-1977.5598827023587</v>
      </c>
      <c r="R32" s="178">
        <f t="shared" si="21"/>
        <v>-2501.5804651947656</v>
      </c>
    </row>
    <row r="34" spans="2:18">
      <c r="B34" s="129"/>
      <c r="C34" s="129"/>
      <c r="D34" s="129"/>
      <c r="E34" s="129"/>
      <c r="F34" s="129"/>
      <c r="G34" s="129"/>
      <c r="H34" s="129"/>
      <c r="I34" s="129"/>
      <c r="J34" s="129"/>
      <c r="K34" s="129"/>
      <c r="L34" s="129"/>
      <c r="M34" s="129"/>
      <c r="N34" s="129"/>
      <c r="O34" s="129"/>
      <c r="P34" s="129"/>
      <c r="Q34" s="129"/>
      <c r="R34" s="129"/>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8:G2491"/>
  <sheetViews>
    <sheetView showGridLines="0" topLeftCell="A2469" workbookViewId="0">
      <selection activeCell="B2491" sqref="B2491:G2491"/>
    </sheetView>
  </sheetViews>
  <sheetFormatPr defaultRowHeight="15"/>
  <cols>
    <col min="1" max="1" width="1.85546875" customWidth="1"/>
    <col min="2" max="2" width="10.140625" bestFit="1" customWidth="1"/>
    <col min="3" max="3" width="10.7109375" bestFit="1" customWidth="1"/>
  </cols>
  <sheetData>
    <row r="8" spans="2:7">
      <c r="B8" s="334" t="s">
        <v>241</v>
      </c>
      <c r="C8" s="334"/>
    </row>
    <row r="10" spans="2:7" ht="15.75" thickBot="1">
      <c r="B10" s="107" t="s">
        <v>239</v>
      </c>
      <c r="C10" s="107" t="s">
        <v>240</v>
      </c>
    </row>
    <row r="11" spans="2:7">
      <c r="B11" s="108">
        <v>42205</v>
      </c>
      <c r="C11" s="75">
        <v>28420.12</v>
      </c>
      <c r="F11" s="103" t="s">
        <v>242</v>
      </c>
      <c r="G11" s="104">
        <f>YEARFRAC(B11,B2488)</f>
        <v>9.9944444444444436</v>
      </c>
    </row>
    <row r="12" spans="2:7" ht="15.75" thickBot="1">
      <c r="B12" s="108">
        <v>42206</v>
      </c>
      <c r="C12" s="75">
        <v>28182.14</v>
      </c>
      <c r="F12" s="105" t="s">
        <v>243</v>
      </c>
      <c r="G12" s="106">
        <f>_xlfn.RRI(G11,C11,C2488)</f>
        <v>0.11151620956101582</v>
      </c>
    </row>
    <row r="13" spans="2:7">
      <c r="B13" s="108">
        <v>42207</v>
      </c>
      <c r="C13" s="75">
        <v>28504.93</v>
      </c>
    </row>
    <row r="14" spans="2:7">
      <c r="B14" s="108">
        <v>42208</v>
      </c>
      <c r="C14" s="75">
        <v>28370.84</v>
      </c>
    </row>
    <row r="15" spans="2:7">
      <c r="B15" s="108">
        <v>42209</v>
      </c>
      <c r="C15" s="75">
        <v>28112.31</v>
      </c>
    </row>
    <row r="16" spans="2:7">
      <c r="B16" s="108">
        <v>42212</v>
      </c>
      <c r="C16" s="75">
        <v>27561.38</v>
      </c>
    </row>
    <row r="17" spans="2:3">
      <c r="B17" s="108">
        <v>42213</v>
      </c>
      <c r="C17" s="75">
        <v>27459.23</v>
      </c>
    </row>
    <row r="18" spans="2:3">
      <c r="B18" s="108">
        <v>42214</v>
      </c>
      <c r="C18" s="75">
        <v>27563.43</v>
      </c>
    </row>
    <row r="19" spans="2:3">
      <c r="B19" s="108">
        <v>42215</v>
      </c>
      <c r="C19" s="75">
        <v>27705.35</v>
      </c>
    </row>
    <row r="20" spans="2:3">
      <c r="B20" s="108">
        <v>42216</v>
      </c>
      <c r="C20" s="75">
        <v>28114.560000000001</v>
      </c>
    </row>
    <row r="21" spans="2:3">
      <c r="B21" s="108">
        <v>42219</v>
      </c>
      <c r="C21" s="75">
        <v>28187.06</v>
      </c>
    </row>
    <row r="22" spans="2:3">
      <c r="B22" s="108">
        <v>42220</v>
      </c>
      <c r="C22" s="75">
        <v>28071.93</v>
      </c>
    </row>
    <row r="23" spans="2:3">
      <c r="B23" s="108">
        <v>42221</v>
      </c>
      <c r="C23" s="75">
        <v>28223.08</v>
      </c>
    </row>
    <row r="24" spans="2:3">
      <c r="B24" s="108">
        <v>42222</v>
      </c>
      <c r="C24" s="75">
        <v>28298.13</v>
      </c>
    </row>
    <row r="25" spans="2:3">
      <c r="B25" s="108">
        <v>42223</v>
      </c>
      <c r="C25" s="75">
        <v>28236.39</v>
      </c>
    </row>
    <row r="26" spans="2:3">
      <c r="B26" s="108">
        <v>42226</v>
      </c>
      <c r="C26" s="75">
        <v>28101.72</v>
      </c>
    </row>
    <row r="27" spans="2:3">
      <c r="B27" s="108">
        <v>42227</v>
      </c>
      <c r="C27" s="75">
        <v>27866.09</v>
      </c>
    </row>
    <row r="28" spans="2:3">
      <c r="B28" s="108">
        <v>42228</v>
      </c>
      <c r="C28" s="75">
        <v>27512.26</v>
      </c>
    </row>
    <row r="29" spans="2:3">
      <c r="B29" s="108">
        <v>42229</v>
      </c>
      <c r="C29" s="75">
        <v>27549.53</v>
      </c>
    </row>
    <row r="30" spans="2:3">
      <c r="B30" s="108">
        <v>42230</v>
      </c>
      <c r="C30" s="75">
        <v>28067.31</v>
      </c>
    </row>
    <row r="31" spans="2:3">
      <c r="B31" s="108">
        <v>42233</v>
      </c>
      <c r="C31" s="75">
        <v>27878.27</v>
      </c>
    </row>
    <row r="32" spans="2:3">
      <c r="B32" s="108">
        <v>42234</v>
      </c>
      <c r="C32" s="75">
        <v>27831.54</v>
      </c>
    </row>
    <row r="33" spans="2:3">
      <c r="B33" s="108">
        <v>42235</v>
      </c>
      <c r="C33" s="75">
        <v>27931.64</v>
      </c>
    </row>
    <row r="34" spans="2:3">
      <c r="B34" s="108">
        <v>42236</v>
      </c>
      <c r="C34" s="75">
        <v>27607.82</v>
      </c>
    </row>
    <row r="35" spans="2:3">
      <c r="B35" s="108">
        <v>42237</v>
      </c>
      <c r="C35" s="75">
        <v>27366.07</v>
      </c>
    </row>
    <row r="36" spans="2:3">
      <c r="B36" s="108">
        <v>42240</v>
      </c>
      <c r="C36" s="75">
        <v>25741.56</v>
      </c>
    </row>
    <row r="37" spans="2:3">
      <c r="B37" s="108">
        <v>42241</v>
      </c>
      <c r="C37" s="75">
        <v>26032.38</v>
      </c>
    </row>
    <row r="38" spans="2:3">
      <c r="B38" s="108">
        <v>42242</v>
      </c>
      <c r="C38" s="75">
        <v>25714.66</v>
      </c>
    </row>
    <row r="39" spans="2:3">
      <c r="B39" s="108">
        <v>42243</v>
      </c>
      <c r="C39" s="75">
        <v>26231.19</v>
      </c>
    </row>
    <row r="40" spans="2:3">
      <c r="B40" s="108">
        <v>42244</v>
      </c>
      <c r="C40" s="75">
        <v>26392.38</v>
      </c>
    </row>
    <row r="41" spans="2:3">
      <c r="B41" s="108">
        <v>42247</v>
      </c>
      <c r="C41" s="75">
        <v>26283.09</v>
      </c>
    </row>
    <row r="42" spans="2:3">
      <c r="B42" s="108">
        <v>42248</v>
      </c>
      <c r="C42" s="75">
        <v>25696.44</v>
      </c>
    </row>
    <row r="43" spans="2:3">
      <c r="B43" s="108">
        <v>42249</v>
      </c>
      <c r="C43" s="75">
        <v>25453.56</v>
      </c>
    </row>
    <row r="44" spans="2:3">
      <c r="B44" s="108">
        <v>42250</v>
      </c>
      <c r="C44" s="75">
        <v>25764.78</v>
      </c>
    </row>
    <row r="45" spans="2:3">
      <c r="B45" s="108">
        <v>42251</v>
      </c>
      <c r="C45" s="75">
        <v>25201.9</v>
      </c>
    </row>
    <row r="46" spans="2:3">
      <c r="B46" s="108">
        <v>42254</v>
      </c>
      <c r="C46" s="75">
        <v>24893.81</v>
      </c>
    </row>
    <row r="47" spans="2:3">
      <c r="B47" s="108">
        <v>42255</v>
      </c>
      <c r="C47" s="75">
        <v>25317.87</v>
      </c>
    </row>
    <row r="48" spans="2:3">
      <c r="B48" s="108">
        <v>42256</v>
      </c>
      <c r="C48" s="75">
        <v>25719.58</v>
      </c>
    </row>
    <row r="49" spans="2:3">
      <c r="B49" s="108">
        <v>42257</v>
      </c>
      <c r="C49" s="75">
        <v>25622.17</v>
      </c>
    </row>
    <row r="50" spans="2:3">
      <c r="B50" s="108">
        <v>42258</v>
      </c>
      <c r="C50" s="75">
        <v>25610.21</v>
      </c>
    </row>
    <row r="51" spans="2:3">
      <c r="B51" s="108">
        <v>42261</v>
      </c>
      <c r="C51" s="75">
        <v>25856.7</v>
      </c>
    </row>
    <row r="52" spans="2:3">
      <c r="B52" s="108">
        <v>42262</v>
      </c>
      <c r="C52" s="75">
        <v>25705.93</v>
      </c>
    </row>
    <row r="53" spans="2:3">
      <c r="B53" s="108">
        <v>42263</v>
      </c>
      <c r="C53" s="75">
        <v>25963.97</v>
      </c>
    </row>
    <row r="54" spans="2:3">
      <c r="B54" s="108">
        <v>42265</v>
      </c>
      <c r="C54" s="75">
        <v>26218.91</v>
      </c>
    </row>
    <row r="55" spans="2:3">
      <c r="B55" s="108">
        <v>42268</v>
      </c>
      <c r="C55" s="75">
        <v>26192.98</v>
      </c>
    </row>
    <row r="56" spans="2:3">
      <c r="B56" s="108">
        <v>42269</v>
      </c>
      <c r="C56" s="75">
        <v>25651.84</v>
      </c>
    </row>
    <row r="57" spans="2:3">
      <c r="B57" s="108">
        <v>42270</v>
      </c>
      <c r="C57" s="75">
        <v>25822.99</v>
      </c>
    </row>
    <row r="58" spans="2:3">
      <c r="B58" s="108">
        <v>42271</v>
      </c>
      <c r="C58" s="75">
        <v>25863.5</v>
      </c>
    </row>
    <row r="59" spans="2:3">
      <c r="B59" s="108">
        <v>42275</v>
      </c>
      <c r="C59" s="75">
        <v>25616.84</v>
      </c>
    </row>
    <row r="60" spans="2:3">
      <c r="B60" s="108">
        <v>42276</v>
      </c>
      <c r="C60" s="75">
        <v>25778.66</v>
      </c>
    </row>
    <row r="61" spans="2:3">
      <c r="B61" s="108">
        <v>42277</v>
      </c>
      <c r="C61" s="75">
        <v>26154.83</v>
      </c>
    </row>
    <row r="62" spans="2:3">
      <c r="B62" s="108">
        <v>42278</v>
      </c>
      <c r="C62" s="75">
        <v>26220.95</v>
      </c>
    </row>
    <row r="63" spans="2:3">
      <c r="B63" s="108">
        <v>42282</v>
      </c>
      <c r="C63" s="75">
        <v>26785.55</v>
      </c>
    </row>
    <row r="64" spans="2:3">
      <c r="B64" s="108">
        <v>42283</v>
      </c>
      <c r="C64" s="75">
        <v>26932.880000000001</v>
      </c>
    </row>
    <row r="65" spans="2:3">
      <c r="B65" s="108">
        <v>42284</v>
      </c>
      <c r="C65" s="75">
        <v>27035.85</v>
      </c>
    </row>
    <row r="66" spans="2:3">
      <c r="B66" s="108">
        <v>42285</v>
      </c>
      <c r="C66" s="75">
        <v>26845.81</v>
      </c>
    </row>
    <row r="67" spans="2:3">
      <c r="B67" s="108">
        <v>42286</v>
      </c>
      <c r="C67" s="75">
        <v>27079.51</v>
      </c>
    </row>
    <row r="68" spans="2:3">
      <c r="B68" s="108">
        <v>42289</v>
      </c>
      <c r="C68" s="75">
        <v>26904.11</v>
      </c>
    </row>
    <row r="69" spans="2:3">
      <c r="B69" s="108">
        <v>42290</v>
      </c>
      <c r="C69" s="75">
        <v>26846.53</v>
      </c>
    </row>
    <row r="70" spans="2:3">
      <c r="B70" s="108">
        <v>42291</v>
      </c>
      <c r="C70" s="75">
        <v>26779.66</v>
      </c>
    </row>
    <row r="71" spans="2:3">
      <c r="B71" s="108">
        <v>42292</v>
      </c>
      <c r="C71" s="75">
        <v>27010.14</v>
      </c>
    </row>
    <row r="72" spans="2:3">
      <c r="B72" s="108">
        <v>42293</v>
      </c>
      <c r="C72" s="75">
        <v>27214.6</v>
      </c>
    </row>
    <row r="73" spans="2:3">
      <c r="B73" s="108">
        <v>42296</v>
      </c>
      <c r="C73" s="75">
        <v>27364.92</v>
      </c>
    </row>
    <row r="74" spans="2:3">
      <c r="B74" s="108">
        <v>42297</v>
      </c>
      <c r="C74" s="75">
        <v>27306.83</v>
      </c>
    </row>
    <row r="75" spans="2:3">
      <c r="B75" s="108">
        <v>42298</v>
      </c>
      <c r="C75" s="75">
        <v>27287.66</v>
      </c>
    </row>
    <row r="76" spans="2:3">
      <c r="B76" s="108">
        <v>42300</v>
      </c>
      <c r="C76" s="75">
        <v>27470.81</v>
      </c>
    </row>
    <row r="77" spans="2:3">
      <c r="B77" s="108">
        <v>42303</v>
      </c>
      <c r="C77" s="75">
        <v>27361.96</v>
      </c>
    </row>
    <row r="78" spans="2:3">
      <c r="B78" s="108">
        <v>42304</v>
      </c>
      <c r="C78" s="75">
        <v>27253.439999999999</v>
      </c>
    </row>
    <row r="79" spans="2:3">
      <c r="B79" s="108">
        <v>42305</v>
      </c>
      <c r="C79" s="75">
        <v>27039.759999999998</v>
      </c>
    </row>
    <row r="80" spans="2:3">
      <c r="B80" s="108">
        <v>42306</v>
      </c>
      <c r="C80" s="75">
        <v>26838.14</v>
      </c>
    </row>
    <row r="81" spans="2:3">
      <c r="B81" s="108">
        <v>42307</v>
      </c>
      <c r="C81" s="75">
        <v>26656.83</v>
      </c>
    </row>
    <row r="82" spans="2:3">
      <c r="B82" s="108">
        <v>42310</v>
      </c>
      <c r="C82" s="75">
        <v>26559.15</v>
      </c>
    </row>
    <row r="83" spans="2:3">
      <c r="B83" s="108">
        <v>42311</v>
      </c>
      <c r="C83" s="75">
        <v>26590.59</v>
      </c>
    </row>
    <row r="84" spans="2:3">
      <c r="B84" s="108">
        <v>42312</v>
      </c>
      <c r="C84" s="75">
        <v>26552.92</v>
      </c>
    </row>
    <row r="85" spans="2:3">
      <c r="B85" s="108">
        <v>42313</v>
      </c>
      <c r="C85" s="75">
        <v>26304.2</v>
      </c>
    </row>
    <row r="86" spans="2:3">
      <c r="B86" s="108">
        <v>42314</v>
      </c>
      <c r="C86" s="75">
        <v>26265.24</v>
      </c>
    </row>
    <row r="87" spans="2:3">
      <c r="B87" s="108">
        <v>42317</v>
      </c>
      <c r="C87" s="75">
        <v>26121.4</v>
      </c>
    </row>
    <row r="88" spans="2:3">
      <c r="B88" s="108">
        <v>42318</v>
      </c>
      <c r="C88" s="75">
        <v>25743.26</v>
      </c>
    </row>
    <row r="89" spans="2:3">
      <c r="B89" s="108">
        <v>42319</v>
      </c>
      <c r="C89" s="75">
        <v>25866.95</v>
      </c>
    </row>
    <row r="90" spans="2:3">
      <c r="B90" s="108">
        <v>42321</v>
      </c>
      <c r="C90" s="75">
        <v>25610.53</v>
      </c>
    </row>
    <row r="91" spans="2:3">
      <c r="B91" s="108">
        <v>42324</v>
      </c>
      <c r="C91" s="75">
        <v>25760.1</v>
      </c>
    </row>
    <row r="92" spans="2:3">
      <c r="B92" s="108">
        <v>42325</v>
      </c>
      <c r="C92" s="75">
        <v>25864.47</v>
      </c>
    </row>
    <row r="93" spans="2:3">
      <c r="B93" s="108">
        <v>42326</v>
      </c>
      <c r="C93" s="75">
        <v>25482.52</v>
      </c>
    </row>
    <row r="94" spans="2:3">
      <c r="B94" s="108">
        <v>42327</v>
      </c>
      <c r="C94" s="75">
        <v>25841.919999999998</v>
      </c>
    </row>
    <row r="95" spans="2:3">
      <c r="B95" s="108">
        <v>42328</v>
      </c>
      <c r="C95" s="75">
        <v>25868.49</v>
      </c>
    </row>
    <row r="96" spans="2:3">
      <c r="B96" s="108">
        <v>42331</v>
      </c>
      <c r="C96" s="75">
        <v>25819.34</v>
      </c>
    </row>
    <row r="97" spans="2:3">
      <c r="B97" s="108">
        <v>42332</v>
      </c>
      <c r="C97" s="75">
        <v>25775.74</v>
      </c>
    </row>
    <row r="98" spans="2:3">
      <c r="B98" s="108">
        <v>42334</v>
      </c>
      <c r="C98" s="75">
        <v>25958.63</v>
      </c>
    </row>
    <row r="99" spans="2:3">
      <c r="B99" s="108">
        <v>42335</v>
      </c>
      <c r="C99" s="75">
        <v>26128.2</v>
      </c>
    </row>
    <row r="100" spans="2:3">
      <c r="B100" s="108">
        <v>42338</v>
      </c>
      <c r="C100" s="75">
        <v>26145.67</v>
      </c>
    </row>
    <row r="101" spans="2:3">
      <c r="B101" s="108">
        <v>42339</v>
      </c>
      <c r="C101" s="75">
        <v>26169.41</v>
      </c>
    </row>
    <row r="102" spans="2:3">
      <c r="B102" s="108">
        <v>42340</v>
      </c>
      <c r="C102" s="75">
        <v>26117.85</v>
      </c>
    </row>
    <row r="103" spans="2:3">
      <c r="B103" s="108">
        <v>42341</v>
      </c>
      <c r="C103" s="75">
        <v>25886.62</v>
      </c>
    </row>
    <row r="104" spans="2:3">
      <c r="B104" s="108">
        <v>42342</v>
      </c>
      <c r="C104" s="75">
        <v>25638.11</v>
      </c>
    </row>
    <row r="105" spans="2:3">
      <c r="B105" s="108">
        <v>42345</v>
      </c>
      <c r="C105" s="75">
        <v>25530.11</v>
      </c>
    </row>
    <row r="106" spans="2:3">
      <c r="B106" s="108">
        <v>42346</v>
      </c>
      <c r="C106" s="75">
        <v>25310.33</v>
      </c>
    </row>
    <row r="107" spans="2:3">
      <c r="B107" s="108">
        <v>42347</v>
      </c>
      <c r="C107" s="75">
        <v>25036.05</v>
      </c>
    </row>
    <row r="108" spans="2:3">
      <c r="B108" s="108">
        <v>42348</v>
      </c>
      <c r="C108" s="75">
        <v>25252.32</v>
      </c>
    </row>
    <row r="109" spans="2:3">
      <c r="B109" s="108">
        <v>42349</v>
      </c>
      <c r="C109" s="75">
        <v>25044.43</v>
      </c>
    </row>
    <row r="110" spans="2:3">
      <c r="B110" s="108">
        <v>42352</v>
      </c>
      <c r="C110" s="75">
        <v>25150.35</v>
      </c>
    </row>
    <row r="111" spans="2:3">
      <c r="B111" s="108">
        <v>42353</v>
      </c>
      <c r="C111" s="75">
        <v>25320.44</v>
      </c>
    </row>
    <row r="112" spans="2:3">
      <c r="B112" s="108">
        <v>42354</v>
      </c>
      <c r="C112" s="75">
        <v>25494.37</v>
      </c>
    </row>
    <row r="113" spans="2:3">
      <c r="B113" s="108">
        <v>42355</v>
      </c>
      <c r="C113" s="75">
        <v>25803.78</v>
      </c>
    </row>
    <row r="114" spans="2:3">
      <c r="B114" s="108">
        <v>42356</v>
      </c>
      <c r="C114" s="75">
        <v>25519.22</v>
      </c>
    </row>
    <row r="115" spans="2:3">
      <c r="B115" s="108">
        <v>42359</v>
      </c>
      <c r="C115" s="75">
        <v>25735.9</v>
      </c>
    </row>
    <row r="116" spans="2:3">
      <c r="B116" s="108">
        <v>42360</v>
      </c>
      <c r="C116" s="75">
        <v>25590.65</v>
      </c>
    </row>
    <row r="117" spans="2:3">
      <c r="B117" s="108">
        <v>42361</v>
      </c>
      <c r="C117" s="75">
        <v>25850.3</v>
      </c>
    </row>
    <row r="118" spans="2:3">
      <c r="B118" s="108">
        <v>42362</v>
      </c>
      <c r="C118" s="75">
        <v>25838.71</v>
      </c>
    </row>
    <row r="119" spans="2:3">
      <c r="B119" s="108">
        <v>42366</v>
      </c>
      <c r="C119" s="75">
        <v>26034.13</v>
      </c>
    </row>
    <row r="120" spans="2:3">
      <c r="B120" s="108">
        <v>42367</v>
      </c>
      <c r="C120" s="75">
        <v>26079.48</v>
      </c>
    </row>
    <row r="121" spans="2:3">
      <c r="B121" s="108">
        <v>42368</v>
      </c>
      <c r="C121" s="75">
        <v>25960.03</v>
      </c>
    </row>
    <row r="122" spans="2:3">
      <c r="B122" s="108">
        <v>42369</v>
      </c>
      <c r="C122" s="75">
        <v>26117.54</v>
      </c>
    </row>
    <row r="123" spans="2:3">
      <c r="B123" s="108">
        <v>42370</v>
      </c>
      <c r="C123" s="75">
        <v>26160.9</v>
      </c>
    </row>
    <row r="124" spans="2:3">
      <c r="B124" s="108">
        <v>42373</v>
      </c>
      <c r="C124" s="75">
        <v>25623.35</v>
      </c>
    </row>
    <row r="125" spans="2:3">
      <c r="B125" s="108">
        <v>42374</v>
      </c>
      <c r="C125" s="75">
        <v>25580.34</v>
      </c>
    </row>
    <row r="126" spans="2:3">
      <c r="B126" s="108">
        <v>42375</v>
      </c>
      <c r="C126" s="75">
        <v>25406.33</v>
      </c>
    </row>
    <row r="127" spans="2:3">
      <c r="B127" s="108">
        <v>42376</v>
      </c>
      <c r="C127" s="75">
        <v>24851.83</v>
      </c>
    </row>
    <row r="128" spans="2:3">
      <c r="B128" s="108">
        <v>42377</v>
      </c>
      <c r="C128" s="75">
        <v>24934.33</v>
      </c>
    </row>
    <row r="129" spans="2:3">
      <c r="B129" s="108">
        <v>42380</v>
      </c>
      <c r="C129" s="75">
        <v>24825.040000000001</v>
      </c>
    </row>
    <row r="130" spans="2:3">
      <c r="B130" s="108">
        <v>42381</v>
      </c>
      <c r="C130" s="75">
        <v>24682.03</v>
      </c>
    </row>
    <row r="131" spans="2:3">
      <c r="B131" s="108">
        <v>42382</v>
      </c>
      <c r="C131" s="75">
        <v>24854.11</v>
      </c>
    </row>
    <row r="132" spans="2:3">
      <c r="B132" s="108">
        <v>42383</v>
      </c>
      <c r="C132" s="75">
        <v>24772.97</v>
      </c>
    </row>
    <row r="133" spans="2:3">
      <c r="B133" s="108">
        <v>42384</v>
      </c>
      <c r="C133" s="75">
        <v>24455.040000000001</v>
      </c>
    </row>
    <row r="134" spans="2:3">
      <c r="B134" s="108">
        <v>42387</v>
      </c>
      <c r="C134" s="75">
        <v>24188.37</v>
      </c>
    </row>
    <row r="135" spans="2:3">
      <c r="B135" s="108">
        <v>42388</v>
      </c>
      <c r="C135" s="75">
        <v>24479.84</v>
      </c>
    </row>
    <row r="136" spans="2:3">
      <c r="B136" s="108">
        <v>42389</v>
      </c>
      <c r="C136" s="75">
        <v>24062.04</v>
      </c>
    </row>
    <row r="137" spans="2:3">
      <c r="B137" s="108">
        <v>42390</v>
      </c>
      <c r="C137" s="75">
        <v>23962.21</v>
      </c>
    </row>
    <row r="138" spans="2:3">
      <c r="B138" s="108">
        <v>42391</v>
      </c>
      <c r="C138" s="75">
        <v>24435.66</v>
      </c>
    </row>
    <row r="139" spans="2:3">
      <c r="B139" s="108">
        <v>42394</v>
      </c>
      <c r="C139" s="75">
        <v>24485.95</v>
      </c>
    </row>
    <row r="140" spans="2:3">
      <c r="B140" s="108">
        <v>42396</v>
      </c>
      <c r="C140" s="75">
        <v>24492.39</v>
      </c>
    </row>
    <row r="141" spans="2:3">
      <c r="B141" s="108">
        <v>42397</v>
      </c>
      <c r="C141" s="75">
        <v>24469.57</v>
      </c>
    </row>
    <row r="142" spans="2:3">
      <c r="B142" s="108">
        <v>42398</v>
      </c>
      <c r="C142" s="75">
        <v>24870.69</v>
      </c>
    </row>
    <row r="143" spans="2:3">
      <c r="B143" s="108">
        <v>42401</v>
      </c>
      <c r="C143" s="75">
        <v>24824.83</v>
      </c>
    </row>
    <row r="144" spans="2:3">
      <c r="B144" s="108">
        <v>42402</v>
      </c>
      <c r="C144" s="75">
        <v>24539</v>
      </c>
    </row>
    <row r="145" spans="2:3">
      <c r="B145" s="108">
        <v>42403</v>
      </c>
      <c r="C145" s="75">
        <v>24223.32</v>
      </c>
    </row>
    <row r="146" spans="2:3">
      <c r="B146" s="108">
        <v>42404</v>
      </c>
      <c r="C146" s="75">
        <v>24338.43</v>
      </c>
    </row>
    <row r="147" spans="2:3">
      <c r="B147" s="108">
        <v>42405</v>
      </c>
      <c r="C147" s="75">
        <v>24616.97</v>
      </c>
    </row>
    <row r="148" spans="2:3">
      <c r="B148" s="108">
        <v>42408</v>
      </c>
      <c r="C148" s="75">
        <v>24287.42</v>
      </c>
    </row>
    <row r="149" spans="2:3">
      <c r="B149" s="108">
        <v>42409</v>
      </c>
      <c r="C149" s="75">
        <v>24020.98</v>
      </c>
    </row>
    <row r="150" spans="2:3">
      <c r="B150" s="108">
        <v>42410</v>
      </c>
      <c r="C150" s="75">
        <v>23758.9</v>
      </c>
    </row>
    <row r="151" spans="2:3">
      <c r="B151" s="108">
        <v>42411</v>
      </c>
      <c r="C151" s="75">
        <v>22951.83</v>
      </c>
    </row>
    <row r="152" spans="2:3">
      <c r="B152" s="108">
        <v>42412</v>
      </c>
      <c r="C152" s="75">
        <v>22986.12</v>
      </c>
    </row>
    <row r="153" spans="2:3">
      <c r="B153" s="108">
        <v>42415</v>
      </c>
      <c r="C153" s="75">
        <v>23554.12</v>
      </c>
    </row>
    <row r="154" spans="2:3">
      <c r="B154" s="108">
        <v>42416</v>
      </c>
      <c r="C154" s="75">
        <v>23191.97</v>
      </c>
    </row>
    <row r="155" spans="2:3">
      <c r="B155" s="108">
        <v>42417</v>
      </c>
      <c r="C155" s="75">
        <v>23381.87</v>
      </c>
    </row>
    <row r="156" spans="2:3">
      <c r="B156" s="108">
        <v>42418</v>
      </c>
      <c r="C156" s="75">
        <v>23649.22</v>
      </c>
    </row>
    <row r="157" spans="2:3">
      <c r="B157" s="108">
        <v>42419</v>
      </c>
      <c r="C157" s="75">
        <v>23709.15</v>
      </c>
    </row>
    <row r="158" spans="2:3">
      <c r="B158" s="108">
        <v>42422</v>
      </c>
      <c r="C158" s="75">
        <v>23788.79</v>
      </c>
    </row>
    <row r="159" spans="2:3">
      <c r="B159" s="108">
        <v>42423</v>
      </c>
      <c r="C159" s="75">
        <v>23410.18</v>
      </c>
    </row>
    <row r="160" spans="2:3">
      <c r="B160" s="108">
        <v>42424</v>
      </c>
      <c r="C160" s="75">
        <v>23088.93</v>
      </c>
    </row>
    <row r="161" spans="2:3">
      <c r="B161" s="108">
        <v>42425</v>
      </c>
      <c r="C161" s="75">
        <v>22976</v>
      </c>
    </row>
    <row r="162" spans="2:3">
      <c r="B162" s="108">
        <v>42426</v>
      </c>
      <c r="C162" s="75">
        <v>23154.3</v>
      </c>
    </row>
    <row r="163" spans="2:3">
      <c r="B163" s="108">
        <v>42429</v>
      </c>
      <c r="C163" s="75">
        <v>23002</v>
      </c>
    </row>
    <row r="164" spans="2:3">
      <c r="B164" s="108">
        <v>42430</v>
      </c>
      <c r="C164" s="75">
        <v>23779.35</v>
      </c>
    </row>
    <row r="165" spans="2:3">
      <c r="B165" s="108">
        <v>42431</v>
      </c>
      <c r="C165" s="75">
        <v>24242.98</v>
      </c>
    </row>
    <row r="166" spans="2:3">
      <c r="B166" s="108">
        <v>42432</v>
      </c>
      <c r="C166" s="75">
        <v>24606.99</v>
      </c>
    </row>
    <row r="167" spans="2:3">
      <c r="B167" s="108">
        <v>42433</v>
      </c>
      <c r="C167" s="75">
        <v>24646.48</v>
      </c>
    </row>
    <row r="168" spans="2:3">
      <c r="B168" s="108">
        <v>42437</v>
      </c>
      <c r="C168" s="75">
        <v>24659.23</v>
      </c>
    </row>
    <row r="169" spans="2:3">
      <c r="B169" s="108">
        <v>42438</v>
      </c>
      <c r="C169" s="75">
        <v>24793.96</v>
      </c>
    </row>
    <row r="170" spans="2:3">
      <c r="B170" s="108">
        <v>42439</v>
      </c>
      <c r="C170" s="75">
        <v>24623.34</v>
      </c>
    </row>
    <row r="171" spans="2:3">
      <c r="B171" s="108">
        <v>42440</v>
      </c>
      <c r="C171" s="75">
        <v>24717.99</v>
      </c>
    </row>
    <row r="172" spans="2:3">
      <c r="B172" s="108">
        <v>42443</v>
      </c>
      <c r="C172" s="75">
        <v>24804.28</v>
      </c>
    </row>
    <row r="173" spans="2:3">
      <c r="B173" s="108">
        <v>42444</v>
      </c>
      <c r="C173" s="75">
        <v>24551.17</v>
      </c>
    </row>
    <row r="174" spans="2:3">
      <c r="B174" s="108">
        <v>42445</v>
      </c>
      <c r="C174" s="75">
        <v>24682.48</v>
      </c>
    </row>
    <row r="175" spans="2:3">
      <c r="B175" s="108">
        <v>42446</v>
      </c>
      <c r="C175" s="75">
        <v>24677.37</v>
      </c>
    </row>
    <row r="176" spans="2:3">
      <c r="B176" s="108">
        <v>42447</v>
      </c>
      <c r="C176" s="75">
        <v>24952.74</v>
      </c>
    </row>
    <row r="177" spans="2:3">
      <c r="B177" s="108">
        <v>42450</v>
      </c>
      <c r="C177" s="75">
        <v>25285.37</v>
      </c>
    </row>
    <row r="178" spans="2:3">
      <c r="B178" s="108">
        <v>42451</v>
      </c>
      <c r="C178" s="75">
        <v>25330.49</v>
      </c>
    </row>
    <row r="179" spans="2:3">
      <c r="B179" s="108">
        <v>42452</v>
      </c>
      <c r="C179" s="75">
        <v>25337.56</v>
      </c>
    </row>
    <row r="180" spans="2:3">
      <c r="B180" s="108">
        <v>42457</v>
      </c>
      <c r="C180" s="75">
        <v>24966.400000000001</v>
      </c>
    </row>
    <row r="181" spans="2:3">
      <c r="B181" s="108">
        <v>42458</v>
      </c>
      <c r="C181" s="75">
        <v>24900.46</v>
      </c>
    </row>
    <row r="182" spans="2:3">
      <c r="B182" s="108">
        <v>42459</v>
      </c>
      <c r="C182" s="75">
        <v>25338.58</v>
      </c>
    </row>
    <row r="183" spans="2:3">
      <c r="B183" s="108">
        <v>42460</v>
      </c>
      <c r="C183" s="75">
        <v>25341.86</v>
      </c>
    </row>
    <row r="184" spans="2:3">
      <c r="B184" s="108">
        <v>42461</v>
      </c>
      <c r="C184" s="75">
        <v>25269.64</v>
      </c>
    </row>
    <row r="185" spans="2:3">
      <c r="B185" s="108">
        <v>42464</v>
      </c>
      <c r="C185" s="75">
        <v>25399.65</v>
      </c>
    </row>
    <row r="186" spans="2:3">
      <c r="B186" s="108">
        <v>42465</v>
      </c>
      <c r="C186" s="75">
        <v>24883.59</v>
      </c>
    </row>
    <row r="187" spans="2:3">
      <c r="B187" s="108">
        <v>42466</v>
      </c>
      <c r="C187" s="75">
        <v>24900.63</v>
      </c>
    </row>
    <row r="188" spans="2:3">
      <c r="B188" s="108">
        <v>42467</v>
      </c>
      <c r="C188" s="75">
        <v>24685.42</v>
      </c>
    </row>
    <row r="189" spans="2:3">
      <c r="B189" s="108">
        <v>42468</v>
      </c>
      <c r="C189" s="75">
        <v>24673.84</v>
      </c>
    </row>
    <row r="190" spans="2:3">
      <c r="B190" s="108">
        <v>42471</v>
      </c>
      <c r="C190" s="75">
        <v>25022.16</v>
      </c>
    </row>
    <row r="191" spans="2:3">
      <c r="B191" s="108">
        <v>42472</v>
      </c>
      <c r="C191" s="75">
        <v>25145.59</v>
      </c>
    </row>
    <row r="192" spans="2:3">
      <c r="B192" s="108">
        <v>42473</v>
      </c>
      <c r="C192" s="75">
        <v>25626.75</v>
      </c>
    </row>
    <row r="193" spans="2:3">
      <c r="B193" s="108">
        <v>42478</v>
      </c>
      <c r="C193" s="75">
        <v>25816.36</v>
      </c>
    </row>
    <row r="194" spans="2:3">
      <c r="B194" s="108">
        <v>42480</v>
      </c>
      <c r="C194" s="75">
        <v>25844.18</v>
      </c>
    </row>
    <row r="195" spans="2:3">
      <c r="B195" s="108">
        <v>42481</v>
      </c>
      <c r="C195" s="75">
        <v>25880.38</v>
      </c>
    </row>
    <row r="196" spans="2:3">
      <c r="B196" s="108">
        <v>42482</v>
      </c>
      <c r="C196" s="75">
        <v>25838.14</v>
      </c>
    </row>
    <row r="197" spans="2:3">
      <c r="B197" s="108">
        <v>42485</v>
      </c>
      <c r="C197" s="75">
        <v>25678.93</v>
      </c>
    </row>
    <row r="198" spans="2:3">
      <c r="B198" s="108">
        <v>42486</v>
      </c>
      <c r="C198" s="75">
        <v>26007.3</v>
      </c>
    </row>
    <row r="199" spans="2:3">
      <c r="B199" s="108">
        <v>42487</v>
      </c>
      <c r="C199" s="75">
        <v>26064.12</v>
      </c>
    </row>
    <row r="200" spans="2:3">
      <c r="B200" s="108">
        <v>42488</v>
      </c>
      <c r="C200" s="75">
        <v>25603.1</v>
      </c>
    </row>
    <row r="201" spans="2:3">
      <c r="B201" s="108">
        <v>42489</v>
      </c>
      <c r="C201" s="75">
        <v>25606.62</v>
      </c>
    </row>
    <row r="202" spans="2:3">
      <c r="B202" s="108">
        <v>42492</v>
      </c>
      <c r="C202" s="75">
        <v>25436.97</v>
      </c>
    </row>
    <row r="203" spans="2:3">
      <c r="B203" s="108">
        <v>42493</v>
      </c>
      <c r="C203" s="75">
        <v>25229.7</v>
      </c>
    </row>
    <row r="204" spans="2:3">
      <c r="B204" s="108">
        <v>42494</v>
      </c>
      <c r="C204" s="75">
        <v>25101.73</v>
      </c>
    </row>
    <row r="205" spans="2:3">
      <c r="B205" s="108">
        <v>42495</v>
      </c>
      <c r="C205" s="75">
        <v>25262.21</v>
      </c>
    </row>
    <row r="206" spans="2:3">
      <c r="B206" s="108">
        <v>42496</v>
      </c>
      <c r="C206" s="75">
        <v>25228.5</v>
      </c>
    </row>
    <row r="207" spans="2:3">
      <c r="B207" s="108">
        <v>42499</v>
      </c>
      <c r="C207" s="75">
        <v>25688.86</v>
      </c>
    </row>
    <row r="208" spans="2:3">
      <c r="B208" s="108">
        <v>42500</v>
      </c>
      <c r="C208" s="75">
        <v>25772.53</v>
      </c>
    </row>
    <row r="209" spans="2:3">
      <c r="B209" s="108">
        <v>42501</v>
      </c>
      <c r="C209" s="75">
        <v>25597.02</v>
      </c>
    </row>
    <row r="210" spans="2:3">
      <c r="B210" s="108">
        <v>42502</v>
      </c>
      <c r="C210" s="75">
        <v>25790.22</v>
      </c>
    </row>
    <row r="211" spans="2:3">
      <c r="B211" s="108">
        <v>42503</v>
      </c>
      <c r="C211" s="75">
        <v>25489.57</v>
      </c>
    </row>
    <row r="212" spans="2:3">
      <c r="B212" s="108">
        <v>42506</v>
      </c>
      <c r="C212" s="75">
        <v>25653.23</v>
      </c>
    </row>
    <row r="213" spans="2:3">
      <c r="B213" s="108">
        <v>42507</v>
      </c>
      <c r="C213" s="75">
        <v>25773.61</v>
      </c>
    </row>
    <row r="214" spans="2:3">
      <c r="B214" s="108">
        <v>42508</v>
      </c>
      <c r="C214" s="75">
        <v>25704.61</v>
      </c>
    </row>
    <row r="215" spans="2:3">
      <c r="B215" s="108">
        <v>42509</v>
      </c>
      <c r="C215" s="75">
        <v>25399.72</v>
      </c>
    </row>
    <row r="216" spans="2:3">
      <c r="B216" s="108">
        <v>42510</v>
      </c>
      <c r="C216" s="75">
        <v>25301.9</v>
      </c>
    </row>
    <row r="217" spans="2:3">
      <c r="B217" s="108">
        <v>42513</v>
      </c>
      <c r="C217" s="75">
        <v>25230.36</v>
      </c>
    </row>
    <row r="218" spans="2:3">
      <c r="B218" s="108">
        <v>42514</v>
      </c>
      <c r="C218" s="75">
        <v>25305.47</v>
      </c>
    </row>
    <row r="219" spans="2:3">
      <c r="B219" s="108">
        <v>42515</v>
      </c>
      <c r="C219" s="75">
        <v>25881.17</v>
      </c>
    </row>
    <row r="220" spans="2:3">
      <c r="B220" s="108">
        <v>42516</v>
      </c>
      <c r="C220" s="75">
        <v>26366.68</v>
      </c>
    </row>
    <row r="221" spans="2:3">
      <c r="B221" s="108">
        <v>42517</v>
      </c>
      <c r="C221" s="75">
        <v>26653.599999999999</v>
      </c>
    </row>
    <row r="222" spans="2:3">
      <c r="B222" s="108">
        <v>42520</v>
      </c>
      <c r="C222" s="75">
        <v>26725.599999999999</v>
      </c>
    </row>
    <row r="223" spans="2:3">
      <c r="B223" s="108">
        <v>42521</v>
      </c>
      <c r="C223" s="75">
        <v>26667.96</v>
      </c>
    </row>
    <row r="224" spans="2:3">
      <c r="B224" s="108">
        <v>42522</v>
      </c>
      <c r="C224" s="75">
        <v>26713.93</v>
      </c>
    </row>
    <row r="225" spans="2:3">
      <c r="B225" s="108">
        <v>42523</v>
      </c>
      <c r="C225" s="75">
        <v>26843.14</v>
      </c>
    </row>
    <row r="226" spans="2:3">
      <c r="B226" s="108">
        <v>42524</v>
      </c>
      <c r="C226" s="75">
        <v>26843.03</v>
      </c>
    </row>
    <row r="227" spans="2:3">
      <c r="B227" s="108">
        <v>42527</v>
      </c>
      <c r="C227" s="75">
        <v>26777.45</v>
      </c>
    </row>
    <row r="228" spans="2:3">
      <c r="B228" s="108">
        <v>42528</v>
      </c>
      <c r="C228" s="75">
        <v>27009.67</v>
      </c>
    </row>
    <row r="229" spans="2:3">
      <c r="B229" s="108">
        <v>42529</v>
      </c>
      <c r="C229" s="75">
        <v>27020.66</v>
      </c>
    </row>
    <row r="230" spans="2:3">
      <c r="B230" s="108">
        <v>42530</v>
      </c>
      <c r="C230" s="75">
        <v>26763.46</v>
      </c>
    </row>
    <row r="231" spans="2:3">
      <c r="B231" s="108">
        <v>42531</v>
      </c>
      <c r="C231" s="75">
        <v>26635.75</v>
      </c>
    </row>
    <row r="232" spans="2:3">
      <c r="B232" s="108">
        <v>42534</v>
      </c>
      <c r="C232" s="75">
        <v>26396.77</v>
      </c>
    </row>
    <row r="233" spans="2:3">
      <c r="B233" s="108">
        <v>42535</v>
      </c>
      <c r="C233" s="75">
        <v>26395.71</v>
      </c>
    </row>
    <row r="234" spans="2:3">
      <c r="B234" s="108">
        <v>42536</v>
      </c>
      <c r="C234" s="75">
        <v>26726.34</v>
      </c>
    </row>
    <row r="235" spans="2:3">
      <c r="B235" s="108">
        <v>42537</v>
      </c>
      <c r="C235" s="75">
        <v>26525.46</v>
      </c>
    </row>
    <row r="236" spans="2:3">
      <c r="B236" s="108">
        <v>42538</v>
      </c>
      <c r="C236" s="75">
        <v>26625.91</v>
      </c>
    </row>
    <row r="237" spans="2:3">
      <c r="B237" s="108">
        <v>42541</v>
      </c>
      <c r="C237" s="75">
        <v>26866.92</v>
      </c>
    </row>
    <row r="238" spans="2:3">
      <c r="B238" s="108">
        <v>42542</v>
      </c>
      <c r="C238" s="75">
        <v>26812.78</v>
      </c>
    </row>
    <row r="239" spans="2:3">
      <c r="B239" s="108">
        <v>42543</v>
      </c>
      <c r="C239" s="75">
        <v>26765.65</v>
      </c>
    </row>
    <row r="240" spans="2:3">
      <c r="B240" s="108">
        <v>42544</v>
      </c>
      <c r="C240" s="75">
        <v>27002.22</v>
      </c>
    </row>
    <row r="241" spans="2:3">
      <c r="B241" s="108">
        <v>42545</v>
      </c>
      <c r="C241" s="75">
        <v>26397.71</v>
      </c>
    </row>
    <row r="242" spans="2:3">
      <c r="B242" s="108">
        <v>42548</v>
      </c>
      <c r="C242" s="75">
        <v>26402.959999999999</v>
      </c>
    </row>
    <row r="243" spans="2:3">
      <c r="B243" s="108">
        <v>42549</v>
      </c>
      <c r="C243" s="75">
        <v>26524.55</v>
      </c>
    </row>
    <row r="244" spans="2:3">
      <c r="B244" s="108">
        <v>42550</v>
      </c>
      <c r="C244" s="75">
        <v>26740.39</v>
      </c>
    </row>
    <row r="245" spans="2:3">
      <c r="B245" s="108">
        <v>42551</v>
      </c>
      <c r="C245" s="75">
        <v>26999.72</v>
      </c>
    </row>
    <row r="246" spans="2:3">
      <c r="B246" s="108">
        <v>42552</v>
      </c>
      <c r="C246" s="75">
        <v>27144.91</v>
      </c>
    </row>
    <row r="247" spans="2:3">
      <c r="B247" s="108">
        <v>42555</v>
      </c>
      <c r="C247" s="75">
        <v>27278.76</v>
      </c>
    </row>
    <row r="248" spans="2:3">
      <c r="B248" s="108">
        <v>42556</v>
      </c>
      <c r="C248" s="75">
        <v>27166.87</v>
      </c>
    </row>
    <row r="249" spans="2:3">
      <c r="B249" s="108">
        <v>42558</v>
      </c>
      <c r="C249" s="75">
        <v>27201.49</v>
      </c>
    </row>
    <row r="250" spans="2:3">
      <c r="B250" s="108">
        <v>42559</v>
      </c>
      <c r="C250" s="75">
        <v>27126.9</v>
      </c>
    </row>
    <row r="251" spans="2:3">
      <c r="B251" s="108">
        <v>42562</v>
      </c>
      <c r="C251" s="75">
        <v>27626.69</v>
      </c>
    </row>
    <row r="252" spans="2:3">
      <c r="B252" s="108">
        <v>42563</v>
      </c>
      <c r="C252" s="75">
        <v>27808.14</v>
      </c>
    </row>
    <row r="253" spans="2:3">
      <c r="B253" s="108">
        <v>42564</v>
      </c>
      <c r="C253" s="75">
        <v>27815.18</v>
      </c>
    </row>
    <row r="254" spans="2:3">
      <c r="B254" s="108">
        <v>42565</v>
      </c>
      <c r="C254" s="75">
        <v>27942.11</v>
      </c>
    </row>
    <row r="255" spans="2:3">
      <c r="B255" s="108">
        <v>42566</v>
      </c>
      <c r="C255" s="75">
        <v>27836.5</v>
      </c>
    </row>
    <row r="256" spans="2:3">
      <c r="B256" s="108">
        <v>42569</v>
      </c>
      <c r="C256" s="75">
        <v>27746.66</v>
      </c>
    </row>
    <row r="257" spans="2:3">
      <c r="B257" s="108">
        <v>42570</v>
      </c>
      <c r="C257" s="75">
        <v>27787.62</v>
      </c>
    </row>
    <row r="258" spans="2:3">
      <c r="B258" s="108">
        <v>42571</v>
      </c>
      <c r="C258" s="75">
        <v>27915.89</v>
      </c>
    </row>
    <row r="259" spans="2:3">
      <c r="B259" s="108">
        <v>42572</v>
      </c>
      <c r="C259" s="75">
        <v>27710.52</v>
      </c>
    </row>
    <row r="260" spans="2:3">
      <c r="B260" s="108">
        <v>42573</v>
      </c>
      <c r="C260" s="75">
        <v>27803.24</v>
      </c>
    </row>
    <row r="261" spans="2:3">
      <c r="B261" s="108">
        <v>42576</v>
      </c>
      <c r="C261" s="75">
        <v>28095.34</v>
      </c>
    </row>
    <row r="262" spans="2:3">
      <c r="B262" s="108">
        <v>42577</v>
      </c>
      <c r="C262" s="75">
        <v>27976.52</v>
      </c>
    </row>
    <row r="263" spans="2:3">
      <c r="B263" s="108">
        <v>42578</v>
      </c>
      <c r="C263" s="75">
        <v>28024.33</v>
      </c>
    </row>
    <row r="264" spans="2:3">
      <c r="B264" s="108">
        <v>42579</v>
      </c>
      <c r="C264" s="75">
        <v>28208.62</v>
      </c>
    </row>
    <row r="265" spans="2:3">
      <c r="B265" s="108">
        <v>42580</v>
      </c>
      <c r="C265" s="75">
        <v>28051.86</v>
      </c>
    </row>
    <row r="266" spans="2:3">
      <c r="B266" s="108">
        <v>42583</v>
      </c>
      <c r="C266" s="75">
        <v>28003.119999999999</v>
      </c>
    </row>
    <row r="267" spans="2:3">
      <c r="B267" s="108">
        <v>42584</v>
      </c>
      <c r="C267" s="75">
        <v>27981.71</v>
      </c>
    </row>
    <row r="268" spans="2:3">
      <c r="B268" s="108">
        <v>42585</v>
      </c>
      <c r="C268" s="75">
        <v>27697.51</v>
      </c>
    </row>
    <row r="269" spans="2:3">
      <c r="B269" s="108">
        <v>42586</v>
      </c>
      <c r="C269" s="75">
        <v>27714.37</v>
      </c>
    </row>
    <row r="270" spans="2:3">
      <c r="B270" s="108">
        <v>42587</v>
      </c>
      <c r="C270" s="75">
        <v>28078.35</v>
      </c>
    </row>
    <row r="271" spans="2:3">
      <c r="B271" s="108">
        <v>42590</v>
      </c>
      <c r="C271" s="75">
        <v>28182.57</v>
      </c>
    </row>
    <row r="272" spans="2:3">
      <c r="B272" s="108">
        <v>42591</v>
      </c>
      <c r="C272" s="75">
        <v>28085.16</v>
      </c>
    </row>
    <row r="273" spans="2:3">
      <c r="B273" s="108">
        <v>42592</v>
      </c>
      <c r="C273" s="75">
        <v>27774.880000000001</v>
      </c>
    </row>
    <row r="274" spans="2:3">
      <c r="B274" s="108">
        <v>42593</v>
      </c>
      <c r="C274" s="75">
        <v>27859.599999999999</v>
      </c>
    </row>
    <row r="275" spans="2:3">
      <c r="B275" s="108">
        <v>42594</v>
      </c>
      <c r="C275" s="75">
        <v>28152.400000000001</v>
      </c>
    </row>
    <row r="276" spans="2:3">
      <c r="B276" s="108">
        <v>42598</v>
      </c>
      <c r="C276" s="75">
        <v>28064.61</v>
      </c>
    </row>
    <row r="277" spans="2:3">
      <c r="B277" s="108">
        <v>42599</v>
      </c>
      <c r="C277" s="75">
        <v>28005.37</v>
      </c>
    </row>
    <row r="278" spans="2:3">
      <c r="B278" s="108">
        <v>42600</v>
      </c>
      <c r="C278" s="75">
        <v>28123.439999999999</v>
      </c>
    </row>
    <row r="279" spans="2:3">
      <c r="B279" s="108">
        <v>42601</v>
      </c>
      <c r="C279" s="75">
        <v>28077</v>
      </c>
    </row>
    <row r="280" spans="2:3">
      <c r="B280" s="108">
        <v>42604</v>
      </c>
      <c r="C280" s="75">
        <v>27985.54</v>
      </c>
    </row>
    <row r="281" spans="2:3">
      <c r="B281" s="108">
        <v>42605</v>
      </c>
      <c r="C281" s="75">
        <v>27990.21</v>
      </c>
    </row>
    <row r="282" spans="2:3">
      <c r="B282" s="108">
        <v>42606</v>
      </c>
      <c r="C282" s="75">
        <v>28059.94</v>
      </c>
    </row>
    <row r="283" spans="2:3">
      <c r="B283" s="108">
        <v>42607</v>
      </c>
      <c r="C283" s="75">
        <v>27835.91</v>
      </c>
    </row>
    <row r="284" spans="2:3">
      <c r="B284" s="108">
        <v>42608</v>
      </c>
      <c r="C284" s="75">
        <v>27782.25</v>
      </c>
    </row>
    <row r="285" spans="2:3">
      <c r="B285" s="108">
        <v>42611</v>
      </c>
      <c r="C285" s="75">
        <v>27902.66</v>
      </c>
    </row>
    <row r="286" spans="2:3">
      <c r="B286" s="108">
        <v>42612</v>
      </c>
      <c r="C286" s="75">
        <v>28343.01</v>
      </c>
    </row>
    <row r="287" spans="2:3">
      <c r="B287" s="108">
        <v>42613</v>
      </c>
      <c r="C287" s="75">
        <v>28452.17</v>
      </c>
    </row>
    <row r="288" spans="2:3">
      <c r="B288" s="108">
        <v>42614</v>
      </c>
      <c r="C288" s="75">
        <v>28423.48</v>
      </c>
    </row>
    <row r="289" spans="2:3">
      <c r="B289" s="108">
        <v>42615</v>
      </c>
      <c r="C289" s="75">
        <v>28532.11</v>
      </c>
    </row>
    <row r="290" spans="2:3">
      <c r="B290" s="108">
        <v>42619</v>
      </c>
      <c r="C290" s="75">
        <v>28978.02</v>
      </c>
    </row>
    <row r="291" spans="2:3">
      <c r="B291" s="108">
        <v>42620</v>
      </c>
      <c r="C291" s="75">
        <v>28926.36</v>
      </c>
    </row>
    <row r="292" spans="2:3">
      <c r="B292" s="108">
        <v>42621</v>
      </c>
      <c r="C292" s="75">
        <v>29045.279999999999</v>
      </c>
    </row>
    <row r="293" spans="2:3">
      <c r="B293" s="108">
        <v>42622</v>
      </c>
      <c r="C293" s="75">
        <v>28797.25</v>
      </c>
    </row>
    <row r="294" spans="2:3">
      <c r="B294" s="108">
        <v>42625</v>
      </c>
      <c r="C294" s="75">
        <v>28353.54</v>
      </c>
    </row>
    <row r="295" spans="2:3">
      <c r="B295" s="108">
        <v>42627</v>
      </c>
      <c r="C295" s="75">
        <v>28372.23</v>
      </c>
    </row>
    <row r="296" spans="2:3">
      <c r="B296" s="108">
        <v>42628</v>
      </c>
      <c r="C296" s="75">
        <v>28412.89</v>
      </c>
    </row>
    <row r="297" spans="2:3">
      <c r="B297" s="108">
        <v>42629</v>
      </c>
      <c r="C297" s="75">
        <v>28599.03</v>
      </c>
    </row>
    <row r="298" spans="2:3">
      <c r="B298" s="108">
        <v>42632</v>
      </c>
      <c r="C298" s="75">
        <v>28634.5</v>
      </c>
    </row>
    <row r="299" spans="2:3">
      <c r="B299" s="108">
        <v>42633</v>
      </c>
      <c r="C299" s="75">
        <v>28523.200000000001</v>
      </c>
    </row>
    <row r="300" spans="2:3">
      <c r="B300" s="108">
        <v>42634</v>
      </c>
      <c r="C300" s="75">
        <v>28507.42</v>
      </c>
    </row>
    <row r="301" spans="2:3">
      <c r="B301" s="108">
        <v>42635</v>
      </c>
      <c r="C301" s="75">
        <v>28773.13</v>
      </c>
    </row>
    <row r="302" spans="2:3">
      <c r="B302" s="108">
        <v>42636</v>
      </c>
      <c r="C302" s="75">
        <v>28668.22</v>
      </c>
    </row>
    <row r="303" spans="2:3">
      <c r="B303" s="108">
        <v>42639</v>
      </c>
      <c r="C303" s="75">
        <v>28294.28</v>
      </c>
    </row>
    <row r="304" spans="2:3">
      <c r="B304" s="108">
        <v>42640</v>
      </c>
      <c r="C304" s="75">
        <v>28223.7</v>
      </c>
    </row>
    <row r="305" spans="2:3">
      <c r="B305" s="108">
        <v>42641</v>
      </c>
      <c r="C305" s="75">
        <v>28292.81</v>
      </c>
    </row>
    <row r="306" spans="2:3">
      <c r="B306" s="108">
        <v>42642</v>
      </c>
      <c r="C306" s="75">
        <v>27827.53</v>
      </c>
    </row>
    <row r="307" spans="2:3">
      <c r="B307" s="108">
        <v>42643</v>
      </c>
      <c r="C307" s="75">
        <v>27865.96</v>
      </c>
    </row>
    <row r="308" spans="2:3">
      <c r="B308" s="108">
        <v>42646</v>
      </c>
      <c r="C308" s="75">
        <v>28243.29</v>
      </c>
    </row>
    <row r="309" spans="2:3">
      <c r="B309" s="108">
        <v>42647</v>
      </c>
      <c r="C309" s="75">
        <v>28334.55</v>
      </c>
    </row>
    <row r="310" spans="2:3">
      <c r="B310" s="108">
        <v>42648</v>
      </c>
      <c r="C310" s="75">
        <v>28220.98</v>
      </c>
    </row>
    <row r="311" spans="2:3">
      <c r="B311" s="108">
        <v>42649</v>
      </c>
      <c r="C311" s="75">
        <v>28106.21</v>
      </c>
    </row>
    <row r="312" spans="2:3">
      <c r="B312" s="108">
        <v>42650</v>
      </c>
      <c r="C312" s="75">
        <v>28061.14</v>
      </c>
    </row>
    <row r="313" spans="2:3">
      <c r="B313" s="108">
        <v>42653</v>
      </c>
      <c r="C313" s="75">
        <v>28082.34</v>
      </c>
    </row>
    <row r="314" spans="2:3">
      <c r="B314" s="108">
        <v>42656</v>
      </c>
      <c r="C314" s="75">
        <v>27643.11</v>
      </c>
    </row>
    <row r="315" spans="2:3">
      <c r="B315" s="108">
        <v>42657</v>
      </c>
      <c r="C315" s="75">
        <v>27673.599999999999</v>
      </c>
    </row>
    <row r="316" spans="2:3">
      <c r="B316" s="108">
        <v>42660</v>
      </c>
      <c r="C316" s="75">
        <v>27529.97</v>
      </c>
    </row>
    <row r="317" spans="2:3">
      <c r="B317" s="108">
        <v>42661</v>
      </c>
      <c r="C317" s="75">
        <v>28050.880000000001</v>
      </c>
    </row>
    <row r="318" spans="2:3">
      <c r="B318" s="108">
        <v>42662</v>
      </c>
      <c r="C318" s="75">
        <v>27984.37</v>
      </c>
    </row>
    <row r="319" spans="2:3">
      <c r="B319" s="108">
        <v>42663</v>
      </c>
      <c r="C319" s="75">
        <v>28129.84</v>
      </c>
    </row>
    <row r="320" spans="2:3">
      <c r="B320" s="108">
        <v>42664</v>
      </c>
      <c r="C320" s="75">
        <v>28077.18</v>
      </c>
    </row>
    <row r="321" spans="2:3">
      <c r="B321" s="108">
        <v>42667</v>
      </c>
      <c r="C321" s="75">
        <v>28179.08</v>
      </c>
    </row>
    <row r="322" spans="2:3">
      <c r="B322" s="108">
        <v>42668</v>
      </c>
      <c r="C322" s="75">
        <v>28091.42</v>
      </c>
    </row>
    <row r="323" spans="2:3">
      <c r="B323" s="108">
        <v>42669</v>
      </c>
      <c r="C323" s="75">
        <v>27836.51</v>
      </c>
    </row>
    <row r="324" spans="2:3">
      <c r="B324" s="108">
        <v>42670</v>
      </c>
      <c r="C324" s="75">
        <v>27915.9</v>
      </c>
    </row>
    <row r="325" spans="2:3">
      <c r="B325" s="108">
        <v>42671</v>
      </c>
      <c r="C325" s="75">
        <v>27941.51</v>
      </c>
    </row>
    <row r="326" spans="2:3">
      <c r="B326" s="108">
        <v>42673</v>
      </c>
      <c r="C326" s="75">
        <v>27930.21</v>
      </c>
    </row>
    <row r="327" spans="2:3">
      <c r="B327" s="108">
        <v>42675</v>
      </c>
      <c r="C327" s="75">
        <v>27876.61</v>
      </c>
    </row>
    <row r="328" spans="2:3">
      <c r="B328" s="108">
        <v>42676</v>
      </c>
      <c r="C328" s="75">
        <v>27527.22</v>
      </c>
    </row>
    <row r="329" spans="2:3">
      <c r="B329" s="108">
        <v>42677</v>
      </c>
      <c r="C329" s="75">
        <v>27430.28</v>
      </c>
    </row>
    <row r="330" spans="2:3">
      <c r="B330" s="108">
        <v>42678</v>
      </c>
      <c r="C330" s="75">
        <v>27274.15</v>
      </c>
    </row>
    <row r="331" spans="2:3">
      <c r="B331" s="108">
        <v>42681</v>
      </c>
      <c r="C331" s="75">
        <v>27458.99</v>
      </c>
    </row>
    <row r="332" spans="2:3">
      <c r="B332" s="108">
        <v>42682</v>
      </c>
      <c r="C332" s="75">
        <v>27591.14</v>
      </c>
    </row>
    <row r="333" spans="2:3">
      <c r="B333" s="108">
        <v>42683</v>
      </c>
      <c r="C333" s="75">
        <v>27252.53</v>
      </c>
    </row>
    <row r="334" spans="2:3">
      <c r="B334" s="108">
        <v>42684</v>
      </c>
      <c r="C334" s="75">
        <v>27517.68</v>
      </c>
    </row>
    <row r="335" spans="2:3">
      <c r="B335" s="108">
        <v>42685</v>
      </c>
      <c r="C335" s="75">
        <v>26818.82</v>
      </c>
    </row>
    <row r="336" spans="2:3">
      <c r="B336" s="108">
        <v>42689</v>
      </c>
      <c r="C336" s="75">
        <v>26304.63</v>
      </c>
    </row>
    <row r="337" spans="2:3">
      <c r="B337" s="108">
        <v>42690</v>
      </c>
      <c r="C337" s="75">
        <v>26298.69</v>
      </c>
    </row>
    <row r="338" spans="2:3">
      <c r="B338" s="108">
        <v>42691</v>
      </c>
      <c r="C338" s="75">
        <v>26227.62</v>
      </c>
    </row>
    <row r="339" spans="2:3">
      <c r="B339" s="108">
        <v>42692</v>
      </c>
      <c r="C339" s="75">
        <v>26150.240000000002</v>
      </c>
    </row>
    <row r="340" spans="2:3">
      <c r="B340" s="108">
        <v>42695</v>
      </c>
      <c r="C340" s="75">
        <v>25765.14</v>
      </c>
    </row>
    <row r="341" spans="2:3">
      <c r="B341" s="108">
        <v>42696</v>
      </c>
      <c r="C341" s="75">
        <v>25960.78</v>
      </c>
    </row>
    <row r="342" spans="2:3">
      <c r="B342" s="108">
        <v>42697</v>
      </c>
      <c r="C342" s="75">
        <v>26051.81</v>
      </c>
    </row>
    <row r="343" spans="2:3">
      <c r="B343" s="108">
        <v>42698</v>
      </c>
      <c r="C343" s="75">
        <v>25860.17</v>
      </c>
    </row>
    <row r="344" spans="2:3">
      <c r="B344" s="108">
        <v>42699</v>
      </c>
      <c r="C344" s="75">
        <v>26316.34</v>
      </c>
    </row>
    <row r="345" spans="2:3">
      <c r="B345" s="108">
        <v>42702</v>
      </c>
      <c r="C345" s="75">
        <v>26350.17</v>
      </c>
    </row>
    <row r="346" spans="2:3">
      <c r="B346" s="108">
        <v>42703</v>
      </c>
      <c r="C346" s="75">
        <v>26394.01</v>
      </c>
    </row>
    <row r="347" spans="2:3">
      <c r="B347" s="108">
        <v>42704</v>
      </c>
      <c r="C347" s="75">
        <v>26652.81</v>
      </c>
    </row>
    <row r="348" spans="2:3">
      <c r="B348" s="108">
        <v>42705</v>
      </c>
      <c r="C348" s="75">
        <v>26559.919999999998</v>
      </c>
    </row>
    <row r="349" spans="2:3">
      <c r="B349" s="108">
        <v>42706</v>
      </c>
      <c r="C349" s="75">
        <v>26230.66</v>
      </c>
    </row>
    <row r="350" spans="2:3">
      <c r="B350" s="108">
        <v>42709</v>
      </c>
      <c r="C350" s="75">
        <v>26349.1</v>
      </c>
    </row>
    <row r="351" spans="2:3">
      <c r="B351" s="108">
        <v>42710</v>
      </c>
      <c r="C351" s="75">
        <v>26392.76</v>
      </c>
    </row>
    <row r="352" spans="2:3">
      <c r="B352" s="108">
        <v>42711</v>
      </c>
      <c r="C352" s="75">
        <v>26236.87</v>
      </c>
    </row>
    <row r="353" spans="2:3">
      <c r="B353" s="108">
        <v>42712</v>
      </c>
      <c r="C353" s="75">
        <v>26694.28</v>
      </c>
    </row>
    <row r="354" spans="2:3">
      <c r="B354" s="108">
        <v>42713</v>
      </c>
      <c r="C354" s="75">
        <v>26747.18</v>
      </c>
    </row>
    <row r="355" spans="2:3">
      <c r="B355" s="108">
        <v>42716</v>
      </c>
      <c r="C355" s="75">
        <v>26515.24</v>
      </c>
    </row>
    <row r="356" spans="2:3">
      <c r="B356" s="108">
        <v>42717</v>
      </c>
      <c r="C356" s="75">
        <v>26697.82</v>
      </c>
    </row>
    <row r="357" spans="2:3">
      <c r="B357" s="108">
        <v>42718</v>
      </c>
      <c r="C357" s="75">
        <v>26602.84</v>
      </c>
    </row>
    <row r="358" spans="2:3">
      <c r="B358" s="108">
        <v>42719</v>
      </c>
      <c r="C358" s="75">
        <v>26519.07</v>
      </c>
    </row>
    <row r="359" spans="2:3">
      <c r="B359" s="108">
        <v>42720</v>
      </c>
      <c r="C359" s="75">
        <v>26489.56</v>
      </c>
    </row>
    <row r="360" spans="2:3">
      <c r="B360" s="108">
        <v>42723</v>
      </c>
      <c r="C360" s="75">
        <v>26374.7</v>
      </c>
    </row>
    <row r="361" spans="2:3">
      <c r="B361" s="108">
        <v>42724</v>
      </c>
      <c r="C361" s="75">
        <v>26307.98</v>
      </c>
    </row>
    <row r="362" spans="2:3">
      <c r="B362" s="108">
        <v>42725</v>
      </c>
      <c r="C362" s="75">
        <v>26242.38</v>
      </c>
    </row>
    <row r="363" spans="2:3">
      <c r="B363" s="108">
        <v>42726</v>
      </c>
      <c r="C363" s="75">
        <v>25979.599999999999</v>
      </c>
    </row>
    <row r="364" spans="2:3">
      <c r="B364" s="108">
        <v>42727</v>
      </c>
      <c r="C364" s="75">
        <v>26040.7</v>
      </c>
    </row>
    <row r="365" spans="2:3">
      <c r="B365" s="108">
        <v>42730</v>
      </c>
      <c r="C365" s="75">
        <v>25807.1</v>
      </c>
    </row>
    <row r="366" spans="2:3">
      <c r="B366" s="108">
        <v>42731</v>
      </c>
      <c r="C366" s="75">
        <v>26213.439999999999</v>
      </c>
    </row>
    <row r="367" spans="2:3">
      <c r="B367" s="108">
        <v>42732</v>
      </c>
      <c r="C367" s="75">
        <v>26210.68</v>
      </c>
    </row>
    <row r="368" spans="2:3">
      <c r="B368" s="108">
        <v>42733</v>
      </c>
      <c r="C368" s="75">
        <v>26366.15</v>
      </c>
    </row>
    <row r="369" spans="2:3">
      <c r="B369" s="108">
        <v>42734</v>
      </c>
      <c r="C369" s="75">
        <v>26626.46</v>
      </c>
    </row>
    <row r="370" spans="2:3">
      <c r="B370" s="108">
        <v>42737</v>
      </c>
      <c r="C370" s="75">
        <v>26595.45</v>
      </c>
    </row>
    <row r="371" spans="2:3">
      <c r="B371" s="108">
        <v>42738</v>
      </c>
      <c r="C371" s="75">
        <v>26643.24</v>
      </c>
    </row>
    <row r="372" spans="2:3">
      <c r="B372" s="108">
        <v>42739</v>
      </c>
      <c r="C372" s="75">
        <v>26633.13</v>
      </c>
    </row>
    <row r="373" spans="2:3">
      <c r="B373" s="108">
        <v>42740</v>
      </c>
      <c r="C373" s="75">
        <v>26878.240000000002</v>
      </c>
    </row>
    <row r="374" spans="2:3">
      <c r="B374" s="108">
        <v>42741</v>
      </c>
      <c r="C374" s="75">
        <v>26759.23</v>
      </c>
    </row>
    <row r="375" spans="2:3">
      <c r="B375" s="108">
        <v>42744</v>
      </c>
      <c r="C375" s="75">
        <v>26726.55</v>
      </c>
    </row>
    <row r="376" spans="2:3">
      <c r="B376" s="108">
        <v>42745</v>
      </c>
      <c r="C376" s="75">
        <v>26899.56</v>
      </c>
    </row>
    <row r="377" spans="2:3">
      <c r="B377" s="108">
        <v>42746</v>
      </c>
      <c r="C377" s="75">
        <v>27140.41</v>
      </c>
    </row>
    <row r="378" spans="2:3">
      <c r="B378" s="108">
        <v>42747</v>
      </c>
      <c r="C378" s="75">
        <v>27247.16</v>
      </c>
    </row>
    <row r="379" spans="2:3">
      <c r="B379" s="108">
        <v>42748</v>
      </c>
      <c r="C379" s="75">
        <v>27238.06</v>
      </c>
    </row>
    <row r="380" spans="2:3">
      <c r="B380" s="108">
        <v>42751</v>
      </c>
      <c r="C380" s="75">
        <v>27288.17</v>
      </c>
    </row>
    <row r="381" spans="2:3">
      <c r="B381" s="108">
        <v>42752</v>
      </c>
      <c r="C381" s="75">
        <v>27235.66</v>
      </c>
    </row>
    <row r="382" spans="2:3">
      <c r="B382" s="108">
        <v>42753</v>
      </c>
      <c r="C382" s="75">
        <v>27257.64</v>
      </c>
    </row>
    <row r="383" spans="2:3">
      <c r="B383" s="108">
        <v>42754</v>
      </c>
      <c r="C383" s="75">
        <v>27308.6</v>
      </c>
    </row>
    <row r="384" spans="2:3">
      <c r="B384" s="108">
        <v>42755</v>
      </c>
      <c r="C384" s="75">
        <v>27034.5</v>
      </c>
    </row>
    <row r="385" spans="2:3">
      <c r="B385" s="108">
        <v>42758</v>
      </c>
      <c r="C385" s="75">
        <v>27117.34</v>
      </c>
    </row>
    <row r="386" spans="2:3">
      <c r="B386" s="108">
        <v>42759</v>
      </c>
      <c r="C386" s="75">
        <v>27375.58</v>
      </c>
    </row>
    <row r="387" spans="2:3">
      <c r="B387" s="108">
        <v>42760</v>
      </c>
      <c r="C387" s="75">
        <v>27708.14</v>
      </c>
    </row>
    <row r="388" spans="2:3">
      <c r="B388" s="108">
        <v>42762</v>
      </c>
      <c r="C388" s="75">
        <v>27882.46</v>
      </c>
    </row>
    <row r="389" spans="2:3">
      <c r="B389" s="108">
        <v>42765</v>
      </c>
      <c r="C389" s="75">
        <v>27849.56</v>
      </c>
    </row>
    <row r="390" spans="2:3">
      <c r="B390" s="108">
        <v>42766</v>
      </c>
      <c r="C390" s="75">
        <v>27655.96</v>
      </c>
    </row>
    <row r="391" spans="2:3">
      <c r="B391" s="108">
        <v>42767</v>
      </c>
      <c r="C391" s="75">
        <v>28141.64</v>
      </c>
    </row>
    <row r="392" spans="2:3">
      <c r="B392" s="108">
        <v>42768</v>
      </c>
      <c r="C392" s="75">
        <v>28226.61</v>
      </c>
    </row>
    <row r="393" spans="2:3">
      <c r="B393" s="108">
        <v>42769</v>
      </c>
      <c r="C393" s="75">
        <v>28240.52</v>
      </c>
    </row>
    <row r="394" spans="2:3">
      <c r="B394" s="108">
        <v>42772</v>
      </c>
      <c r="C394" s="75">
        <v>28439.279999999999</v>
      </c>
    </row>
    <row r="395" spans="2:3">
      <c r="B395" s="108">
        <v>42773</v>
      </c>
      <c r="C395" s="75">
        <v>28335.16</v>
      </c>
    </row>
    <row r="396" spans="2:3">
      <c r="B396" s="108">
        <v>42774</v>
      </c>
      <c r="C396" s="75">
        <v>28289.919999999998</v>
      </c>
    </row>
    <row r="397" spans="2:3">
      <c r="B397" s="108">
        <v>42775</v>
      </c>
      <c r="C397" s="75">
        <v>28329.7</v>
      </c>
    </row>
    <row r="398" spans="2:3">
      <c r="B398" s="108">
        <v>42776</v>
      </c>
      <c r="C398" s="75">
        <v>28334.25</v>
      </c>
    </row>
    <row r="399" spans="2:3">
      <c r="B399" s="108">
        <v>42779</v>
      </c>
      <c r="C399" s="75">
        <v>28351.62</v>
      </c>
    </row>
    <row r="400" spans="2:3">
      <c r="B400" s="108">
        <v>42780</v>
      </c>
      <c r="C400" s="75">
        <v>28339.31</v>
      </c>
    </row>
    <row r="401" spans="2:3">
      <c r="B401" s="108">
        <v>42781</v>
      </c>
      <c r="C401" s="75">
        <v>28155.56</v>
      </c>
    </row>
    <row r="402" spans="2:3">
      <c r="B402" s="108">
        <v>42782</v>
      </c>
      <c r="C402" s="75">
        <v>28301.27</v>
      </c>
    </row>
    <row r="403" spans="2:3">
      <c r="B403" s="108">
        <v>42783</v>
      </c>
      <c r="C403" s="75">
        <v>28468.75</v>
      </c>
    </row>
    <row r="404" spans="2:3">
      <c r="B404" s="108">
        <v>42786</v>
      </c>
      <c r="C404" s="75">
        <v>28661.58</v>
      </c>
    </row>
    <row r="405" spans="2:3">
      <c r="B405" s="108">
        <v>42787</v>
      </c>
      <c r="C405" s="75">
        <v>28761.59</v>
      </c>
    </row>
    <row r="406" spans="2:3">
      <c r="B406" s="108">
        <v>42788</v>
      </c>
      <c r="C406" s="75">
        <v>28864.71</v>
      </c>
    </row>
    <row r="407" spans="2:3">
      <c r="B407" s="108">
        <v>42789</v>
      </c>
      <c r="C407" s="75">
        <v>28892.97</v>
      </c>
    </row>
    <row r="408" spans="2:3">
      <c r="B408" s="108">
        <v>42793</v>
      </c>
      <c r="C408" s="75">
        <v>28812.880000000001</v>
      </c>
    </row>
    <row r="409" spans="2:3">
      <c r="B409" s="108">
        <v>42794</v>
      </c>
      <c r="C409" s="75">
        <v>28743.32</v>
      </c>
    </row>
    <row r="410" spans="2:3">
      <c r="B410" s="108">
        <v>42795</v>
      </c>
      <c r="C410" s="75">
        <v>28984.49</v>
      </c>
    </row>
    <row r="411" spans="2:3">
      <c r="B411" s="108">
        <v>42796</v>
      </c>
      <c r="C411" s="75">
        <v>28839.79</v>
      </c>
    </row>
    <row r="412" spans="2:3">
      <c r="B412" s="108">
        <v>42797</v>
      </c>
      <c r="C412" s="75">
        <v>28832.45</v>
      </c>
    </row>
    <row r="413" spans="2:3">
      <c r="B413" s="108">
        <v>42800</v>
      </c>
      <c r="C413" s="75">
        <v>29048.19</v>
      </c>
    </row>
    <row r="414" spans="2:3">
      <c r="B414" s="108">
        <v>42801</v>
      </c>
      <c r="C414" s="75">
        <v>28999.56</v>
      </c>
    </row>
    <row r="415" spans="2:3">
      <c r="B415" s="108">
        <v>42802</v>
      </c>
      <c r="C415" s="75">
        <v>28901.94</v>
      </c>
    </row>
    <row r="416" spans="2:3">
      <c r="B416" s="108">
        <v>42803</v>
      </c>
      <c r="C416" s="75">
        <v>28929.13</v>
      </c>
    </row>
    <row r="417" spans="2:3">
      <c r="B417" s="108">
        <v>42804</v>
      </c>
      <c r="C417" s="75">
        <v>28946.23</v>
      </c>
    </row>
    <row r="418" spans="2:3">
      <c r="B418" s="108">
        <v>42808</v>
      </c>
      <c r="C418" s="75">
        <v>29442.63</v>
      </c>
    </row>
    <row r="419" spans="2:3">
      <c r="B419" s="108">
        <v>42809</v>
      </c>
      <c r="C419" s="75">
        <v>29398.11</v>
      </c>
    </row>
    <row r="420" spans="2:3">
      <c r="B420" s="108">
        <v>42810</v>
      </c>
      <c r="C420" s="75">
        <v>29585.85</v>
      </c>
    </row>
    <row r="421" spans="2:3">
      <c r="B421" s="108">
        <v>42811</v>
      </c>
      <c r="C421" s="75">
        <v>29648.99</v>
      </c>
    </row>
    <row r="422" spans="2:3">
      <c r="B422" s="108">
        <v>42814</v>
      </c>
      <c r="C422" s="75">
        <v>29518.74</v>
      </c>
    </row>
    <row r="423" spans="2:3">
      <c r="B423" s="108">
        <v>42815</v>
      </c>
      <c r="C423" s="75">
        <v>29485.45</v>
      </c>
    </row>
    <row r="424" spans="2:3">
      <c r="B424" s="108">
        <v>42816</v>
      </c>
      <c r="C424" s="75">
        <v>29167.68</v>
      </c>
    </row>
    <row r="425" spans="2:3">
      <c r="B425" s="108">
        <v>42817</v>
      </c>
      <c r="C425" s="75">
        <v>29332.16</v>
      </c>
    </row>
    <row r="426" spans="2:3">
      <c r="B426" s="108">
        <v>42818</v>
      </c>
      <c r="C426" s="75">
        <v>29421.4</v>
      </c>
    </row>
    <row r="427" spans="2:3">
      <c r="B427" s="108">
        <v>42821</v>
      </c>
      <c r="C427" s="75">
        <v>29237.15</v>
      </c>
    </row>
    <row r="428" spans="2:3">
      <c r="B428" s="108">
        <v>42822</v>
      </c>
      <c r="C428" s="75">
        <v>29409.52</v>
      </c>
    </row>
    <row r="429" spans="2:3">
      <c r="B429" s="108">
        <v>42823</v>
      </c>
      <c r="C429" s="75">
        <v>29531.43</v>
      </c>
    </row>
    <row r="430" spans="2:3">
      <c r="B430" s="108">
        <v>42824</v>
      </c>
      <c r="C430" s="75">
        <v>29647.42</v>
      </c>
    </row>
    <row r="431" spans="2:3">
      <c r="B431" s="108">
        <v>42825</v>
      </c>
      <c r="C431" s="75">
        <v>29620.5</v>
      </c>
    </row>
    <row r="432" spans="2:3">
      <c r="B432" s="108">
        <v>42828</v>
      </c>
      <c r="C432" s="75">
        <v>29910.22</v>
      </c>
    </row>
    <row r="433" spans="2:3">
      <c r="B433" s="108">
        <v>42830</v>
      </c>
      <c r="C433" s="75">
        <v>29974.240000000002</v>
      </c>
    </row>
    <row r="434" spans="2:3">
      <c r="B434" s="108">
        <v>42831</v>
      </c>
      <c r="C434" s="75">
        <v>29927.34</v>
      </c>
    </row>
    <row r="435" spans="2:3">
      <c r="B435" s="108">
        <v>42832</v>
      </c>
      <c r="C435" s="75">
        <v>29706.61</v>
      </c>
    </row>
    <row r="436" spans="2:3">
      <c r="B436" s="108">
        <v>42835</v>
      </c>
      <c r="C436" s="75">
        <v>29575.74</v>
      </c>
    </row>
    <row r="437" spans="2:3">
      <c r="B437" s="108">
        <v>42836</v>
      </c>
      <c r="C437" s="75">
        <v>29788.35</v>
      </c>
    </row>
    <row r="438" spans="2:3">
      <c r="B438" s="108">
        <v>42837</v>
      </c>
      <c r="C438" s="75">
        <v>29643.48</v>
      </c>
    </row>
    <row r="439" spans="2:3">
      <c r="B439" s="108">
        <v>42838</v>
      </c>
      <c r="C439" s="75">
        <v>29461.45</v>
      </c>
    </row>
    <row r="440" spans="2:3">
      <c r="B440" s="108">
        <v>42842</v>
      </c>
      <c r="C440" s="75">
        <v>29413.66</v>
      </c>
    </row>
    <row r="441" spans="2:3">
      <c r="B441" s="108">
        <v>42843</v>
      </c>
      <c r="C441" s="75">
        <v>29319.1</v>
      </c>
    </row>
    <row r="442" spans="2:3">
      <c r="B442" s="108">
        <v>42844</v>
      </c>
      <c r="C442" s="75">
        <v>29336.57</v>
      </c>
    </row>
    <row r="443" spans="2:3">
      <c r="B443" s="108">
        <v>42845</v>
      </c>
      <c r="C443" s="75">
        <v>29422.39</v>
      </c>
    </row>
    <row r="444" spans="2:3">
      <c r="B444" s="108">
        <v>42846</v>
      </c>
      <c r="C444" s="75">
        <v>29365.3</v>
      </c>
    </row>
    <row r="445" spans="2:3">
      <c r="B445" s="108">
        <v>42849</v>
      </c>
      <c r="C445" s="75">
        <v>29655.84</v>
      </c>
    </row>
    <row r="446" spans="2:3">
      <c r="B446" s="108">
        <v>42850</v>
      </c>
      <c r="C446" s="75">
        <v>29943.24</v>
      </c>
    </row>
    <row r="447" spans="2:3">
      <c r="B447" s="108">
        <v>42851</v>
      </c>
      <c r="C447" s="75">
        <v>30133.35</v>
      </c>
    </row>
    <row r="448" spans="2:3">
      <c r="B448" s="108">
        <v>42852</v>
      </c>
      <c r="C448" s="75">
        <v>30029.74</v>
      </c>
    </row>
    <row r="449" spans="2:3">
      <c r="B449" s="108">
        <v>42853</v>
      </c>
      <c r="C449" s="75">
        <v>29918.400000000001</v>
      </c>
    </row>
    <row r="450" spans="2:3">
      <c r="B450" s="108">
        <v>42857</v>
      </c>
      <c r="C450" s="75">
        <v>29921.18</v>
      </c>
    </row>
    <row r="451" spans="2:3">
      <c r="B451" s="108">
        <v>42858</v>
      </c>
      <c r="C451" s="75">
        <v>29894.799999999999</v>
      </c>
    </row>
    <row r="452" spans="2:3">
      <c r="B452" s="108">
        <v>42859</v>
      </c>
      <c r="C452" s="75">
        <v>30126.21</v>
      </c>
    </row>
    <row r="453" spans="2:3">
      <c r="B453" s="108">
        <v>42860</v>
      </c>
      <c r="C453" s="75">
        <v>29858.799999999999</v>
      </c>
    </row>
    <row r="454" spans="2:3">
      <c r="B454" s="108">
        <v>42863</v>
      </c>
      <c r="C454" s="75">
        <v>29926.15</v>
      </c>
    </row>
    <row r="455" spans="2:3">
      <c r="B455" s="108">
        <v>42864</v>
      </c>
      <c r="C455" s="75">
        <v>29933.25</v>
      </c>
    </row>
    <row r="456" spans="2:3">
      <c r="B456" s="108">
        <v>42865</v>
      </c>
      <c r="C456" s="75">
        <v>30248.17</v>
      </c>
    </row>
    <row r="457" spans="2:3">
      <c r="B457" s="108">
        <v>42866</v>
      </c>
      <c r="C457" s="75">
        <v>30250.98</v>
      </c>
    </row>
    <row r="458" spans="2:3">
      <c r="B458" s="108">
        <v>42867</v>
      </c>
      <c r="C458" s="75">
        <v>30188.15</v>
      </c>
    </row>
    <row r="459" spans="2:3">
      <c r="B459" s="108">
        <v>42870</v>
      </c>
      <c r="C459" s="75">
        <v>30322.12</v>
      </c>
    </row>
    <row r="460" spans="2:3">
      <c r="B460" s="108">
        <v>42871</v>
      </c>
      <c r="C460" s="75">
        <v>30582.6</v>
      </c>
    </row>
    <row r="461" spans="2:3">
      <c r="B461" s="108">
        <v>42872</v>
      </c>
      <c r="C461" s="75">
        <v>30658.77</v>
      </c>
    </row>
    <row r="462" spans="2:3">
      <c r="B462" s="108">
        <v>42873</v>
      </c>
      <c r="C462" s="75">
        <v>30434.79</v>
      </c>
    </row>
    <row r="463" spans="2:3">
      <c r="B463" s="108">
        <v>42874</v>
      </c>
      <c r="C463" s="75">
        <v>30464.92</v>
      </c>
    </row>
    <row r="464" spans="2:3">
      <c r="B464" s="108">
        <v>42877</v>
      </c>
      <c r="C464" s="75">
        <v>30570.97</v>
      </c>
    </row>
    <row r="465" spans="2:3">
      <c r="B465" s="108">
        <v>42878</v>
      </c>
      <c r="C465" s="75">
        <v>30365.25</v>
      </c>
    </row>
    <row r="466" spans="2:3">
      <c r="B466" s="108">
        <v>42879</v>
      </c>
      <c r="C466" s="75">
        <v>30301.64</v>
      </c>
    </row>
    <row r="467" spans="2:3">
      <c r="B467" s="108">
        <v>42880</v>
      </c>
      <c r="C467" s="75">
        <v>30750.03</v>
      </c>
    </row>
    <row r="468" spans="2:3">
      <c r="B468" s="108">
        <v>42881</v>
      </c>
      <c r="C468" s="75">
        <v>31028.21</v>
      </c>
    </row>
    <row r="469" spans="2:3">
      <c r="B469" s="108">
        <v>42884</v>
      </c>
      <c r="C469" s="75">
        <v>31109.279999999999</v>
      </c>
    </row>
    <row r="470" spans="2:3">
      <c r="B470" s="108">
        <v>42885</v>
      </c>
      <c r="C470" s="75">
        <v>31159.4</v>
      </c>
    </row>
    <row r="471" spans="2:3">
      <c r="B471" s="108">
        <v>42886</v>
      </c>
      <c r="C471" s="75">
        <v>31145.8</v>
      </c>
    </row>
    <row r="472" spans="2:3">
      <c r="B472" s="108">
        <v>42887</v>
      </c>
      <c r="C472" s="75">
        <v>31137.59</v>
      </c>
    </row>
    <row r="473" spans="2:3">
      <c r="B473" s="108">
        <v>42888</v>
      </c>
      <c r="C473" s="75">
        <v>31273.29</v>
      </c>
    </row>
    <row r="474" spans="2:3">
      <c r="B474" s="108">
        <v>42891</v>
      </c>
      <c r="C474" s="75">
        <v>31309.49</v>
      </c>
    </row>
    <row r="475" spans="2:3">
      <c r="B475" s="108">
        <v>42892</v>
      </c>
      <c r="C475" s="75">
        <v>31190.560000000001</v>
      </c>
    </row>
    <row r="476" spans="2:3">
      <c r="B476" s="108">
        <v>42893</v>
      </c>
      <c r="C476" s="75">
        <v>31271.279999999999</v>
      </c>
    </row>
    <row r="477" spans="2:3">
      <c r="B477" s="108">
        <v>42894</v>
      </c>
      <c r="C477" s="75">
        <v>31213.360000000001</v>
      </c>
    </row>
    <row r="478" spans="2:3">
      <c r="B478" s="108">
        <v>42895</v>
      </c>
      <c r="C478" s="75">
        <v>31262.06</v>
      </c>
    </row>
    <row r="479" spans="2:3">
      <c r="B479" s="108">
        <v>42898</v>
      </c>
      <c r="C479" s="75">
        <v>31095.7</v>
      </c>
    </row>
    <row r="480" spans="2:3">
      <c r="B480" s="108">
        <v>42899</v>
      </c>
      <c r="C480" s="75">
        <v>31103.49</v>
      </c>
    </row>
    <row r="481" spans="2:3">
      <c r="B481" s="108">
        <v>42900</v>
      </c>
      <c r="C481" s="75">
        <v>31155.91</v>
      </c>
    </row>
    <row r="482" spans="2:3">
      <c r="B482" s="108">
        <v>42901</v>
      </c>
      <c r="C482" s="75">
        <v>31075.73</v>
      </c>
    </row>
    <row r="483" spans="2:3">
      <c r="B483" s="108">
        <v>42902</v>
      </c>
      <c r="C483" s="75">
        <v>31056.400000000001</v>
      </c>
    </row>
    <row r="484" spans="2:3">
      <c r="B484" s="108">
        <v>42905</v>
      </c>
      <c r="C484" s="75">
        <v>31311.57</v>
      </c>
    </row>
    <row r="485" spans="2:3">
      <c r="B485" s="108">
        <v>42906</v>
      </c>
      <c r="C485" s="75">
        <v>31297.53</v>
      </c>
    </row>
    <row r="486" spans="2:3">
      <c r="B486" s="108">
        <v>42907</v>
      </c>
      <c r="C486" s="75">
        <v>31283.64</v>
      </c>
    </row>
    <row r="487" spans="2:3">
      <c r="B487" s="108">
        <v>42908</v>
      </c>
      <c r="C487" s="75">
        <v>31290.74</v>
      </c>
    </row>
    <row r="488" spans="2:3">
      <c r="B488" s="108">
        <v>42909</v>
      </c>
      <c r="C488" s="75">
        <v>31138.21</v>
      </c>
    </row>
    <row r="489" spans="2:3">
      <c r="B489" s="108">
        <v>42913</v>
      </c>
      <c r="C489" s="75">
        <v>30958.25</v>
      </c>
    </row>
    <row r="490" spans="2:3">
      <c r="B490" s="108">
        <v>42914</v>
      </c>
      <c r="C490" s="75">
        <v>30834.32</v>
      </c>
    </row>
    <row r="491" spans="2:3">
      <c r="B491" s="108">
        <v>42915</v>
      </c>
      <c r="C491" s="75">
        <v>30857.52</v>
      </c>
    </row>
    <row r="492" spans="2:3">
      <c r="B492" s="108">
        <v>42916</v>
      </c>
      <c r="C492" s="75">
        <v>30921.61</v>
      </c>
    </row>
    <row r="493" spans="2:3">
      <c r="B493" s="108">
        <v>42919</v>
      </c>
      <c r="C493" s="75">
        <v>31221.62</v>
      </c>
    </row>
    <row r="494" spans="2:3">
      <c r="B494" s="108">
        <v>42920</v>
      </c>
      <c r="C494" s="75">
        <v>31209.79</v>
      </c>
    </row>
    <row r="495" spans="2:3">
      <c r="B495" s="108">
        <v>42921</v>
      </c>
      <c r="C495" s="75">
        <v>31245.56</v>
      </c>
    </row>
    <row r="496" spans="2:3">
      <c r="B496" s="108">
        <v>42922</v>
      </c>
      <c r="C496" s="75">
        <v>31369.34</v>
      </c>
    </row>
    <row r="497" spans="2:3">
      <c r="B497" s="108">
        <v>42923</v>
      </c>
      <c r="C497" s="75">
        <v>31360.63</v>
      </c>
    </row>
    <row r="498" spans="2:3">
      <c r="B498" s="108">
        <v>42926</v>
      </c>
      <c r="C498" s="75">
        <v>31715.64</v>
      </c>
    </row>
    <row r="499" spans="2:3">
      <c r="B499" s="108">
        <v>42927</v>
      </c>
      <c r="C499" s="75">
        <v>31747.09</v>
      </c>
    </row>
    <row r="500" spans="2:3">
      <c r="B500" s="108">
        <v>42928</v>
      </c>
      <c r="C500" s="75">
        <v>31804.82</v>
      </c>
    </row>
    <row r="501" spans="2:3">
      <c r="B501" s="108">
        <v>42929</v>
      </c>
      <c r="C501" s="75">
        <v>32037.38</v>
      </c>
    </row>
    <row r="502" spans="2:3">
      <c r="B502" s="108">
        <v>42930</v>
      </c>
      <c r="C502" s="75">
        <v>32020.75</v>
      </c>
    </row>
    <row r="503" spans="2:3">
      <c r="B503" s="108">
        <v>42933</v>
      </c>
      <c r="C503" s="75">
        <v>32074.78</v>
      </c>
    </row>
    <row r="504" spans="2:3">
      <c r="B504" s="108">
        <v>42934</v>
      </c>
      <c r="C504" s="75">
        <v>31710.99</v>
      </c>
    </row>
    <row r="505" spans="2:3">
      <c r="B505" s="108">
        <v>42935</v>
      </c>
      <c r="C505" s="75">
        <v>31955.35</v>
      </c>
    </row>
    <row r="506" spans="2:3">
      <c r="B506" s="108">
        <v>42936</v>
      </c>
      <c r="C506" s="75">
        <v>31904.400000000001</v>
      </c>
    </row>
    <row r="507" spans="2:3">
      <c r="B507" s="108">
        <v>42937</v>
      </c>
      <c r="C507" s="75">
        <v>32028.89</v>
      </c>
    </row>
    <row r="508" spans="2:3">
      <c r="B508" s="108">
        <v>42940</v>
      </c>
      <c r="C508" s="75">
        <v>32245.87</v>
      </c>
    </row>
    <row r="509" spans="2:3">
      <c r="B509" s="108">
        <v>42941</v>
      </c>
      <c r="C509" s="75">
        <v>32228.27</v>
      </c>
    </row>
    <row r="510" spans="2:3">
      <c r="B510" s="108">
        <v>42942</v>
      </c>
      <c r="C510" s="75">
        <v>32382.46</v>
      </c>
    </row>
    <row r="511" spans="2:3">
      <c r="B511" s="108">
        <v>42943</v>
      </c>
      <c r="C511" s="75">
        <v>32383.3</v>
      </c>
    </row>
    <row r="512" spans="2:3">
      <c r="B512" s="108">
        <v>42944</v>
      </c>
      <c r="C512" s="75">
        <v>32309.88</v>
      </c>
    </row>
    <row r="513" spans="2:3">
      <c r="B513" s="108">
        <v>42947</v>
      </c>
      <c r="C513" s="75">
        <v>32514.94</v>
      </c>
    </row>
    <row r="514" spans="2:3">
      <c r="B514" s="108">
        <v>42948</v>
      </c>
      <c r="C514" s="75">
        <v>32575.17</v>
      </c>
    </row>
    <row r="515" spans="2:3">
      <c r="B515" s="108">
        <v>42949</v>
      </c>
      <c r="C515" s="75">
        <v>32476.74</v>
      </c>
    </row>
    <row r="516" spans="2:3">
      <c r="B516" s="108">
        <v>42950</v>
      </c>
      <c r="C516" s="75">
        <v>32237.88</v>
      </c>
    </row>
    <row r="517" spans="2:3">
      <c r="B517" s="108">
        <v>42951</v>
      </c>
      <c r="C517" s="75">
        <v>32325.41</v>
      </c>
    </row>
    <row r="518" spans="2:3">
      <c r="B518" s="108">
        <v>42954</v>
      </c>
      <c r="C518" s="75">
        <v>32273.67</v>
      </c>
    </row>
    <row r="519" spans="2:3">
      <c r="B519" s="108">
        <v>42955</v>
      </c>
      <c r="C519" s="75">
        <v>32014.19</v>
      </c>
    </row>
    <row r="520" spans="2:3">
      <c r="B520" s="108">
        <v>42956</v>
      </c>
      <c r="C520" s="75">
        <v>31797.84</v>
      </c>
    </row>
    <row r="521" spans="2:3">
      <c r="B521" s="108">
        <v>42957</v>
      </c>
      <c r="C521" s="75">
        <v>31531.33</v>
      </c>
    </row>
    <row r="522" spans="2:3">
      <c r="B522" s="108">
        <v>42958</v>
      </c>
      <c r="C522" s="75">
        <v>31213.59</v>
      </c>
    </row>
    <row r="523" spans="2:3">
      <c r="B523" s="108">
        <v>42961</v>
      </c>
      <c r="C523" s="75">
        <v>31449.03</v>
      </c>
    </row>
    <row r="524" spans="2:3">
      <c r="B524" s="108">
        <v>42963</v>
      </c>
      <c r="C524" s="75">
        <v>31770.89</v>
      </c>
    </row>
    <row r="525" spans="2:3">
      <c r="B525" s="108">
        <v>42964</v>
      </c>
      <c r="C525" s="75">
        <v>31795.46</v>
      </c>
    </row>
    <row r="526" spans="2:3">
      <c r="B526" s="108">
        <v>42965</v>
      </c>
      <c r="C526" s="75">
        <v>31524.68</v>
      </c>
    </row>
    <row r="527" spans="2:3">
      <c r="B527" s="108">
        <v>42968</v>
      </c>
      <c r="C527" s="75">
        <v>31258.85</v>
      </c>
    </row>
    <row r="528" spans="2:3">
      <c r="B528" s="108">
        <v>42969</v>
      </c>
      <c r="C528" s="75">
        <v>31291.85</v>
      </c>
    </row>
    <row r="529" spans="2:3">
      <c r="B529" s="108">
        <v>42970</v>
      </c>
      <c r="C529" s="75">
        <v>31568.01</v>
      </c>
    </row>
    <row r="530" spans="2:3">
      <c r="B530" s="108">
        <v>42971</v>
      </c>
      <c r="C530" s="75">
        <v>31596.06</v>
      </c>
    </row>
    <row r="531" spans="2:3">
      <c r="B531" s="108">
        <v>42975</v>
      </c>
      <c r="C531" s="75">
        <v>31750.82</v>
      </c>
    </row>
    <row r="532" spans="2:3">
      <c r="B532" s="108">
        <v>42976</v>
      </c>
      <c r="C532" s="75">
        <v>31388.39</v>
      </c>
    </row>
    <row r="533" spans="2:3">
      <c r="B533" s="108">
        <v>42977</v>
      </c>
      <c r="C533" s="75">
        <v>31646.46</v>
      </c>
    </row>
    <row r="534" spans="2:3">
      <c r="B534" s="108">
        <v>42978</v>
      </c>
      <c r="C534" s="75">
        <v>31730.49</v>
      </c>
    </row>
    <row r="535" spans="2:3">
      <c r="B535" s="108">
        <v>42979</v>
      </c>
      <c r="C535" s="75">
        <v>31892.23</v>
      </c>
    </row>
    <row r="536" spans="2:3">
      <c r="B536" s="108">
        <v>42982</v>
      </c>
      <c r="C536" s="75">
        <v>31702.25</v>
      </c>
    </row>
    <row r="537" spans="2:3">
      <c r="B537" s="108">
        <v>42983</v>
      </c>
      <c r="C537" s="75">
        <v>31809.55</v>
      </c>
    </row>
    <row r="538" spans="2:3">
      <c r="B538" s="108">
        <v>42984</v>
      </c>
      <c r="C538" s="75">
        <v>31661.97</v>
      </c>
    </row>
    <row r="539" spans="2:3">
      <c r="B539" s="108">
        <v>42985</v>
      </c>
      <c r="C539" s="75">
        <v>31662.74</v>
      </c>
    </row>
    <row r="540" spans="2:3">
      <c r="B540" s="108">
        <v>42986</v>
      </c>
      <c r="C540" s="75">
        <v>31687.52</v>
      </c>
    </row>
    <row r="541" spans="2:3">
      <c r="B541" s="108">
        <v>42989</v>
      </c>
      <c r="C541" s="75">
        <v>31882.16</v>
      </c>
    </row>
    <row r="542" spans="2:3">
      <c r="B542" s="108">
        <v>42990</v>
      </c>
      <c r="C542" s="75">
        <v>32158.66</v>
      </c>
    </row>
    <row r="543" spans="2:3">
      <c r="B543" s="108">
        <v>42991</v>
      </c>
      <c r="C543" s="75">
        <v>32186.41</v>
      </c>
    </row>
    <row r="544" spans="2:3">
      <c r="B544" s="108">
        <v>42992</v>
      </c>
      <c r="C544" s="75">
        <v>32241.93</v>
      </c>
    </row>
    <row r="545" spans="2:3">
      <c r="B545" s="108">
        <v>42993</v>
      </c>
      <c r="C545" s="75">
        <v>32272.61</v>
      </c>
    </row>
    <row r="546" spans="2:3">
      <c r="B546" s="108">
        <v>42996</v>
      </c>
      <c r="C546" s="75">
        <v>32423.759999999998</v>
      </c>
    </row>
    <row r="547" spans="2:3">
      <c r="B547" s="108">
        <v>42997</v>
      </c>
      <c r="C547" s="75">
        <v>32402.37</v>
      </c>
    </row>
    <row r="548" spans="2:3">
      <c r="B548" s="108">
        <v>42998</v>
      </c>
      <c r="C548" s="75">
        <v>32400.51</v>
      </c>
    </row>
    <row r="549" spans="2:3">
      <c r="B549" s="108">
        <v>42999</v>
      </c>
      <c r="C549" s="75">
        <v>32370.04</v>
      </c>
    </row>
    <row r="550" spans="2:3">
      <c r="B550" s="108">
        <v>43000</v>
      </c>
      <c r="C550" s="75">
        <v>31922.44</v>
      </c>
    </row>
    <row r="551" spans="2:3">
      <c r="B551" s="108">
        <v>43003</v>
      </c>
      <c r="C551" s="75">
        <v>31626.63</v>
      </c>
    </row>
    <row r="552" spans="2:3">
      <c r="B552" s="108">
        <v>43004</v>
      </c>
      <c r="C552" s="75">
        <v>31599.759999999998</v>
      </c>
    </row>
    <row r="553" spans="2:3">
      <c r="B553" s="108">
        <v>43005</v>
      </c>
      <c r="C553" s="75">
        <v>31159.81</v>
      </c>
    </row>
    <row r="554" spans="2:3">
      <c r="B554" s="108">
        <v>43006</v>
      </c>
      <c r="C554" s="75">
        <v>31282.48</v>
      </c>
    </row>
    <row r="555" spans="2:3">
      <c r="B555" s="108">
        <v>43007</v>
      </c>
      <c r="C555" s="75">
        <v>31283.72</v>
      </c>
    </row>
    <row r="556" spans="2:3">
      <c r="B556" s="108">
        <v>43011</v>
      </c>
      <c r="C556" s="75">
        <v>31497.38</v>
      </c>
    </row>
    <row r="557" spans="2:3">
      <c r="B557" s="108">
        <v>43012</v>
      </c>
      <c r="C557" s="75">
        <v>31671.71</v>
      </c>
    </row>
    <row r="558" spans="2:3">
      <c r="B558" s="108">
        <v>43013</v>
      </c>
      <c r="C558" s="75">
        <v>31592.03</v>
      </c>
    </row>
    <row r="559" spans="2:3">
      <c r="B559" s="108">
        <v>43014</v>
      </c>
      <c r="C559" s="75">
        <v>31814.22</v>
      </c>
    </row>
    <row r="560" spans="2:3">
      <c r="B560" s="108">
        <v>43017</v>
      </c>
      <c r="C560" s="75">
        <v>31846.89</v>
      </c>
    </row>
    <row r="561" spans="2:3">
      <c r="B561" s="108">
        <v>43018</v>
      </c>
      <c r="C561" s="75">
        <v>31924.41</v>
      </c>
    </row>
    <row r="562" spans="2:3">
      <c r="B562" s="108">
        <v>43019</v>
      </c>
      <c r="C562" s="75">
        <v>31833.99</v>
      </c>
    </row>
    <row r="563" spans="2:3">
      <c r="B563" s="108">
        <v>43020</v>
      </c>
      <c r="C563" s="75">
        <v>32182.22</v>
      </c>
    </row>
    <row r="564" spans="2:3">
      <c r="B564" s="108">
        <v>43021</v>
      </c>
      <c r="C564" s="75">
        <v>32432.69</v>
      </c>
    </row>
    <row r="565" spans="2:3">
      <c r="B565" s="108">
        <v>43024</v>
      </c>
      <c r="C565" s="75">
        <v>32633.64</v>
      </c>
    </row>
    <row r="566" spans="2:3">
      <c r="B566" s="108">
        <v>43025</v>
      </c>
      <c r="C566" s="75">
        <v>32609.16</v>
      </c>
    </row>
    <row r="567" spans="2:3">
      <c r="B567" s="108">
        <v>43026</v>
      </c>
      <c r="C567" s="75">
        <v>32584.35</v>
      </c>
    </row>
    <row r="568" spans="2:3">
      <c r="B568" s="108">
        <v>43027</v>
      </c>
      <c r="C568" s="75">
        <v>32389.96</v>
      </c>
    </row>
    <row r="569" spans="2:3">
      <c r="B569" s="108">
        <v>43031</v>
      </c>
      <c r="C569" s="75">
        <v>32506.720000000001</v>
      </c>
    </row>
    <row r="570" spans="2:3">
      <c r="B570" s="108">
        <v>43032</v>
      </c>
      <c r="C570" s="75">
        <v>32607.34</v>
      </c>
    </row>
    <row r="571" spans="2:3">
      <c r="B571" s="108">
        <v>43033</v>
      </c>
      <c r="C571" s="75">
        <v>33042.5</v>
      </c>
    </row>
    <row r="572" spans="2:3">
      <c r="B572" s="108">
        <v>43034</v>
      </c>
      <c r="C572" s="75">
        <v>33147.129999999997</v>
      </c>
    </row>
    <row r="573" spans="2:3">
      <c r="B573" s="108">
        <v>43035</v>
      </c>
      <c r="C573" s="75">
        <v>33157.22</v>
      </c>
    </row>
    <row r="574" spans="2:3">
      <c r="B574" s="108">
        <v>43038</v>
      </c>
      <c r="C574" s="75">
        <v>33266.160000000003</v>
      </c>
    </row>
    <row r="575" spans="2:3">
      <c r="B575" s="108">
        <v>43039</v>
      </c>
      <c r="C575" s="75">
        <v>33213.129999999997</v>
      </c>
    </row>
    <row r="576" spans="2:3">
      <c r="B576" s="108">
        <v>43040</v>
      </c>
      <c r="C576" s="75">
        <v>33600.269999999997</v>
      </c>
    </row>
    <row r="577" spans="2:3">
      <c r="B577" s="108">
        <v>43041</v>
      </c>
      <c r="C577" s="75">
        <v>33573.22</v>
      </c>
    </row>
    <row r="578" spans="2:3">
      <c r="B578" s="108">
        <v>43042</v>
      </c>
      <c r="C578" s="75">
        <v>33685.56</v>
      </c>
    </row>
    <row r="579" spans="2:3">
      <c r="B579" s="108">
        <v>43045</v>
      </c>
      <c r="C579" s="75">
        <v>33731.19</v>
      </c>
    </row>
    <row r="580" spans="2:3">
      <c r="B580" s="108">
        <v>43046</v>
      </c>
      <c r="C580" s="75">
        <v>33370.76</v>
      </c>
    </row>
    <row r="581" spans="2:3">
      <c r="B581" s="108">
        <v>43047</v>
      </c>
      <c r="C581" s="75">
        <v>33218.81</v>
      </c>
    </row>
    <row r="582" spans="2:3">
      <c r="B582" s="108">
        <v>43048</v>
      </c>
      <c r="C582" s="75">
        <v>33250.93</v>
      </c>
    </row>
    <row r="583" spans="2:3">
      <c r="B583" s="108">
        <v>43049</v>
      </c>
      <c r="C583" s="75">
        <v>33314.559999999998</v>
      </c>
    </row>
    <row r="584" spans="2:3">
      <c r="B584" s="108">
        <v>43052</v>
      </c>
      <c r="C584" s="75">
        <v>33033.56</v>
      </c>
    </row>
    <row r="585" spans="2:3">
      <c r="B585" s="108">
        <v>43053</v>
      </c>
      <c r="C585" s="75">
        <v>32941.870000000003</v>
      </c>
    </row>
    <row r="586" spans="2:3">
      <c r="B586" s="108">
        <v>43054</v>
      </c>
      <c r="C586" s="75">
        <v>32760.44</v>
      </c>
    </row>
    <row r="587" spans="2:3">
      <c r="B587" s="108">
        <v>43055</v>
      </c>
      <c r="C587" s="75">
        <v>33106.82</v>
      </c>
    </row>
    <row r="588" spans="2:3">
      <c r="B588" s="108">
        <v>43056</v>
      </c>
      <c r="C588" s="75">
        <v>33342.800000000003</v>
      </c>
    </row>
    <row r="589" spans="2:3">
      <c r="B589" s="108">
        <v>43059</v>
      </c>
      <c r="C589" s="75">
        <v>33359.9</v>
      </c>
    </row>
    <row r="590" spans="2:3">
      <c r="B590" s="108">
        <v>43060</v>
      </c>
      <c r="C590" s="75">
        <v>33478.35</v>
      </c>
    </row>
    <row r="591" spans="2:3">
      <c r="B591" s="108">
        <v>43061</v>
      </c>
      <c r="C591" s="75">
        <v>33561.550000000003</v>
      </c>
    </row>
    <row r="592" spans="2:3">
      <c r="B592" s="108">
        <v>43062</v>
      </c>
      <c r="C592" s="75">
        <v>33588.080000000002</v>
      </c>
    </row>
    <row r="593" spans="2:3">
      <c r="B593" s="108">
        <v>43063</v>
      </c>
      <c r="C593" s="75">
        <v>33679.24</v>
      </c>
    </row>
    <row r="594" spans="2:3">
      <c r="B594" s="108">
        <v>43066</v>
      </c>
      <c r="C594" s="75">
        <v>33724.44</v>
      </c>
    </row>
    <row r="595" spans="2:3">
      <c r="B595" s="108">
        <v>43067</v>
      </c>
      <c r="C595" s="75">
        <v>33618.589999999997</v>
      </c>
    </row>
    <row r="596" spans="2:3">
      <c r="B596" s="108">
        <v>43068</v>
      </c>
      <c r="C596" s="75">
        <v>33602.76</v>
      </c>
    </row>
    <row r="597" spans="2:3">
      <c r="B597" s="108">
        <v>43069</v>
      </c>
      <c r="C597" s="75">
        <v>33149.35</v>
      </c>
    </row>
    <row r="598" spans="2:3">
      <c r="B598" s="108">
        <v>43070</v>
      </c>
      <c r="C598" s="75">
        <v>32832.94</v>
      </c>
    </row>
    <row r="599" spans="2:3">
      <c r="B599" s="108">
        <v>43073</v>
      </c>
      <c r="C599" s="75">
        <v>32869.72</v>
      </c>
    </row>
    <row r="600" spans="2:3">
      <c r="B600" s="108">
        <v>43074</v>
      </c>
      <c r="C600" s="75">
        <v>32802.44</v>
      </c>
    </row>
    <row r="601" spans="2:3">
      <c r="B601" s="108">
        <v>43075</v>
      </c>
      <c r="C601" s="75">
        <v>32597.18</v>
      </c>
    </row>
    <row r="602" spans="2:3">
      <c r="B602" s="108">
        <v>43076</v>
      </c>
      <c r="C602" s="75">
        <v>32949.21</v>
      </c>
    </row>
    <row r="603" spans="2:3">
      <c r="B603" s="108">
        <v>43077</v>
      </c>
      <c r="C603" s="75">
        <v>33250.300000000003</v>
      </c>
    </row>
    <row r="604" spans="2:3">
      <c r="B604" s="108">
        <v>43080</v>
      </c>
      <c r="C604" s="75">
        <v>33455.79</v>
      </c>
    </row>
    <row r="605" spans="2:3">
      <c r="B605" s="108">
        <v>43081</v>
      </c>
      <c r="C605" s="75">
        <v>33227.99</v>
      </c>
    </row>
    <row r="606" spans="2:3">
      <c r="B606" s="108">
        <v>43082</v>
      </c>
      <c r="C606" s="75">
        <v>33053.040000000001</v>
      </c>
    </row>
    <row r="607" spans="2:3">
      <c r="B607" s="108">
        <v>43083</v>
      </c>
      <c r="C607" s="75">
        <v>33246.699999999997</v>
      </c>
    </row>
    <row r="608" spans="2:3">
      <c r="B608" s="108">
        <v>43084</v>
      </c>
      <c r="C608" s="75">
        <v>33462.97</v>
      </c>
    </row>
    <row r="609" spans="2:3">
      <c r="B609" s="108">
        <v>43087</v>
      </c>
      <c r="C609" s="75">
        <v>33601.68</v>
      </c>
    </row>
    <row r="610" spans="2:3">
      <c r="B610" s="108">
        <v>43088</v>
      </c>
      <c r="C610" s="75">
        <v>33836.74</v>
      </c>
    </row>
    <row r="611" spans="2:3">
      <c r="B611" s="108">
        <v>43089</v>
      </c>
      <c r="C611" s="75">
        <v>33777.379999999997</v>
      </c>
    </row>
    <row r="612" spans="2:3">
      <c r="B612" s="108">
        <v>43090</v>
      </c>
      <c r="C612" s="75">
        <v>33756.28</v>
      </c>
    </row>
    <row r="613" spans="2:3">
      <c r="B613" s="108">
        <v>43091</v>
      </c>
      <c r="C613" s="75">
        <v>33940.300000000003</v>
      </c>
    </row>
    <row r="614" spans="2:3">
      <c r="B614" s="108">
        <v>43095</v>
      </c>
      <c r="C614" s="75">
        <v>34010.61</v>
      </c>
    </row>
    <row r="615" spans="2:3">
      <c r="B615" s="108">
        <v>43096</v>
      </c>
      <c r="C615" s="75">
        <v>33911.81</v>
      </c>
    </row>
    <row r="616" spans="2:3">
      <c r="B616" s="108">
        <v>43097</v>
      </c>
      <c r="C616" s="75">
        <v>33848.03</v>
      </c>
    </row>
    <row r="617" spans="2:3">
      <c r="B617" s="108">
        <v>43098</v>
      </c>
      <c r="C617" s="75">
        <v>34056.83</v>
      </c>
    </row>
    <row r="618" spans="2:3">
      <c r="B618" s="108">
        <v>43101</v>
      </c>
      <c r="C618" s="75">
        <v>33812.75</v>
      </c>
    </row>
    <row r="619" spans="2:3">
      <c r="B619" s="108">
        <v>43102</v>
      </c>
      <c r="C619" s="75">
        <v>33812.26</v>
      </c>
    </row>
    <row r="620" spans="2:3">
      <c r="B620" s="108">
        <v>43103</v>
      </c>
      <c r="C620" s="75">
        <v>33793.379999999997</v>
      </c>
    </row>
    <row r="621" spans="2:3">
      <c r="B621" s="108">
        <v>43104</v>
      </c>
      <c r="C621" s="75">
        <v>33969.64</v>
      </c>
    </row>
    <row r="622" spans="2:3">
      <c r="B622" s="108">
        <v>43105</v>
      </c>
      <c r="C622" s="75">
        <v>34153.85</v>
      </c>
    </row>
    <row r="623" spans="2:3">
      <c r="B623" s="108">
        <v>43108</v>
      </c>
      <c r="C623" s="75">
        <v>34352.79</v>
      </c>
    </row>
    <row r="624" spans="2:3">
      <c r="B624" s="108">
        <v>43109</v>
      </c>
      <c r="C624" s="75">
        <v>34443.19</v>
      </c>
    </row>
    <row r="625" spans="2:3">
      <c r="B625" s="108">
        <v>43110</v>
      </c>
      <c r="C625" s="75">
        <v>34433.07</v>
      </c>
    </row>
    <row r="626" spans="2:3">
      <c r="B626" s="108">
        <v>43111</v>
      </c>
      <c r="C626" s="75">
        <v>34503.49</v>
      </c>
    </row>
    <row r="627" spans="2:3">
      <c r="B627" s="108">
        <v>43112</v>
      </c>
      <c r="C627" s="75">
        <v>34592.39</v>
      </c>
    </row>
    <row r="628" spans="2:3">
      <c r="B628" s="108">
        <v>43115</v>
      </c>
      <c r="C628" s="75">
        <v>34843.51</v>
      </c>
    </row>
    <row r="629" spans="2:3">
      <c r="B629" s="108">
        <v>43116</v>
      </c>
      <c r="C629" s="75">
        <v>34771.050000000003</v>
      </c>
    </row>
    <row r="630" spans="2:3">
      <c r="B630" s="108">
        <v>43117</v>
      </c>
      <c r="C630" s="75">
        <v>35081.82</v>
      </c>
    </row>
    <row r="631" spans="2:3">
      <c r="B631" s="108">
        <v>43118</v>
      </c>
      <c r="C631" s="75">
        <v>35260.29</v>
      </c>
    </row>
    <row r="632" spans="2:3">
      <c r="B632" s="108">
        <v>43119</v>
      </c>
      <c r="C632" s="75">
        <v>35511.58</v>
      </c>
    </row>
    <row r="633" spans="2:3">
      <c r="B633" s="108">
        <v>43122</v>
      </c>
      <c r="C633" s="75">
        <v>35798.01</v>
      </c>
    </row>
    <row r="634" spans="2:3">
      <c r="B634" s="108">
        <v>43123</v>
      </c>
      <c r="C634" s="75">
        <v>36139.980000000003</v>
      </c>
    </row>
    <row r="635" spans="2:3">
      <c r="B635" s="108">
        <v>43124</v>
      </c>
      <c r="C635" s="75">
        <v>36161.64</v>
      </c>
    </row>
    <row r="636" spans="2:3">
      <c r="B636" s="108">
        <v>43125</v>
      </c>
      <c r="C636" s="75">
        <v>36050.44</v>
      </c>
    </row>
    <row r="637" spans="2:3">
      <c r="B637" s="108">
        <v>43129</v>
      </c>
      <c r="C637" s="75">
        <v>36283.25</v>
      </c>
    </row>
    <row r="638" spans="2:3">
      <c r="B638" s="108">
        <v>43130</v>
      </c>
      <c r="C638" s="75">
        <v>36033.730000000003</v>
      </c>
    </row>
    <row r="639" spans="2:3">
      <c r="B639" s="108">
        <v>43131</v>
      </c>
      <c r="C639" s="75">
        <v>35965.019999999997</v>
      </c>
    </row>
    <row r="640" spans="2:3">
      <c r="B640" s="108">
        <v>43132</v>
      </c>
      <c r="C640" s="75">
        <v>35906.660000000003</v>
      </c>
    </row>
    <row r="641" spans="2:3">
      <c r="B641" s="108">
        <v>43133</v>
      </c>
      <c r="C641" s="75">
        <v>35066.75</v>
      </c>
    </row>
    <row r="642" spans="2:3">
      <c r="B642" s="108">
        <v>43136</v>
      </c>
      <c r="C642" s="75">
        <v>34757.160000000003</v>
      </c>
    </row>
    <row r="643" spans="2:3">
      <c r="B643" s="108">
        <v>43137</v>
      </c>
      <c r="C643" s="75">
        <v>34195.94</v>
      </c>
    </row>
    <row r="644" spans="2:3">
      <c r="B644" s="108">
        <v>43138</v>
      </c>
      <c r="C644" s="75">
        <v>34082.71</v>
      </c>
    </row>
    <row r="645" spans="2:3">
      <c r="B645" s="108">
        <v>43139</v>
      </c>
      <c r="C645" s="75">
        <v>34413.160000000003</v>
      </c>
    </row>
    <row r="646" spans="2:3">
      <c r="B646" s="108">
        <v>43140</v>
      </c>
      <c r="C646" s="75">
        <v>34005.760000000002</v>
      </c>
    </row>
    <row r="647" spans="2:3">
      <c r="B647" s="108">
        <v>43143</v>
      </c>
      <c r="C647" s="75">
        <v>34300.47</v>
      </c>
    </row>
    <row r="648" spans="2:3">
      <c r="B648" s="108">
        <v>43145</v>
      </c>
      <c r="C648" s="75">
        <v>34155.949999999997</v>
      </c>
    </row>
    <row r="649" spans="2:3">
      <c r="B649" s="108">
        <v>43146</v>
      </c>
      <c r="C649" s="75">
        <v>34297.47</v>
      </c>
    </row>
    <row r="650" spans="2:3">
      <c r="B650" s="108">
        <v>43147</v>
      </c>
      <c r="C650" s="75">
        <v>34010.76</v>
      </c>
    </row>
    <row r="651" spans="2:3">
      <c r="B651" s="108">
        <v>43150</v>
      </c>
      <c r="C651" s="75">
        <v>33774.660000000003</v>
      </c>
    </row>
    <row r="652" spans="2:3">
      <c r="B652" s="108">
        <v>43151</v>
      </c>
      <c r="C652" s="75">
        <v>33703.589999999997</v>
      </c>
    </row>
    <row r="653" spans="2:3">
      <c r="B653" s="108">
        <v>43152</v>
      </c>
      <c r="C653" s="75">
        <v>33844.86</v>
      </c>
    </row>
    <row r="654" spans="2:3">
      <c r="B654" s="108">
        <v>43153</v>
      </c>
      <c r="C654" s="75">
        <v>33819.5</v>
      </c>
    </row>
    <row r="655" spans="2:3">
      <c r="B655" s="108">
        <v>43154</v>
      </c>
      <c r="C655" s="75">
        <v>34142.15</v>
      </c>
    </row>
    <row r="656" spans="2:3">
      <c r="B656" s="108">
        <v>43157</v>
      </c>
      <c r="C656" s="75">
        <v>34445.75</v>
      </c>
    </row>
    <row r="657" spans="2:3">
      <c r="B657" s="108">
        <v>43158</v>
      </c>
      <c r="C657" s="75">
        <v>34346.39</v>
      </c>
    </row>
    <row r="658" spans="2:3">
      <c r="B658" s="108">
        <v>43159</v>
      </c>
      <c r="C658" s="75">
        <v>34184.04</v>
      </c>
    </row>
    <row r="659" spans="2:3">
      <c r="B659" s="108">
        <v>43160</v>
      </c>
      <c r="C659" s="75">
        <v>34046.94</v>
      </c>
    </row>
    <row r="660" spans="2:3">
      <c r="B660" s="108">
        <v>43164</v>
      </c>
      <c r="C660" s="75">
        <v>33746.78</v>
      </c>
    </row>
    <row r="661" spans="2:3">
      <c r="B661" s="108">
        <v>43165</v>
      </c>
      <c r="C661" s="75">
        <v>33317.199999999997</v>
      </c>
    </row>
    <row r="662" spans="2:3">
      <c r="B662" s="108">
        <v>43166</v>
      </c>
      <c r="C662" s="75">
        <v>33033.089999999997</v>
      </c>
    </row>
    <row r="663" spans="2:3">
      <c r="B663" s="108">
        <v>43167</v>
      </c>
      <c r="C663" s="75">
        <v>33351.57</v>
      </c>
    </row>
    <row r="664" spans="2:3">
      <c r="B664" s="108">
        <v>43168</v>
      </c>
      <c r="C664" s="75">
        <v>33307.14</v>
      </c>
    </row>
    <row r="665" spans="2:3">
      <c r="B665" s="108">
        <v>43171</v>
      </c>
      <c r="C665" s="75">
        <v>33917.94</v>
      </c>
    </row>
    <row r="666" spans="2:3">
      <c r="B666" s="108">
        <v>43172</v>
      </c>
      <c r="C666" s="75">
        <v>33856.78</v>
      </c>
    </row>
    <row r="667" spans="2:3">
      <c r="B667" s="108">
        <v>43173</v>
      </c>
      <c r="C667" s="75">
        <v>33835.74</v>
      </c>
    </row>
    <row r="668" spans="2:3">
      <c r="B668" s="108">
        <v>43174</v>
      </c>
      <c r="C668" s="75">
        <v>33685.54</v>
      </c>
    </row>
    <row r="669" spans="2:3">
      <c r="B669" s="108">
        <v>43175</v>
      </c>
      <c r="C669" s="75">
        <v>33176</v>
      </c>
    </row>
    <row r="670" spans="2:3">
      <c r="B670" s="108">
        <v>43178</v>
      </c>
      <c r="C670" s="75">
        <v>32923.120000000003</v>
      </c>
    </row>
    <row r="671" spans="2:3">
      <c r="B671" s="108">
        <v>43179</v>
      </c>
      <c r="C671" s="75">
        <v>32996.76</v>
      </c>
    </row>
    <row r="672" spans="2:3">
      <c r="B672" s="108">
        <v>43180</v>
      </c>
      <c r="C672" s="75">
        <v>33136.18</v>
      </c>
    </row>
    <row r="673" spans="2:3">
      <c r="B673" s="108">
        <v>43181</v>
      </c>
      <c r="C673" s="75">
        <v>33006.269999999997</v>
      </c>
    </row>
    <row r="674" spans="2:3">
      <c r="B674" s="108">
        <v>43182</v>
      </c>
      <c r="C674" s="75">
        <v>32596.54</v>
      </c>
    </row>
    <row r="675" spans="2:3">
      <c r="B675" s="108">
        <v>43185</v>
      </c>
      <c r="C675" s="75">
        <v>33066.410000000003</v>
      </c>
    </row>
    <row r="676" spans="2:3">
      <c r="B676" s="108">
        <v>43186</v>
      </c>
      <c r="C676" s="75">
        <v>33174.39</v>
      </c>
    </row>
    <row r="677" spans="2:3">
      <c r="B677" s="108">
        <v>43187</v>
      </c>
      <c r="C677" s="75">
        <v>32968.68</v>
      </c>
    </row>
    <row r="678" spans="2:3">
      <c r="B678" s="108">
        <v>43192</v>
      </c>
      <c r="C678" s="75">
        <v>33255.360000000001</v>
      </c>
    </row>
    <row r="679" spans="2:3">
      <c r="B679" s="108">
        <v>43193</v>
      </c>
      <c r="C679" s="75">
        <v>33370.629999999997</v>
      </c>
    </row>
    <row r="680" spans="2:3">
      <c r="B680" s="108">
        <v>43194</v>
      </c>
      <c r="C680" s="75">
        <v>33019.07</v>
      </c>
    </row>
    <row r="681" spans="2:3">
      <c r="B681" s="108">
        <v>43195</v>
      </c>
      <c r="C681" s="75">
        <v>33596.800000000003</v>
      </c>
    </row>
    <row r="682" spans="2:3">
      <c r="B682" s="108">
        <v>43196</v>
      </c>
      <c r="C682" s="75">
        <v>33626.97</v>
      </c>
    </row>
    <row r="683" spans="2:3">
      <c r="B683" s="108">
        <v>43199</v>
      </c>
      <c r="C683" s="75">
        <v>33788.54</v>
      </c>
    </row>
    <row r="684" spans="2:3">
      <c r="B684" s="108">
        <v>43200</v>
      </c>
      <c r="C684" s="75">
        <v>33880.25</v>
      </c>
    </row>
    <row r="685" spans="2:3">
      <c r="B685" s="108">
        <v>43201</v>
      </c>
      <c r="C685" s="75">
        <v>33940.44</v>
      </c>
    </row>
    <row r="686" spans="2:3">
      <c r="B686" s="108">
        <v>43202</v>
      </c>
      <c r="C686" s="75">
        <v>34101.129999999997</v>
      </c>
    </row>
    <row r="687" spans="2:3">
      <c r="B687" s="108">
        <v>43203</v>
      </c>
      <c r="C687" s="75">
        <v>34192.65</v>
      </c>
    </row>
    <row r="688" spans="2:3">
      <c r="B688" s="108">
        <v>43206</v>
      </c>
      <c r="C688" s="75">
        <v>34305.43</v>
      </c>
    </row>
    <row r="689" spans="2:3">
      <c r="B689" s="108">
        <v>43207</v>
      </c>
      <c r="C689" s="75">
        <v>34395.06</v>
      </c>
    </row>
    <row r="690" spans="2:3">
      <c r="B690" s="108">
        <v>43208</v>
      </c>
      <c r="C690" s="75">
        <v>34331.68</v>
      </c>
    </row>
    <row r="691" spans="2:3">
      <c r="B691" s="108">
        <v>43209</v>
      </c>
      <c r="C691" s="75">
        <v>34427.29</v>
      </c>
    </row>
    <row r="692" spans="2:3">
      <c r="B692" s="108">
        <v>43210</v>
      </c>
      <c r="C692" s="75">
        <v>34415.58</v>
      </c>
    </row>
    <row r="693" spans="2:3">
      <c r="B693" s="108">
        <v>43213</v>
      </c>
      <c r="C693" s="75">
        <v>34450.769999999997</v>
      </c>
    </row>
    <row r="694" spans="2:3">
      <c r="B694" s="108">
        <v>43214</v>
      </c>
      <c r="C694" s="75">
        <v>34616.639999999999</v>
      </c>
    </row>
    <row r="695" spans="2:3">
      <c r="B695" s="108">
        <v>43215</v>
      </c>
      <c r="C695" s="75">
        <v>34501.269999999997</v>
      </c>
    </row>
    <row r="696" spans="2:3">
      <c r="B696" s="108">
        <v>43216</v>
      </c>
      <c r="C696" s="75">
        <v>34713.599999999999</v>
      </c>
    </row>
    <row r="697" spans="2:3">
      <c r="B697" s="108">
        <v>43217</v>
      </c>
      <c r="C697" s="75">
        <v>34969.699999999997</v>
      </c>
    </row>
    <row r="698" spans="2:3">
      <c r="B698" s="108">
        <v>43220</v>
      </c>
      <c r="C698" s="75">
        <v>35160.36</v>
      </c>
    </row>
    <row r="699" spans="2:3">
      <c r="B699" s="108">
        <v>43222</v>
      </c>
      <c r="C699" s="75">
        <v>35176.42</v>
      </c>
    </row>
    <row r="700" spans="2:3">
      <c r="B700" s="108">
        <v>43223</v>
      </c>
      <c r="C700" s="75">
        <v>35103.14</v>
      </c>
    </row>
    <row r="701" spans="2:3">
      <c r="B701" s="108">
        <v>43224</v>
      </c>
      <c r="C701" s="75">
        <v>34915.379999999997</v>
      </c>
    </row>
    <row r="702" spans="2:3">
      <c r="B702" s="108">
        <v>43227</v>
      </c>
      <c r="C702" s="75">
        <v>35208.14</v>
      </c>
    </row>
    <row r="703" spans="2:3">
      <c r="B703" s="108">
        <v>43228</v>
      </c>
      <c r="C703" s="75">
        <v>35216.32</v>
      </c>
    </row>
    <row r="704" spans="2:3">
      <c r="B704" s="108">
        <v>43229</v>
      </c>
      <c r="C704" s="75">
        <v>35319.35</v>
      </c>
    </row>
    <row r="705" spans="2:3">
      <c r="B705" s="108">
        <v>43230</v>
      </c>
      <c r="C705" s="75">
        <v>35246.269999999997</v>
      </c>
    </row>
    <row r="706" spans="2:3">
      <c r="B706" s="108">
        <v>43231</v>
      </c>
      <c r="C706" s="75">
        <v>35535.79</v>
      </c>
    </row>
    <row r="707" spans="2:3">
      <c r="B707" s="108">
        <v>43234</v>
      </c>
      <c r="C707" s="75">
        <v>35556.71</v>
      </c>
    </row>
    <row r="708" spans="2:3">
      <c r="B708" s="108">
        <v>43235</v>
      </c>
      <c r="C708" s="75">
        <v>35543.94</v>
      </c>
    </row>
    <row r="709" spans="2:3">
      <c r="B709" s="108">
        <v>43236</v>
      </c>
      <c r="C709" s="75">
        <v>35387.879999999997</v>
      </c>
    </row>
    <row r="710" spans="2:3">
      <c r="B710" s="108">
        <v>43237</v>
      </c>
      <c r="C710" s="75">
        <v>35149.120000000003</v>
      </c>
    </row>
    <row r="711" spans="2:3">
      <c r="B711" s="108">
        <v>43238</v>
      </c>
      <c r="C711" s="75">
        <v>34848.300000000003</v>
      </c>
    </row>
    <row r="712" spans="2:3">
      <c r="B712" s="108">
        <v>43241</v>
      </c>
      <c r="C712" s="75">
        <v>34616.129999999997</v>
      </c>
    </row>
    <row r="713" spans="2:3">
      <c r="B713" s="108">
        <v>43242</v>
      </c>
      <c r="C713" s="75">
        <v>34651.24</v>
      </c>
    </row>
    <row r="714" spans="2:3">
      <c r="B714" s="108">
        <v>43243</v>
      </c>
      <c r="C714" s="75">
        <v>34344.910000000003</v>
      </c>
    </row>
    <row r="715" spans="2:3">
      <c r="B715" s="108">
        <v>43244</v>
      </c>
      <c r="C715" s="75">
        <v>34663.11</v>
      </c>
    </row>
    <row r="716" spans="2:3">
      <c r="B716" s="108">
        <v>43245</v>
      </c>
      <c r="C716" s="75">
        <v>34924.870000000003</v>
      </c>
    </row>
    <row r="717" spans="2:3">
      <c r="B717" s="108">
        <v>43248</v>
      </c>
      <c r="C717" s="75">
        <v>35165.480000000003</v>
      </c>
    </row>
    <row r="718" spans="2:3">
      <c r="B718" s="108">
        <v>43249</v>
      </c>
      <c r="C718" s="75">
        <v>34949.24</v>
      </c>
    </row>
    <row r="719" spans="2:3">
      <c r="B719" s="108">
        <v>43250</v>
      </c>
      <c r="C719" s="75">
        <v>34906.11</v>
      </c>
    </row>
    <row r="720" spans="2:3">
      <c r="B720" s="108">
        <v>43251</v>
      </c>
      <c r="C720" s="75">
        <v>35322.379999999997</v>
      </c>
    </row>
    <row r="721" spans="2:3">
      <c r="B721" s="108">
        <v>43252</v>
      </c>
      <c r="C721" s="75">
        <v>35227.26</v>
      </c>
    </row>
    <row r="722" spans="2:3">
      <c r="B722" s="108">
        <v>43255</v>
      </c>
      <c r="C722" s="75">
        <v>35011.89</v>
      </c>
    </row>
    <row r="723" spans="2:3">
      <c r="B723" s="108">
        <v>43256</v>
      </c>
      <c r="C723" s="75">
        <v>34903.21</v>
      </c>
    </row>
    <row r="724" spans="2:3">
      <c r="B724" s="108">
        <v>43257</v>
      </c>
      <c r="C724" s="75">
        <v>35178.879999999997</v>
      </c>
    </row>
    <row r="725" spans="2:3">
      <c r="B725" s="108">
        <v>43258</v>
      </c>
      <c r="C725" s="75">
        <v>35463.08</v>
      </c>
    </row>
    <row r="726" spans="2:3">
      <c r="B726" s="108">
        <v>43259</v>
      </c>
      <c r="C726" s="75">
        <v>35443.67</v>
      </c>
    </row>
    <row r="727" spans="2:3">
      <c r="B727" s="108">
        <v>43262</v>
      </c>
      <c r="C727" s="75">
        <v>35483.47</v>
      </c>
    </row>
    <row r="728" spans="2:3">
      <c r="B728" s="108">
        <v>43263</v>
      </c>
      <c r="C728" s="75">
        <v>35692.519999999997</v>
      </c>
    </row>
    <row r="729" spans="2:3">
      <c r="B729" s="108">
        <v>43264</v>
      </c>
      <c r="C729" s="75">
        <v>35739.160000000003</v>
      </c>
    </row>
    <row r="730" spans="2:3">
      <c r="B730" s="108">
        <v>43265</v>
      </c>
      <c r="C730" s="75">
        <v>35599.82</v>
      </c>
    </row>
    <row r="731" spans="2:3">
      <c r="B731" s="108">
        <v>43266</v>
      </c>
      <c r="C731" s="75">
        <v>35622.14</v>
      </c>
    </row>
    <row r="732" spans="2:3">
      <c r="B732" s="108">
        <v>43269</v>
      </c>
      <c r="C732" s="75">
        <v>35548.26</v>
      </c>
    </row>
    <row r="733" spans="2:3">
      <c r="B733" s="108">
        <v>43270</v>
      </c>
      <c r="C733" s="75">
        <v>35286.74</v>
      </c>
    </row>
    <row r="734" spans="2:3">
      <c r="B734" s="108">
        <v>43271</v>
      </c>
      <c r="C734" s="75">
        <v>35547.33</v>
      </c>
    </row>
    <row r="735" spans="2:3">
      <c r="B735" s="108">
        <v>43272</v>
      </c>
      <c r="C735" s="75">
        <v>35432.39</v>
      </c>
    </row>
    <row r="736" spans="2:3">
      <c r="B736" s="108">
        <v>43273</v>
      </c>
      <c r="C736" s="75">
        <v>35689.599999999999</v>
      </c>
    </row>
    <row r="737" spans="2:3">
      <c r="B737" s="108">
        <v>43276</v>
      </c>
      <c r="C737" s="75">
        <v>35470.35</v>
      </c>
    </row>
    <row r="738" spans="2:3">
      <c r="B738" s="108">
        <v>43277</v>
      </c>
      <c r="C738" s="75">
        <v>35490.04</v>
      </c>
    </row>
    <row r="739" spans="2:3">
      <c r="B739" s="108">
        <v>43278</v>
      </c>
      <c r="C739" s="75">
        <v>35217.11</v>
      </c>
    </row>
    <row r="740" spans="2:3">
      <c r="B740" s="108">
        <v>43279</v>
      </c>
      <c r="C740" s="75">
        <v>35037.64</v>
      </c>
    </row>
    <row r="741" spans="2:3">
      <c r="B741" s="108">
        <v>43280</v>
      </c>
      <c r="C741" s="75">
        <v>35423.480000000003</v>
      </c>
    </row>
    <row r="742" spans="2:3">
      <c r="B742" s="108">
        <v>43283</v>
      </c>
      <c r="C742" s="75">
        <v>35264.410000000003</v>
      </c>
    </row>
    <row r="743" spans="2:3">
      <c r="B743" s="108">
        <v>43284</v>
      </c>
      <c r="C743" s="75">
        <v>35378.6</v>
      </c>
    </row>
    <row r="744" spans="2:3">
      <c r="B744" s="108">
        <v>43285</v>
      </c>
      <c r="C744" s="75">
        <v>35645.4</v>
      </c>
    </row>
    <row r="745" spans="2:3">
      <c r="B745" s="108">
        <v>43286</v>
      </c>
      <c r="C745" s="75">
        <v>35574.550000000003</v>
      </c>
    </row>
    <row r="746" spans="2:3">
      <c r="B746" s="108">
        <v>43287</v>
      </c>
      <c r="C746" s="75">
        <v>35657.86</v>
      </c>
    </row>
    <row r="747" spans="2:3">
      <c r="B747" s="108">
        <v>43290</v>
      </c>
      <c r="C747" s="75">
        <v>35934.720000000001</v>
      </c>
    </row>
    <row r="748" spans="2:3">
      <c r="B748" s="108">
        <v>43291</v>
      </c>
      <c r="C748" s="75">
        <v>36239.620000000003</v>
      </c>
    </row>
    <row r="749" spans="2:3">
      <c r="B749" s="108">
        <v>43292</v>
      </c>
      <c r="C749" s="75">
        <v>36265.93</v>
      </c>
    </row>
    <row r="750" spans="2:3">
      <c r="B750" s="108">
        <v>43293</v>
      </c>
      <c r="C750" s="75">
        <v>36548.410000000003</v>
      </c>
    </row>
    <row r="751" spans="2:3">
      <c r="B751" s="108">
        <v>43294</v>
      </c>
      <c r="C751" s="75">
        <v>36541.629999999997</v>
      </c>
    </row>
    <row r="752" spans="2:3">
      <c r="B752" s="108">
        <v>43297</v>
      </c>
      <c r="C752" s="75">
        <v>36323.769999999997</v>
      </c>
    </row>
    <row r="753" spans="2:3">
      <c r="B753" s="108">
        <v>43298</v>
      </c>
      <c r="C753" s="75">
        <v>36519.96</v>
      </c>
    </row>
    <row r="754" spans="2:3">
      <c r="B754" s="108">
        <v>43299</v>
      </c>
      <c r="C754" s="75">
        <v>36373.440000000002</v>
      </c>
    </row>
    <row r="755" spans="2:3">
      <c r="B755" s="108">
        <v>43300</v>
      </c>
      <c r="C755" s="75">
        <v>36351.230000000003</v>
      </c>
    </row>
    <row r="756" spans="2:3">
      <c r="B756" s="108">
        <v>43301</v>
      </c>
      <c r="C756" s="75">
        <v>36496.370000000003</v>
      </c>
    </row>
    <row r="757" spans="2:3">
      <c r="B757" s="108">
        <v>43304</v>
      </c>
      <c r="C757" s="75">
        <v>36718.6</v>
      </c>
    </row>
    <row r="758" spans="2:3">
      <c r="B758" s="108">
        <v>43305</v>
      </c>
      <c r="C758" s="75">
        <v>36825.1</v>
      </c>
    </row>
    <row r="759" spans="2:3">
      <c r="B759" s="108">
        <v>43306</v>
      </c>
      <c r="C759" s="75">
        <v>36858.230000000003</v>
      </c>
    </row>
    <row r="760" spans="2:3">
      <c r="B760" s="108">
        <v>43307</v>
      </c>
      <c r="C760" s="75">
        <v>36984.639999999999</v>
      </c>
    </row>
    <row r="761" spans="2:3">
      <c r="B761" s="108">
        <v>43308</v>
      </c>
      <c r="C761" s="75">
        <v>37336.85</v>
      </c>
    </row>
    <row r="762" spans="2:3">
      <c r="B762" s="108">
        <v>43311</v>
      </c>
      <c r="C762" s="75">
        <v>37494.400000000001</v>
      </c>
    </row>
    <row r="763" spans="2:3">
      <c r="B763" s="108">
        <v>43312</v>
      </c>
      <c r="C763" s="75">
        <v>37606.58</v>
      </c>
    </row>
    <row r="764" spans="2:3">
      <c r="B764" s="108">
        <v>43313</v>
      </c>
      <c r="C764" s="75">
        <v>37521.620000000003</v>
      </c>
    </row>
    <row r="765" spans="2:3">
      <c r="B765" s="108">
        <v>43314</v>
      </c>
      <c r="C765" s="75">
        <v>37165.160000000003</v>
      </c>
    </row>
    <row r="766" spans="2:3">
      <c r="B766" s="108">
        <v>43315</v>
      </c>
      <c r="C766" s="75">
        <v>37556.160000000003</v>
      </c>
    </row>
    <row r="767" spans="2:3">
      <c r="B767" s="108">
        <v>43318</v>
      </c>
      <c r="C767" s="75">
        <v>37691.89</v>
      </c>
    </row>
    <row r="768" spans="2:3">
      <c r="B768" s="108">
        <v>43319</v>
      </c>
      <c r="C768" s="75">
        <v>37665.800000000003</v>
      </c>
    </row>
    <row r="769" spans="2:3">
      <c r="B769" s="108">
        <v>43320</v>
      </c>
      <c r="C769" s="75">
        <v>37887.56</v>
      </c>
    </row>
    <row r="770" spans="2:3">
      <c r="B770" s="108">
        <v>43321</v>
      </c>
      <c r="C770" s="75">
        <v>38024.370000000003</v>
      </c>
    </row>
    <row r="771" spans="2:3">
      <c r="B771" s="108">
        <v>43322</v>
      </c>
      <c r="C771" s="75">
        <v>37869.230000000003</v>
      </c>
    </row>
    <row r="772" spans="2:3">
      <c r="B772" s="108">
        <v>43325</v>
      </c>
      <c r="C772" s="75">
        <v>37644.9</v>
      </c>
    </row>
    <row r="773" spans="2:3">
      <c r="B773" s="108">
        <v>43326</v>
      </c>
      <c r="C773" s="75">
        <v>37852</v>
      </c>
    </row>
    <row r="774" spans="2:3">
      <c r="B774" s="108">
        <v>43328</v>
      </c>
      <c r="C774" s="75">
        <v>37663.56</v>
      </c>
    </row>
    <row r="775" spans="2:3">
      <c r="B775" s="108">
        <v>43329</v>
      </c>
      <c r="C775" s="75">
        <v>37947.879999999997</v>
      </c>
    </row>
    <row r="776" spans="2:3">
      <c r="B776" s="108">
        <v>43332</v>
      </c>
      <c r="C776" s="75">
        <v>38278.75</v>
      </c>
    </row>
    <row r="777" spans="2:3">
      <c r="B777" s="108">
        <v>43333</v>
      </c>
      <c r="C777" s="75">
        <v>38285.75</v>
      </c>
    </row>
    <row r="778" spans="2:3">
      <c r="B778" s="108">
        <v>43335</v>
      </c>
      <c r="C778" s="75">
        <v>38336.76</v>
      </c>
    </row>
    <row r="779" spans="2:3">
      <c r="B779" s="108">
        <v>43336</v>
      </c>
      <c r="C779" s="75">
        <v>38251.800000000003</v>
      </c>
    </row>
    <row r="780" spans="2:3">
      <c r="B780" s="108">
        <v>43339</v>
      </c>
      <c r="C780" s="75">
        <v>38694.11</v>
      </c>
    </row>
    <row r="781" spans="2:3">
      <c r="B781" s="108">
        <v>43340</v>
      </c>
      <c r="C781" s="75">
        <v>38896.629999999997</v>
      </c>
    </row>
    <row r="782" spans="2:3">
      <c r="B782" s="108">
        <v>43341</v>
      </c>
      <c r="C782" s="75">
        <v>38722.93</v>
      </c>
    </row>
    <row r="783" spans="2:3">
      <c r="B783" s="108">
        <v>43342</v>
      </c>
      <c r="C783" s="75">
        <v>38690.1</v>
      </c>
    </row>
    <row r="784" spans="2:3">
      <c r="B784" s="108">
        <v>43343</v>
      </c>
      <c r="C784" s="75">
        <v>38645.07</v>
      </c>
    </row>
    <row r="785" spans="2:3">
      <c r="B785" s="108">
        <v>43346</v>
      </c>
      <c r="C785" s="75">
        <v>38312.519999999997</v>
      </c>
    </row>
    <row r="786" spans="2:3">
      <c r="B786" s="108">
        <v>43347</v>
      </c>
      <c r="C786" s="75">
        <v>38157.919999999998</v>
      </c>
    </row>
    <row r="787" spans="2:3">
      <c r="B787" s="108">
        <v>43348</v>
      </c>
      <c r="C787" s="75">
        <v>38018.31</v>
      </c>
    </row>
    <row r="788" spans="2:3">
      <c r="B788" s="108">
        <v>43349</v>
      </c>
      <c r="C788" s="75">
        <v>38242.81</v>
      </c>
    </row>
    <row r="789" spans="2:3">
      <c r="B789" s="108">
        <v>43350</v>
      </c>
      <c r="C789" s="75">
        <v>38389.82</v>
      </c>
    </row>
    <row r="790" spans="2:3">
      <c r="B790" s="108">
        <v>43353</v>
      </c>
      <c r="C790" s="75">
        <v>37922.17</v>
      </c>
    </row>
    <row r="791" spans="2:3">
      <c r="B791" s="108">
        <v>43354</v>
      </c>
      <c r="C791" s="75">
        <v>37413.129999999997</v>
      </c>
    </row>
    <row r="792" spans="2:3">
      <c r="B792" s="108">
        <v>43355</v>
      </c>
      <c r="C792" s="75">
        <v>37717.96</v>
      </c>
    </row>
    <row r="793" spans="2:3">
      <c r="B793" s="108">
        <v>43357</v>
      </c>
      <c r="C793" s="75">
        <v>38090.639999999999</v>
      </c>
    </row>
    <row r="794" spans="2:3">
      <c r="B794" s="108">
        <v>43360</v>
      </c>
      <c r="C794" s="75">
        <v>37585.51</v>
      </c>
    </row>
    <row r="795" spans="2:3">
      <c r="B795" s="108">
        <v>43361</v>
      </c>
      <c r="C795" s="75">
        <v>37290.67</v>
      </c>
    </row>
    <row r="796" spans="2:3">
      <c r="B796" s="108">
        <v>43362</v>
      </c>
      <c r="C796" s="75">
        <v>37121.22</v>
      </c>
    </row>
    <row r="797" spans="2:3">
      <c r="B797" s="108">
        <v>43364</v>
      </c>
      <c r="C797" s="75">
        <v>36841.599999999999</v>
      </c>
    </row>
    <row r="798" spans="2:3">
      <c r="B798" s="108">
        <v>43367</v>
      </c>
      <c r="C798" s="75">
        <v>36305.019999999997</v>
      </c>
    </row>
    <row r="799" spans="2:3">
      <c r="B799" s="108">
        <v>43368</v>
      </c>
      <c r="C799" s="75">
        <v>36652.06</v>
      </c>
    </row>
    <row r="800" spans="2:3">
      <c r="B800" s="108">
        <v>43369</v>
      </c>
      <c r="C800" s="75">
        <v>36542.269999999997</v>
      </c>
    </row>
    <row r="801" spans="2:3">
      <c r="B801" s="108">
        <v>43370</v>
      </c>
      <c r="C801" s="75">
        <v>36324.17</v>
      </c>
    </row>
    <row r="802" spans="2:3">
      <c r="B802" s="108">
        <v>43371</v>
      </c>
      <c r="C802" s="75">
        <v>36227.14</v>
      </c>
    </row>
    <row r="803" spans="2:3">
      <c r="B803" s="108">
        <v>43374</v>
      </c>
      <c r="C803" s="75">
        <v>36526.14</v>
      </c>
    </row>
    <row r="804" spans="2:3">
      <c r="B804" s="108">
        <v>43376</v>
      </c>
      <c r="C804" s="75">
        <v>35975.629999999997</v>
      </c>
    </row>
    <row r="805" spans="2:3">
      <c r="B805" s="108">
        <v>43377</v>
      </c>
      <c r="C805" s="75">
        <v>35169.160000000003</v>
      </c>
    </row>
    <row r="806" spans="2:3">
      <c r="B806" s="108">
        <v>43378</v>
      </c>
      <c r="C806" s="75">
        <v>34376.99</v>
      </c>
    </row>
    <row r="807" spans="2:3">
      <c r="B807" s="108">
        <v>43381</v>
      </c>
      <c r="C807" s="75">
        <v>34474.379999999997</v>
      </c>
    </row>
    <row r="808" spans="2:3">
      <c r="B808" s="108">
        <v>43382</v>
      </c>
      <c r="C808" s="75">
        <v>34299.47</v>
      </c>
    </row>
    <row r="809" spans="2:3">
      <c r="B809" s="108">
        <v>43383</v>
      </c>
      <c r="C809" s="75">
        <v>34760.89</v>
      </c>
    </row>
    <row r="810" spans="2:3">
      <c r="B810" s="108">
        <v>43384</v>
      </c>
      <c r="C810" s="75">
        <v>34001.15</v>
      </c>
    </row>
    <row r="811" spans="2:3">
      <c r="B811" s="108">
        <v>43385</v>
      </c>
      <c r="C811" s="75">
        <v>34733.58</v>
      </c>
    </row>
    <row r="812" spans="2:3">
      <c r="B812" s="108">
        <v>43388</v>
      </c>
      <c r="C812" s="75">
        <v>34865.1</v>
      </c>
    </row>
    <row r="813" spans="2:3">
      <c r="B813" s="108">
        <v>43389</v>
      </c>
      <c r="C813" s="75">
        <v>35162.480000000003</v>
      </c>
    </row>
    <row r="814" spans="2:3">
      <c r="B814" s="108">
        <v>43390</v>
      </c>
      <c r="C814" s="75">
        <v>34779.58</v>
      </c>
    </row>
    <row r="815" spans="2:3">
      <c r="B815" s="108">
        <v>43392</v>
      </c>
      <c r="C815" s="75">
        <v>34315.629999999997</v>
      </c>
    </row>
    <row r="816" spans="2:3">
      <c r="B816" s="108">
        <v>43395</v>
      </c>
      <c r="C816" s="75">
        <v>34134.379999999997</v>
      </c>
    </row>
    <row r="817" spans="2:3">
      <c r="B817" s="108">
        <v>43396</v>
      </c>
      <c r="C817" s="75">
        <v>33847.230000000003</v>
      </c>
    </row>
    <row r="818" spans="2:3">
      <c r="B818" s="108">
        <v>43397</v>
      </c>
      <c r="C818" s="75">
        <v>34033.96</v>
      </c>
    </row>
    <row r="819" spans="2:3">
      <c r="B819" s="108">
        <v>43398</v>
      </c>
      <c r="C819" s="75">
        <v>33690.089999999997</v>
      </c>
    </row>
    <row r="820" spans="2:3">
      <c r="B820" s="108">
        <v>43399</v>
      </c>
      <c r="C820" s="75">
        <v>33349.31</v>
      </c>
    </row>
    <row r="821" spans="2:3">
      <c r="B821" s="108">
        <v>43402</v>
      </c>
      <c r="C821" s="75">
        <v>34067.4</v>
      </c>
    </row>
    <row r="822" spans="2:3">
      <c r="B822" s="108">
        <v>43403</v>
      </c>
      <c r="C822" s="75">
        <v>33891.129999999997</v>
      </c>
    </row>
    <row r="823" spans="2:3">
      <c r="B823" s="108">
        <v>43404</v>
      </c>
      <c r="C823" s="75">
        <v>34442.050000000003</v>
      </c>
    </row>
    <row r="824" spans="2:3">
      <c r="B824" s="108">
        <v>43405</v>
      </c>
      <c r="C824" s="75">
        <v>34431.97</v>
      </c>
    </row>
    <row r="825" spans="2:3">
      <c r="B825" s="108">
        <v>43406</v>
      </c>
      <c r="C825" s="75">
        <v>35011.65</v>
      </c>
    </row>
    <row r="826" spans="2:3">
      <c r="B826" s="108">
        <v>43409</v>
      </c>
      <c r="C826" s="75">
        <v>34950.92</v>
      </c>
    </row>
    <row r="827" spans="2:3">
      <c r="B827" s="108">
        <v>43410</v>
      </c>
      <c r="C827" s="75">
        <v>34991.910000000003</v>
      </c>
    </row>
    <row r="828" spans="2:3">
      <c r="B828" s="108">
        <v>43411</v>
      </c>
      <c r="C828" s="75">
        <v>35237.68</v>
      </c>
    </row>
    <row r="829" spans="2:3">
      <c r="B829" s="108">
        <v>43413</v>
      </c>
      <c r="C829" s="75">
        <v>35158.550000000003</v>
      </c>
    </row>
    <row r="830" spans="2:3">
      <c r="B830" s="108">
        <v>43416</v>
      </c>
      <c r="C830" s="75">
        <v>34812.99</v>
      </c>
    </row>
    <row r="831" spans="2:3">
      <c r="B831" s="108">
        <v>43417</v>
      </c>
      <c r="C831" s="75">
        <v>35144.49</v>
      </c>
    </row>
    <row r="832" spans="2:3">
      <c r="B832" s="108">
        <v>43418</v>
      </c>
      <c r="C832" s="75">
        <v>35141.99</v>
      </c>
    </row>
    <row r="833" spans="2:3">
      <c r="B833" s="108">
        <v>43419</v>
      </c>
      <c r="C833" s="75">
        <v>35260.54</v>
      </c>
    </row>
    <row r="834" spans="2:3">
      <c r="B834" s="108">
        <v>43420</v>
      </c>
      <c r="C834" s="75">
        <v>35457.160000000003</v>
      </c>
    </row>
    <row r="835" spans="2:3">
      <c r="B835" s="108">
        <v>43423</v>
      </c>
      <c r="C835" s="75">
        <v>35774.879999999997</v>
      </c>
    </row>
    <row r="836" spans="2:3">
      <c r="B836" s="108">
        <v>43424</v>
      </c>
      <c r="C836" s="75">
        <v>35474.51</v>
      </c>
    </row>
    <row r="837" spans="2:3">
      <c r="B837" s="108">
        <v>43425</v>
      </c>
      <c r="C837" s="75">
        <v>35199.800000000003</v>
      </c>
    </row>
    <row r="838" spans="2:3">
      <c r="B838" s="108">
        <v>43426</v>
      </c>
      <c r="C838" s="75">
        <v>34981.019999999997</v>
      </c>
    </row>
    <row r="839" spans="2:3">
      <c r="B839" s="108">
        <v>43430</v>
      </c>
      <c r="C839" s="75">
        <v>35354.080000000002</v>
      </c>
    </row>
    <row r="840" spans="2:3">
      <c r="B840" s="108">
        <v>43431</v>
      </c>
      <c r="C840" s="75">
        <v>35513.14</v>
      </c>
    </row>
    <row r="841" spans="2:3">
      <c r="B841" s="108">
        <v>43432</v>
      </c>
      <c r="C841" s="75">
        <v>35716.949999999997</v>
      </c>
    </row>
    <row r="842" spans="2:3">
      <c r="B842" s="108">
        <v>43433</v>
      </c>
      <c r="C842" s="75">
        <v>36170.410000000003</v>
      </c>
    </row>
    <row r="843" spans="2:3">
      <c r="B843" s="108">
        <v>43434</v>
      </c>
      <c r="C843" s="75">
        <v>36194.300000000003</v>
      </c>
    </row>
    <row r="844" spans="2:3">
      <c r="B844" s="108">
        <v>43437</v>
      </c>
      <c r="C844" s="75">
        <v>36241</v>
      </c>
    </row>
    <row r="845" spans="2:3">
      <c r="B845" s="108">
        <v>43438</v>
      </c>
      <c r="C845" s="75">
        <v>36134.31</v>
      </c>
    </row>
    <row r="846" spans="2:3">
      <c r="B846" s="108">
        <v>43439</v>
      </c>
      <c r="C846" s="75">
        <v>35884.410000000003</v>
      </c>
    </row>
    <row r="847" spans="2:3">
      <c r="B847" s="108">
        <v>43440</v>
      </c>
      <c r="C847" s="75">
        <v>35312.129999999997</v>
      </c>
    </row>
    <row r="848" spans="2:3">
      <c r="B848" s="108">
        <v>43441</v>
      </c>
      <c r="C848" s="75">
        <v>35673.25</v>
      </c>
    </row>
    <row r="849" spans="2:3">
      <c r="B849" s="108">
        <v>43444</v>
      </c>
      <c r="C849" s="75">
        <v>34959.72</v>
      </c>
    </row>
    <row r="850" spans="2:3">
      <c r="B850" s="108">
        <v>43445</v>
      </c>
      <c r="C850" s="75">
        <v>35150.01</v>
      </c>
    </row>
    <row r="851" spans="2:3">
      <c r="B851" s="108">
        <v>43446</v>
      </c>
      <c r="C851" s="75">
        <v>35779.07</v>
      </c>
    </row>
    <row r="852" spans="2:3">
      <c r="B852" s="108">
        <v>43447</v>
      </c>
      <c r="C852" s="75">
        <v>35929.64</v>
      </c>
    </row>
    <row r="853" spans="2:3">
      <c r="B853" s="108">
        <v>43448</v>
      </c>
      <c r="C853" s="75">
        <v>35962.93</v>
      </c>
    </row>
    <row r="854" spans="2:3">
      <c r="B854" s="108">
        <v>43451</v>
      </c>
      <c r="C854" s="75">
        <v>36270.07</v>
      </c>
    </row>
    <row r="855" spans="2:3">
      <c r="B855" s="108">
        <v>43452</v>
      </c>
      <c r="C855" s="75">
        <v>36347.08</v>
      </c>
    </row>
    <row r="856" spans="2:3">
      <c r="B856" s="108">
        <v>43453</v>
      </c>
      <c r="C856" s="75">
        <v>36484.33</v>
      </c>
    </row>
    <row r="857" spans="2:3">
      <c r="B857" s="108">
        <v>43454</v>
      </c>
      <c r="C857" s="75">
        <v>36431.67</v>
      </c>
    </row>
    <row r="858" spans="2:3">
      <c r="B858" s="108">
        <v>43455</v>
      </c>
      <c r="C858" s="75">
        <v>35742.07</v>
      </c>
    </row>
    <row r="859" spans="2:3">
      <c r="B859" s="108">
        <v>43458</v>
      </c>
      <c r="C859" s="75">
        <v>35470.15</v>
      </c>
    </row>
    <row r="860" spans="2:3">
      <c r="B860" s="108">
        <v>43460</v>
      </c>
      <c r="C860" s="75">
        <v>35649.94</v>
      </c>
    </row>
    <row r="861" spans="2:3">
      <c r="B861" s="108">
        <v>43461</v>
      </c>
      <c r="C861" s="75">
        <v>35807.279999999999</v>
      </c>
    </row>
    <row r="862" spans="2:3">
      <c r="B862" s="108">
        <v>43462</v>
      </c>
      <c r="C862" s="75">
        <v>36076.720000000001</v>
      </c>
    </row>
    <row r="863" spans="2:3">
      <c r="B863" s="108">
        <v>43465</v>
      </c>
      <c r="C863" s="75">
        <v>36068.33</v>
      </c>
    </row>
    <row r="864" spans="2:3">
      <c r="B864" s="108">
        <v>43466</v>
      </c>
      <c r="C864" s="75">
        <v>36254.57</v>
      </c>
    </row>
    <row r="865" spans="2:3">
      <c r="B865" s="108">
        <v>43467</v>
      </c>
      <c r="C865" s="75">
        <v>35891.519999999997</v>
      </c>
    </row>
    <row r="866" spans="2:3">
      <c r="B866" s="108">
        <v>43468</v>
      </c>
      <c r="C866" s="75">
        <v>35513.71</v>
      </c>
    </row>
    <row r="867" spans="2:3">
      <c r="B867" s="108">
        <v>43469</v>
      </c>
      <c r="C867" s="75">
        <v>35695.1</v>
      </c>
    </row>
    <row r="868" spans="2:3">
      <c r="B868" s="108">
        <v>43472</v>
      </c>
      <c r="C868" s="75">
        <v>35850.160000000003</v>
      </c>
    </row>
    <row r="869" spans="2:3">
      <c r="B869" s="108">
        <v>43473</v>
      </c>
      <c r="C869" s="75">
        <v>35980.93</v>
      </c>
    </row>
    <row r="870" spans="2:3">
      <c r="B870" s="108">
        <v>43474</v>
      </c>
      <c r="C870" s="75">
        <v>36212.910000000003</v>
      </c>
    </row>
    <row r="871" spans="2:3">
      <c r="B871" s="108">
        <v>43475</v>
      </c>
      <c r="C871" s="75">
        <v>36106.5</v>
      </c>
    </row>
    <row r="872" spans="2:3">
      <c r="B872" s="108">
        <v>43476</v>
      </c>
      <c r="C872" s="75">
        <v>36009.839999999997</v>
      </c>
    </row>
    <row r="873" spans="2:3">
      <c r="B873" s="108">
        <v>43479</v>
      </c>
      <c r="C873" s="75">
        <v>35853.56</v>
      </c>
    </row>
    <row r="874" spans="2:3">
      <c r="B874" s="108">
        <v>43480</v>
      </c>
      <c r="C874" s="75">
        <v>36318.33</v>
      </c>
    </row>
    <row r="875" spans="2:3">
      <c r="B875" s="108">
        <v>43481</v>
      </c>
      <c r="C875" s="75">
        <v>36321.29</v>
      </c>
    </row>
    <row r="876" spans="2:3">
      <c r="B876" s="108">
        <v>43482</v>
      </c>
      <c r="C876" s="75">
        <v>36374.080000000002</v>
      </c>
    </row>
    <row r="877" spans="2:3">
      <c r="B877" s="108">
        <v>43483</v>
      </c>
      <c r="C877" s="75">
        <v>36386.61</v>
      </c>
    </row>
    <row r="878" spans="2:3">
      <c r="B878" s="108">
        <v>43486</v>
      </c>
      <c r="C878" s="75">
        <v>36578.959999999999</v>
      </c>
    </row>
    <row r="879" spans="2:3">
      <c r="B879" s="108">
        <v>43487</v>
      </c>
      <c r="C879" s="75">
        <v>36444.639999999999</v>
      </c>
    </row>
    <row r="880" spans="2:3">
      <c r="B880" s="108">
        <v>43488</v>
      </c>
      <c r="C880" s="75">
        <v>36108.47</v>
      </c>
    </row>
    <row r="881" spans="2:3">
      <c r="B881" s="108">
        <v>43489</v>
      </c>
      <c r="C881" s="75">
        <v>36195.1</v>
      </c>
    </row>
    <row r="882" spans="2:3">
      <c r="B882" s="108">
        <v>43490</v>
      </c>
      <c r="C882" s="75">
        <v>36025.54</v>
      </c>
    </row>
    <row r="883" spans="2:3">
      <c r="B883" s="108">
        <v>43493</v>
      </c>
      <c r="C883" s="75">
        <v>35656.699999999997</v>
      </c>
    </row>
    <row r="884" spans="2:3">
      <c r="B884" s="108">
        <v>43494</v>
      </c>
      <c r="C884" s="75">
        <v>35592.5</v>
      </c>
    </row>
    <row r="885" spans="2:3">
      <c r="B885" s="108">
        <v>43495</v>
      </c>
      <c r="C885" s="75">
        <v>35591.25</v>
      </c>
    </row>
    <row r="886" spans="2:3">
      <c r="B886" s="108">
        <v>43496</v>
      </c>
      <c r="C886" s="75">
        <v>36256.69</v>
      </c>
    </row>
    <row r="887" spans="2:3">
      <c r="B887" s="108">
        <v>43497</v>
      </c>
      <c r="C887" s="75">
        <v>36469.43</v>
      </c>
    </row>
    <row r="888" spans="2:3">
      <c r="B888" s="108">
        <v>43500</v>
      </c>
      <c r="C888" s="75">
        <v>36582.74</v>
      </c>
    </row>
    <row r="889" spans="2:3">
      <c r="B889" s="108">
        <v>43501</v>
      </c>
      <c r="C889" s="75">
        <v>36616.81</v>
      </c>
    </row>
    <row r="890" spans="2:3">
      <c r="B890" s="108">
        <v>43502</v>
      </c>
      <c r="C890" s="75">
        <v>36975.230000000003</v>
      </c>
    </row>
    <row r="891" spans="2:3">
      <c r="B891" s="108">
        <v>43503</v>
      </c>
      <c r="C891" s="75">
        <v>36971.089999999997</v>
      </c>
    </row>
    <row r="892" spans="2:3">
      <c r="B892" s="108">
        <v>43504</v>
      </c>
      <c r="C892" s="75">
        <v>36546.480000000003</v>
      </c>
    </row>
    <row r="893" spans="2:3">
      <c r="B893" s="108">
        <v>43507</v>
      </c>
      <c r="C893" s="75">
        <v>36395.03</v>
      </c>
    </row>
    <row r="894" spans="2:3">
      <c r="B894" s="108">
        <v>43508</v>
      </c>
      <c r="C894" s="75">
        <v>36153.620000000003</v>
      </c>
    </row>
    <row r="895" spans="2:3">
      <c r="B895" s="108">
        <v>43509</v>
      </c>
      <c r="C895" s="75">
        <v>36034.11</v>
      </c>
    </row>
    <row r="896" spans="2:3">
      <c r="B896" s="108">
        <v>43510</v>
      </c>
      <c r="C896" s="75">
        <v>35876.22</v>
      </c>
    </row>
    <row r="897" spans="2:3">
      <c r="B897" s="108">
        <v>43511</v>
      </c>
      <c r="C897" s="75">
        <v>35808.949999999997</v>
      </c>
    </row>
    <row r="898" spans="2:3">
      <c r="B898" s="108">
        <v>43514</v>
      </c>
      <c r="C898" s="75">
        <v>35498.44</v>
      </c>
    </row>
    <row r="899" spans="2:3">
      <c r="B899" s="108">
        <v>43515</v>
      </c>
      <c r="C899" s="75">
        <v>35352.61</v>
      </c>
    </row>
    <row r="900" spans="2:3">
      <c r="B900" s="108">
        <v>43516</v>
      </c>
      <c r="C900" s="75">
        <v>35756.26</v>
      </c>
    </row>
    <row r="901" spans="2:3">
      <c r="B901" s="108">
        <v>43517</v>
      </c>
      <c r="C901" s="75">
        <v>35898.35</v>
      </c>
    </row>
    <row r="902" spans="2:3">
      <c r="B902" s="108">
        <v>43518</v>
      </c>
      <c r="C902" s="75">
        <v>35871.480000000003</v>
      </c>
    </row>
    <row r="903" spans="2:3">
      <c r="B903" s="108">
        <v>43521</v>
      </c>
      <c r="C903" s="75">
        <v>36213.379999999997</v>
      </c>
    </row>
    <row r="904" spans="2:3">
      <c r="B904" s="108">
        <v>43522</v>
      </c>
      <c r="C904" s="75">
        <v>35973.71</v>
      </c>
    </row>
    <row r="905" spans="2:3">
      <c r="B905" s="108">
        <v>43523</v>
      </c>
      <c r="C905" s="75">
        <v>35905.43</v>
      </c>
    </row>
    <row r="906" spans="2:3">
      <c r="B906" s="108">
        <v>43524</v>
      </c>
      <c r="C906" s="75">
        <v>35867.440000000002</v>
      </c>
    </row>
    <row r="907" spans="2:3">
      <c r="B907" s="108">
        <v>43525</v>
      </c>
      <c r="C907" s="75">
        <v>36063.81</v>
      </c>
    </row>
    <row r="908" spans="2:3">
      <c r="B908" s="108">
        <v>43529</v>
      </c>
      <c r="C908" s="75">
        <v>36442.54</v>
      </c>
    </row>
    <row r="909" spans="2:3">
      <c r="B909" s="108">
        <v>43530</v>
      </c>
      <c r="C909" s="75">
        <v>36636.1</v>
      </c>
    </row>
    <row r="910" spans="2:3">
      <c r="B910" s="108">
        <v>43531</v>
      </c>
      <c r="C910" s="75">
        <v>36725.42</v>
      </c>
    </row>
    <row r="911" spans="2:3">
      <c r="B911" s="108">
        <v>43532</v>
      </c>
      <c r="C911" s="75">
        <v>36671.43</v>
      </c>
    </row>
    <row r="912" spans="2:3">
      <c r="B912" s="108">
        <v>43535</v>
      </c>
      <c r="C912" s="75">
        <v>37054.1</v>
      </c>
    </row>
    <row r="913" spans="2:3">
      <c r="B913" s="108">
        <v>43536</v>
      </c>
      <c r="C913" s="75">
        <v>37535.660000000003</v>
      </c>
    </row>
    <row r="914" spans="2:3">
      <c r="B914" s="108">
        <v>43537</v>
      </c>
      <c r="C914" s="75">
        <v>37752.17</v>
      </c>
    </row>
    <row r="915" spans="2:3">
      <c r="B915" s="108">
        <v>43538</v>
      </c>
      <c r="C915" s="75">
        <v>37754.89</v>
      </c>
    </row>
    <row r="916" spans="2:3">
      <c r="B916" s="108">
        <v>43539</v>
      </c>
      <c r="C916" s="75">
        <v>38024.32</v>
      </c>
    </row>
    <row r="917" spans="2:3">
      <c r="B917" s="108">
        <v>43542</v>
      </c>
      <c r="C917" s="75">
        <v>38095.07</v>
      </c>
    </row>
    <row r="918" spans="2:3">
      <c r="B918" s="108">
        <v>43543</v>
      </c>
      <c r="C918" s="75">
        <v>38363.47</v>
      </c>
    </row>
    <row r="919" spans="2:3">
      <c r="B919" s="108">
        <v>43544</v>
      </c>
      <c r="C919" s="75">
        <v>38386.75</v>
      </c>
    </row>
    <row r="920" spans="2:3">
      <c r="B920" s="108">
        <v>43546</v>
      </c>
      <c r="C920" s="75">
        <v>38164.61</v>
      </c>
    </row>
    <row r="921" spans="2:3">
      <c r="B921" s="108">
        <v>43549</v>
      </c>
      <c r="C921" s="75">
        <v>37808.910000000003</v>
      </c>
    </row>
    <row r="922" spans="2:3">
      <c r="B922" s="108">
        <v>43550</v>
      </c>
      <c r="C922" s="75">
        <v>38233.410000000003</v>
      </c>
    </row>
    <row r="923" spans="2:3">
      <c r="B923" s="108">
        <v>43551</v>
      </c>
      <c r="C923" s="75">
        <v>38132.879999999997</v>
      </c>
    </row>
    <row r="924" spans="2:3">
      <c r="B924" s="108">
        <v>43552</v>
      </c>
      <c r="C924" s="75">
        <v>38545.72</v>
      </c>
    </row>
    <row r="925" spans="2:3">
      <c r="B925" s="108">
        <v>43553</v>
      </c>
      <c r="C925" s="75">
        <v>38672.910000000003</v>
      </c>
    </row>
    <row r="926" spans="2:3">
      <c r="B926" s="108">
        <v>43556</v>
      </c>
      <c r="C926" s="75">
        <v>38871.870000000003</v>
      </c>
    </row>
    <row r="927" spans="2:3">
      <c r="B927" s="108">
        <v>43557</v>
      </c>
      <c r="C927" s="75">
        <v>39056.65</v>
      </c>
    </row>
    <row r="928" spans="2:3">
      <c r="B928" s="108">
        <v>43558</v>
      </c>
      <c r="C928" s="75">
        <v>38877.120000000003</v>
      </c>
    </row>
    <row r="929" spans="2:3">
      <c r="B929" s="108">
        <v>43559</v>
      </c>
      <c r="C929" s="75">
        <v>38684.720000000001</v>
      </c>
    </row>
    <row r="930" spans="2:3">
      <c r="B930" s="108">
        <v>43560</v>
      </c>
      <c r="C930" s="75">
        <v>38862.230000000003</v>
      </c>
    </row>
    <row r="931" spans="2:3">
      <c r="B931" s="108">
        <v>43563</v>
      </c>
      <c r="C931" s="75">
        <v>38700.53</v>
      </c>
    </row>
    <row r="932" spans="2:3">
      <c r="B932" s="108">
        <v>43564</v>
      </c>
      <c r="C932" s="75">
        <v>38939.22</v>
      </c>
    </row>
    <row r="933" spans="2:3">
      <c r="B933" s="108">
        <v>43565</v>
      </c>
      <c r="C933" s="75">
        <v>38585.35</v>
      </c>
    </row>
    <row r="934" spans="2:3">
      <c r="B934" s="108">
        <v>43566</v>
      </c>
      <c r="C934" s="75">
        <v>38607.01</v>
      </c>
    </row>
    <row r="935" spans="2:3">
      <c r="B935" s="108">
        <v>43567</v>
      </c>
      <c r="C935" s="75">
        <v>38767.11</v>
      </c>
    </row>
    <row r="936" spans="2:3">
      <c r="B936" s="108">
        <v>43570</v>
      </c>
      <c r="C936" s="75">
        <v>38905.839999999997</v>
      </c>
    </row>
    <row r="937" spans="2:3">
      <c r="B937" s="108">
        <v>43571</v>
      </c>
      <c r="C937" s="75">
        <v>39275.64</v>
      </c>
    </row>
    <row r="938" spans="2:3">
      <c r="B938" s="108">
        <v>43573</v>
      </c>
      <c r="C938" s="75">
        <v>39140.28</v>
      </c>
    </row>
    <row r="939" spans="2:3">
      <c r="B939" s="108">
        <v>43577</v>
      </c>
      <c r="C939" s="75">
        <v>38645.18</v>
      </c>
    </row>
    <row r="940" spans="2:3">
      <c r="B940" s="108">
        <v>43578</v>
      </c>
      <c r="C940" s="75">
        <v>38564.879999999997</v>
      </c>
    </row>
    <row r="941" spans="2:3">
      <c r="B941" s="108">
        <v>43579</v>
      </c>
      <c r="C941" s="75">
        <v>39054.68</v>
      </c>
    </row>
    <row r="942" spans="2:3">
      <c r="B942" s="108">
        <v>43580</v>
      </c>
      <c r="C942" s="75">
        <v>38730.86</v>
      </c>
    </row>
    <row r="943" spans="2:3">
      <c r="B943" s="108">
        <v>43581</v>
      </c>
      <c r="C943" s="75">
        <v>39067.33</v>
      </c>
    </row>
    <row r="944" spans="2:3">
      <c r="B944" s="108">
        <v>43585</v>
      </c>
      <c r="C944" s="75">
        <v>39031.550000000003</v>
      </c>
    </row>
    <row r="945" spans="2:3">
      <c r="B945" s="108">
        <v>43587</v>
      </c>
      <c r="C945" s="75">
        <v>38981.43</v>
      </c>
    </row>
    <row r="946" spans="2:3">
      <c r="B946" s="108">
        <v>43588</v>
      </c>
      <c r="C946" s="75">
        <v>38963.26</v>
      </c>
    </row>
    <row r="947" spans="2:3">
      <c r="B947" s="108">
        <v>43591</v>
      </c>
      <c r="C947" s="75">
        <v>38600.339999999997</v>
      </c>
    </row>
    <row r="948" spans="2:3">
      <c r="B948" s="108">
        <v>43592</v>
      </c>
      <c r="C948" s="75">
        <v>38276.629999999997</v>
      </c>
    </row>
    <row r="949" spans="2:3">
      <c r="B949" s="108">
        <v>43593</v>
      </c>
      <c r="C949" s="75">
        <v>37789.129999999997</v>
      </c>
    </row>
    <row r="950" spans="2:3">
      <c r="B950" s="108">
        <v>43594</v>
      </c>
      <c r="C950" s="75">
        <v>37558.910000000003</v>
      </c>
    </row>
    <row r="951" spans="2:3">
      <c r="B951" s="108">
        <v>43595</v>
      </c>
      <c r="C951" s="75">
        <v>37462.99</v>
      </c>
    </row>
    <row r="952" spans="2:3">
      <c r="B952" s="108">
        <v>43598</v>
      </c>
      <c r="C952" s="75">
        <v>37090.82</v>
      </c>
    </row>
    <row r="953" spans="2:3">
      <c r="B953" s="108">
        <v>43599</v>
      </c>
      <c r="C953" s="75">
        <v>37318.53</v>
      </c>
    </row>
    <row r="954" spans="2:3">
      <c r="B954" s="108">
        <v>43600</v>
      </c>
      <c r="C954" s="75">
        <v>37114.879999999997</v>
      </c>
    </row>
    <row r="955" spans="2:3">
      <c r="B955" s="108">
        <v>43601</v>
      </c>
      <c r="C955" s="75">
        <v>37393.480000000003</v>
      </c>
    </row>
    <row r="956" spans="2:3">
      <c r="B956" s="108">
        <v>43602</v>
      </c>
      <c r="C956" s="75">
        <v>37930.769999999997</v>
      </c>
    </row>
    <row r="957" spans="2:3">
      <c r="B957" s="108">
        <v>43605</v>
      </c>
      <c r="C957" s="75">
        <v>39352.67</v>
      </c>
    </row>
    <row r="958" spans="2:3">
      <c r="B958" s="108">
        <v>43606</v>
      </c>
      <c r="C958" s="75">
        <v>38969.800000000003</v>
      </c>
    </row>
    <row r="959" spans="2:3">
      <c r="B959" s="108">
        <v>43607</v>
      </c>
      <c r="C959" s="75">
        <v>39110.21</v>
      </c>
    </row>
    <row r="960" spans="2:3">
      <c r="B960" s="108">
        <v>43608</v>
      </c>
      <c r="C960" s="75">
        <v>38811.39</v>
      </c>
    </row>
    <row r="961" spans="2:3">
      <c r="B961" s="108">
        <v>43609</v>
      </c>
      <c r="C961" s="75">
        <v>39434.720000000001</v>
      </c>
    </row>
    <row r="962" spans="2:3">
      <c r="B962" s="108">
        <v>43612</v>
      </c>
      <c r="C962" s="75">
        <v>39683.29</v>
      </c>
    </row>
    <row r="963" spans="2:3">
      <c r="B963" s="108">
        <v>43613</v>
      </c>
      <c r="C963" s="75">
        <v>39749.730000000003</v>
      </c>
    </row>
    <row r="964" spans="2:3">
      <c r="B964" s="108">
        <v>43614</v>
      </c>
      <c r="C964" s="75">
        <v>39502.050000000003</v>
      </c>
    </row>
    <row r="965" spans="2:3">
      <c r="B965" s="108">
        <v>43615</v>
      </c>
      <c r="C965" s="75">
        <v>39831.97</v>
      </c>
    </row>
    <row r="966" spans="2:3">
      <c r="B966" s="108">
        <v>43616</v>
      </c>
      <c r="C966" s="75">
        <v>39714.199999999997</v>
      </c>
    </row>
    <row r="967" spans="2:3">
      <c r="B967" s="108">
        <v>43619</v>
      </c>
      <c r="C967" s="75">
        <v>40267.620000000003</v>
      </c>
    </row>
    <row r="968" spans="2:3">
      <c r="B968" s="108">
        <v>43620</v>
      </c>
      <c r="C968" s="75">
        <v>40083.54</v>
      </c>
    </row>
    <row r="969" spans="2:3">
      <c r="B969" s="108">
        <v>43622</v>
      </c>
      <c r="C969" s="75">
        <v>39529.72</v>
      </c>
    </row>
    <row r="970" spans="2:3">
      <c r="B970" s="108">
        <v>43623</v>
      </c>
      <c r="C970" s="75">
        <v>39615.9</v>
      </c>
    </row>
    <row r="971" spans="2:3">
      <c r="B971" s="108">
        <v>43626</v>
      </c>
      <c r="C971" s="75">
        <v>39784.519999999997</v>
      </c>
    </row>
    <row r="972" spans="2:3">
      <c r="B972" s="108">
        <v>43627</v>
      </c>
      <c r="C972" s="75">
        <v>39950.46</v>
      </c>
    </row>
    <row r="973" spans="2:3">
      <c r="B973" s="108">
        <v>43628</v>
      </c>
      <c r="C973" s="75">
        <v>39756.81</v>
      </c>
    </row>
    <row r="974" spans="2:3">
      <c r="B974" s="108">
        <v>43629</v>
      </c>
      <c r="C974" s="75">
        <v>39741.360000000001</v>
      </c>
    </row>
    <row r="975" spans="2:3">
      <c r="B975" s="108">
        <v>43630</v>
      </c>
      <c r="C975" s="75">
        <v>39452.07</v>
      </c>
    </row>
    <row r="976" spans="2:3">
      <c r="B976" s="108">
        <v>43633</v>
      </c>
      <c r="C976" s="75">
        <v>38960.79</v>
      </c>
    </row>
    <row r="977" spans="2:3">
      <c r="B977" s="108">
        <v>43634</v>
      </c>
      <c r="C977" s="75">
        <v>39046.339999999997</v>
      </c>
    </row>
    <row r="978" spans="2:3">
      <c r="B978" s="108">
        <v>43635</v>
      </c>
      <c r="C978" s="75">
        <v>39112.74</v>
      </c>
    </row>
    <row r="979" spans="2:3">
      <c r="B979" s="108">
        <v>43636</v>
      </c>
      <c r="C979" s="75">
        <v>39601.629999999997</v>
      </c>
    </row>
    <row r="980" spans="2:3">
      <c r="B980" s="108">
        <v>43637</v>
      </c>
      <c r="C980" s="75">
        <v>39194.49</v>
      </c>
    </row>
    <row r="981" spans="2:3">
      <c r="B981" s="108">
        <v>43640</v>
      </c>
      <c r="C981" s="75">
        <v>39122.959999999999</v>
      </c>
    </row>
    <row r="982" spans="2:3">
      <c r="B982" s="108">
        <v>43641</v>
      </c>
      <c r="C982" s="75">
        <v>39434.94</v>
      </c>
    </row>
    <row r="983" spans="2:3">
      <c r="B983" s="108">
        <v>43642</v>
      </c>
      <c r="C983" s="75">
        <v>39592.080000000002</v>
      </c>
    </row>
    <row r="984" spans="2:3">
      <c r="B984" s="108">
        <v>43643</v>
      </c>
      <c r="C984" s="75">
        <v>39586.410000000003</v>
      </c>
    </row>
    <row r="985" spans="2:3">
      <c r="B985" s="108">
        <v>43644</v>
      </c>
      <c r="C985" s="75">
        <v>39394.639999999999</v>
      </c>
    </row>
    <row r="986" spans="2:3">
      <c r="B986" s="108">
        <v>43647</v>
      </c>
      <c r="C986" s="75">
        <v>39686.5</v>
      </c>
    </row>
    <row r="987" spans="2:3">
      <c r="B987" s="108">
        <v>43648</v>
      </c>
      <c r="C987" s="75">
        <v>39816.480000000003</v>
      </c>
    </row>
    <row r="988" spans="2:3">
      <c r="B988" s="108">
        <v>43649</v>
      </c>
      <c r="C988" s="75">
        <v>39839.25</v>
      </c>
    </row>
    <row r="989" spans="2:3">
      <c r="B989" s="108">
        <v>43650</v>
      </c>
      <c r="C989" s="75">
        <v>39908.06</v>
      </c>
    </row>
    <row r="990" spans="2:3">
      <c r="B990" s="108">
        <v>43651</v>
      </c>
      <c r="C990" s="75">
        <v>39513.39</v>
      </c>
    </row>
    <row r="991" spans="2:3">
      <c r="B991" s="108">
        <v>43654</v>
      </c>
      <c r="C991" s="75">
        <v>38720.57</v>
      </c>
    </row>
    <row r="992" spans="2:3">
      <c r="B992" s="108">
        <v>43655</v>
      </c>
      <c r="C992" s="75">
        <v>38730.82</v>
      </c>
    </row>
    <row r="993" spans="2:3">
      <c r="B993" s="108">
        <v>43656</v>
      </c>
      <c r="C993" s="75">
        <v>38557.040000000001</v>
      </c>
    </row>
    <row r="994" spans="2:3">
      <c r="B994" s="108">
        <v>43657</v>
      </c>
      <c r="C994" s="75">
        <v>38823.11</v>
      </c>
    </row>
    <row r="995" spans="2:3">
      <c r="B995" s="108">
        <v>43658</v>
      </c>
      <c r="C995" s="75">
        <v>38736.230000000003</v>
      </c>
    </row>
    <row r="996" spans="2:3">
      <c r="B996" s="108">
        <v>43661</v>
      </c>
      <c r="C996" s="75">
        <v>38896.71</v>
      </c>
    </row>
    <row r="997" spans="2:3">
      <c r="B997" s="108">
        <v>43662</v>
      </c>
      <c r="C997" s="75">
        <v>39131.040000000001</v>
      </c>
    </row>
    <row r="998" spans="2:3">
      <c r="B998" s="108">
        <v>43663</v>
      </c>
      <c r="C998" s="75">
        <v>39215.64</v>
      </c>
    </row>
    <row r="999" spans="2:3">
      <c r="B999" s="108">
        <v>43664</v>
      </c>
      <c r="C999" s="75">
        <v>38897.46</v>
      </c>
    </row>
    <row r="1000" spans="2:3">
      <c r="B1000" s="108">
        <v>43665</v>
      </c>
      <c r="C1000" s="75">
        <v>38337.01</v>
      </c>
    </row>
    <row r="1001" spans="2:3">
      <c r="B1001" s="108">
        <v>43668</v>
      </c>
      <c r="C1001" s="75">
        <v>38031.129999999997</v>
      </c>
    </row>
    <row r="1002" spans="2:3">
      <c r="B1002" s="108">
        <v>43669</v>
      </c>
      <c r="C1002" s="75">
        <v>37982.74</v>
      </c>
    </row>
    <row r="1003" spans="2:3">
      <c r="B1003" s="108">
        <v>43670</v>
      </c>
      <c r="C1003" s="75">
        <v>37847.65</v>
      </c>
    </row>
    <row r="1004" spans="2:3">
      <c r="B1004" s="108">
        <v>43671</v>
      </c>
      <c r="C1004" s="75">
        <v>37830.980000000003</v>
      </c>
    </row>
    <row r="1005" spans="2:3">
      <c r="B1005" s="108">
        <v>43672</v>
      </c>
      <c r="C1005" s="75">
        <v>37882.79</v>
      </c>
    </row>
    <row r="1006" spans="2:3">
      <c r="B1006" s="108">
        <v>43675</v>
      </c>
      <c r="C1006" s="75">
        <v>37686.370000000003</v>
      </c>
    </row>
    <row r="1007" spans="2:3">
      <c r="B1007" s="108">
        <v>43676</v>
      </c>
      <c r="C1007" s="75">
        <v>37397.24</v>
      </c>
    </row>
    <row r="1008" spans="2:3">
      <c r="B1008" s="108">
        <v>43677</v>
      </c>
      <c r="C1008" s="75">
        <v>37481.120000000003</v>
      </c>
    </row>
    <row r="1009" spans="2:3">
      <c r="B1009" s="108">
        <v>43678</v>
      </c>
      <c r="C1009" s="75">
        <v>37018.32</v>
      </c>
    </row>
    <row r="1010" spans="2:3">
      <c r="B1010" s="108">
        <v>43679</v>
      </c>
      <c r="C1010" s="75">
        <v>37118.22</v>
      </c>
    </row>
    <row r="1011" spans="2:3">
      <c r="B1011" s="108">
        <v>43682</v>
      </c>
      <c r="C1011" s="75">
        <v>36699.839999999997</v>
      </c>
    </row>
    <row r="1012" spans="2:3">
      <c r="B1012" s="108">
        <v>43683</v>
      </c>
      <c r="C1012" s="75">
        <v>36976.85</v>
      </c>
    </row>
    <row r="1013" spans="2:3">
      <c r="B1013" s="108">
        <v>43684</v>
      </c>
      <c r="C1013" s="75">
        <v>36690.5</v>
      </c>
    </row>
    <row r="1014" spans="2:3">
      <c r="B1014" s="108">
        <v>43685</v>
      </c>
      <c r="C1014" s="75">
        <v>37327.360000000001</v>
      </c>
    </row>
    <row r="1015" spans="2:3">
      <c r="B1015" s="108">
        <v>43686</v>
      </c>
      <c r="C1015" s="75">
        <v>37581.910000000003</v>
      </c>
    </row>
    <row r="1016" spans="2:3">
      <c r="B1016" s="108">
        <v>43690</v>
      </c>
      <c r="C1016" s="75">
        <v>36958.160000000003</v>
      </c>
    </row>
    <row r="1017" spans="2:3">
      <c r="B1017" s="108">
        <v>43691</v>
      </c>
      <c r="C1017" s="75">
        <v>37311.53</v>
      </c>
    </row>
    <row r="1018" spans="2:3">
      <c r="B1018" s="108">
        <v>43693</v>
      </c>
      <c r="C1018" s="75">
        <v>37350.33</v>
      </c>
    </row>
    <row r="1019" spans="2:3">
      <c r="B1019" s="108">
        <v>43696</v>
      </c>
      <c r="C1019" s="75">
        <v>37402.49</v>
      </c>
    </row>
    <row r="1020" spans="2:3">
      <c r="B1020" s="108">
        <v>43697</v>
      </c>
      <c r="C1020" s="75">
        <v>37328.01</v>
      </c>
    </row>
    <row r="1021" spans="2:3">
      <c r="B1021" s="108">
        <v>43698</v>
      </c>
      <c r="C1021" s="75">
        <v>37060.370000000003</v>
      </c>
    </row>
    <row r="1022" spans="2:3">
      <c r="B1022" s="108">
        <v>43699</v>
      </c>
      <c r="C1022" s="75">
        <v>36472.93</v>
      </c>
    </row>
    <row r="1023" spans="2:3">
      <c r="B1023" s="108">
        <v>43700</v>
      </c>
      <c r="C1023" s="75">
        <v>36701.160000000003</v>
      </c>
    </row>
    <row r="1024" spans="2:3">
      <c r="B1024" s="108">
        <v>43703</v>
      </c>
      <c r="C1024" s="75">
        <v>37494.120000000003</v>
      </c>
    </row>
    <row r="1025" spans="2:3">
      <c r="B1025" s="108">
        <v>43704</v>
      </c>
      <c r="C1025" s="75">
        <v>37641.269999999997</v>
      </c>
    </row>
    <row r="1026" spans="2:3">
      <c r="B1026" s="108">
        <v>43705</v>
      </c>
      <c r="C1026" s="75">
        <v>37451.839999999997</v>
      </c>
    </row>
    <row r="1027" spans="2:3">
      <c r="B1027" s="108">
        <v>43706</v>
      </c>
      <c r="C1027" s="75">
        <v>37068.93</v>
      </c>
    </row>
    <row r="1028" spans="2:3">
      <c r="B1028" s="108">
        <v>43707</v>
      </c>
      <c r="C1028" s="75">
        <v>37332.79</v>
      </c>
    </row>
    <row r="1029" spans="2:3">
      <c r="B1029" s="108">
        <v>43711</v>
      </c>
      <c r="C1029" s="75">
        <v>36562.910000000003</v>
      </c>
    </row>
    <row r="1030" spans="2:3">
      <c r="B1030" s="108">
        <v>43712</v>
      </c>
      <c r="C1030" s="75">
        <v>36724.74</v>
      </c>
    </row>
    <row r="1031" spans="2:3">
      <c r="B1031" s="108">
        <v>43713</v>
      </c>
      <c r="C1031" s="75">
        <v>36644.42</v>
      </c>
    </row>
    <row r="1032" spans="2:3">
      <c r="B1032" s="108">
        <v>43714</v>
      </c>
      <c r="C1032" s="75">
        <v>36981.769999999997</v>
      </c>
    </row>
    <row r="1033" spans="2:3">
      <c r="B1033" s="108">
        <v>43717</v>
      </c>
      <c r="C1033" s="75">
        <v>37145.449999999997</v>
      </c>
    </row>
    <row r="1034" spans="2:3">
      <c r="B1034" s="108">
        <v>43719</v>
      </c>
      <c r="C1034" s="75">
        <v>37270.82</v>
      </c>
    </row>
    <row r="1035" spans="2:3">
      <c r="B1035" s="108">
        <v>43720</v>
      </c>
      <c r="C1035" s="75">
        <v>37104.28</v>
      </c>
    </row>
    <row r="1036" spans="2:3">
      <c r="B1036" s="108">
        <v>43721</v>
      </c>
      <c r="C1036" s="75">
        <v>37384.99</v>
      </c>
    </row>
    <row r="1037" spans="2:3">
      <c r="B1037" s="108">
        <v>43724</v>
      </c>
      <c r="C1037" s="75">
        <v>37123.31</v>
      </c>
    </row>
    <row r="1038" spans="2:3">
      <c r="B1038" s="108">
        <v>43725</v>
      </c>
      <c r="C1038" s="75">
        <v>36481.089999999997</v>
      </c>
    </row>
    <row r="1039" spans="2:3">
      <c r="B1039" s="108">
        <v>43726</v>
      </c>
      <c r="C1039" s="75">
        <v>36563.879999999997</v>
      </c>
    </row>
    <row r="1040" spans="2:3">
      <c r="B1040" s="108">
        <v>43727</v>
      </c>
      <c r="C1040" s="75">
        <v>36093.47</v>
      </c>
    </row>
    <row r="1041" spans="2:3">
      <c r="B1041" s="108">
        <v>43728</v>
      </c>
      <c r="C1041" s="75">
        <v>38014.620000000003</v>
      </c>
    </row>
    <row r="1042" spans="2:3">
      <c r="B1042" s="108">
        <v>43731</v>
      </c>
      <c r="C1042" s="75">
        <v>39090.03</v>
      </c>
    </row>
    <row r="1043" spans="2:3">
      <c r="B1043" s="108">
        <v>43732</v>
      </c>
      <c r="C1043" s="75">
        <v>39097.14</v>
      </c>
    </row>
    <row r="1044" spans="2:3">
      <c r="B1044" s="108">
        <v>43733</v>
      </c>
      <c r="C1044" s="75">
        <v>38593.519999999997</v>
      </c>
    </row>
    <row r="1045" spans="2:3">
      <c r="B1045" s="108">
        <v>43734</v>
      </c>
      <c r="C1045" s="75">
        <v>38989.74</v>
      </c>
    </row>
    <row r="1046" spans="2:3">
      <c r="B1046" s="108">
        <v>43735</v>
      </c>
      <c r="C1046" s="75">
        <v>38822.57</v>
      </c>
    </row>
    <row r="1047" spans="2:3">
      <c r="B1047" s="108">
        <v>43738</v>
      </c>
      <c r="C1047" s="75">
        <v>38667.33</v>
      </c>
    </row>
    <row r="1048" spans="2:3">
      <c r="B1048" s="108">
        <v>43739</v>
      </c>
      <c r="C1048" s="75">
        <v>38305.410000000003</v>
      </c>
    </row>
    <row r="1049" spans="2:3">
      <c r="B1049" s="108">
        <v>43741</v>
      </c>
      <c r="C1049" s="75">
        <v>38106.870000000003</v>
      </c>
    </row>
    <row r="1050" spans="2:3">
      <c r="B1050" s="108">
        <v>43742</v>
      </c>
      <c r="C1050" s="75">
        <v>37673.31</v>
      </c>
    </row>
    <row r="1051" spans="2:3">
      <c r="B1051" s="108">
        <v>43745</v>
      </c>
      <c r="C1051" s="75">
        <v>37531.980000000003</v>
      </c>
    </row>
    <row r="1052" spans="2:3">
      <c r="B1052" s="108">
        <v>43747</v>
      </c>
      <c r="C1052" s="75">
        <v>38177.949999999997</v>
      </c>
    </row>
    <row r="1053" spans="2:3">
      <c r="B1053" s="108">
        <v>43748</v>
      </c>
      <c r="C1053" s="75">
        <v>37880.400000000001</v>
      </c>
    </row>
    <row r="1054" spans="2:3">
      <c r="B1054" s="108">
        <v>43749</v>
      </c>
      <c r="C1054" s="75">
        <v>38127.08</v>
      </c>
    </row>
    <row r="1055" spans="2:3">
      <c r="B1055" s="108">
        <v>43752</v>
      </c>
      <c r="C1055" s="75">
        <v>38214.47</v>
      </c>
    </row>
    <row r="1056" spans="2:3">
      <c r="B1056" s="108">
        <v>43753</v>
      </c>
      <c r="C1056" s="75">
        <v>38506.089999999997</v>
      </c>
    </row>
    <row r="1057" spans="2:3">
      <c r="B1057" s="108">
        <v>43754</v>
      </c>
      <c r="C1057" s="75">
        <v>38598.99</v>
      </c>
    </row>
    <row r="1058" spans="2:3">
      <c r="B1058" s="108">
        <v>43755</v>
      </c>
      <c r="C1058" s="75">
        <v>39052.06</v>
      </c>
    </row>
    <row r="1059" spans="2:3">
      <c r="B1059" s="108">
        <v>43756</v>
      </c>
      <c r="C1059" s="75">
        <v>39298.379999999997</v>
      </c>
    </row>
    <row r="1060" spans="2:3">
      <c r="B1060" s="108">
        <v>43760</v>
      </c>
      <c r="C1060" s="75">
        <v>38963.839999999997</v>
      </c>
    </row>
    <row r="1061" spans="2:3">
      <c r="B1061" s="108">
        <v>43761</v>
      </c>
      <c r="C1061" s="75">
        <v>39058.83</v>
      </c>
    </row>
    <row r="1062" spans="2:3">
      <c r="B1062" s="108">
        <v>43762</v>
      </c>
      <c r="C1062" s="75">
        <v>39020.39</v>
      </c>
    </row>
    <row r="1063" spans="2:3">
      <c r="B1063" s="108">
        <v>43763</v>
      </c>
      <c r="C1063" s="75">
        <v>39058.06</v>
      </c>
    </row>
    <row r="1064" spans="2:3">
      <c r="B1064" s="108">
        <v>43765</v>
      </c>
      <c r="C1064" s="75">
        <v>39250.199999999997</v>
      </c>
    </row>
    <row r="1065" spans="2:3">
      <c r="B1065" s="108">
        <v>43767</v>
      </c>
      <c r="C1065" s="75">
        <v>39831.839999999997</v>
      </c>
    </row>
    <row r="1066" spans="2:3">
      <c r="B1066" s="108">
        <v>43768</v>
      </c>
      <c r="C1066" s="75">
        <v>40051.870000000003</v>
      </c>
    </row>
    <row r="1067" spans="2:3">
      <c r="B1067" s="108">
        <v>43769</v>
      </c>
      <c r="C1067" s="75">
        <v>40129.050000000003</v>
      </c>
    </row>
    <row r="1068" spans="2:3">
      <c r="B1068" s="108">
        <v>43770</v>
      </c>
      <c r="C1068" s="75">
        <v>40165.03</v>
      </c>
    </row>
    <row r="1069" spans="2:3">
      <c r="B1069" s="108">
        <v>43773</v>
      </c>
      <c r="C1069" s="75">
        <v>40301.96</v>
      </c>
    </row>
    <row r="1070" spans="2:3">
      <c r="B1070" s="108">
        <v>43774</v>
      </c>
      <c r="C1070" s="75">
        <v>40248.230000000003</v>
      </c>
    </row>
    <row r="1071" spans="2:3">
      <c r="B1071" s="108">
        <v>43775</v>
      </c>
      <c r="C1071" s="75">
        <v>40469.78</v>
      </c>
    </row>
    <row r="1072" spans="2:3">
      <c r="B1072" s="108">
        <v>43776</v>
      </c>
      <c r="C1072" s="75">
        <v>40653.74</v>
      </c>
    </row>
    <row r="1073" spans="2:3">
      <c r="B1073" s="108">
        <v>43777</v>
      </c>
      <c r="C1073" s="75">
        <v>40323.61</v>
      </c>
    </row>
    <row r="1074" spans="2:3">
      <c r="B1074" s="108">
        <v>43780</v>
      </c>
      <c r="C1074" s="75">
        <v>40345.08</v>
      </c>
    </row>
    <row r="1075" spans="2:3">
      <c r="B1075" s="108">
        <v>43782</v>
      </c>
      <c r="C1075" s="75">
        <v>40116.06</v>
      </c>
    </row>
    <row r="1076" spans="2:3">
      <c r="B1076" s="108">
        <v>43783</v>
      </c>
      <c r="C1076" s="75">
        <v>40286.480000000003</v>
      </c>
    </row>
    <row r="1077" spans="2:3">
      <c r="B1077" s="108">
        <v>43784</v>
      </c>
      <c r="C1077" s="75">
        <v>40356.69</v>
      </c>
    </row>
    <row r="1078" spans="2:3">
      <c r="B1078" s="108">
        <v>43787</v>
      </c>
      <c r="C1078" s="75">
        <v>40284.19</v>
      </c>
    </row>
    <row r="1079" spans="2:3">
      <c r="B1079" s="108">
        <v>43788</v>
      </c>
      <c r="C1079" s="75">
        <v>40469.699999999997</v>
      </c>
    </row>
    <row r="1080" spans="2:3">
      <c r="B1080" s="108">
        <v>43789</v>
      </c>
      <c r="C1080" s="75">
        <v>40651.64</v>
      </c>
    </row>
    <row r="1081" spans="2:3">
      <c r="B1081" s="108">
        <v>43790</v>
      </c>
      <c r="C1081" s="75">
        <v>40575.17</v>
      </c>
    </row>
    <row r="1082" spans="2:3">
      <c r="B1082" s="108">
        <v>43791</v>
      </c>
      <c r="C1082" s="75">
        <v>40359.410000000003</v>
      </c>
    </row>
    <row r="1083" spans="2:3">
      <c r="B1083" s="108">
        <v>43794</v>
      </c>
      <c r="C1083" s="75">
        <v>40889.230000000003</v>
      </c>
    </row>
    <row r="1084" spans="2:3">
      <c r="B1084" s="108">
        <v>43795</v>
      </c>
      <c r="C1084" s="75">
        <v>40821.300000000003</v>
      </c>
    </row>
    <row r="1085" spans="2:3">
      <c r="B1085" s="108">
        <v>43796</v>
      </c>
      <c r="C1085" s="75">
        <v>41020.61</v>
      </c>
    </row>
    <row r="1086" spans="2:3">
      <c r="B1086" s="108">
        <v>43797</v>
      </c>
      <c r="C1086" s="75">
        <v>41130.17</v>
      </c>
    </row>
    <row r="1087" spans="2:3">
      <c r="B1087" s="108">
        <v>43798</v>
      </c>
      <c r="C1087" s="75">
        <v>40793.81</v>
      </c>
    </row>
    <row r="1088" spans="2:3">
      <c r="B1088" s="108">
        <v>43801</v>
      </c>
      <c r="C1088" s="75">
        <v>40802.17</v>
      </c>
    </row>
    <row r="1089" spans="2:3">
      <c r="B1089" s="108">
        <v>43802</v>
      </c>
      <c r="C1089" s="75">
        <v>40675.449999999997</v>
      </c>
    </row>
    <row r="1090" spans="2:3">
      <c r="B1090" s="108">
        <v>43803</v>
      </c>
      <c r="C1090" s="75">
        <v>40850.29</v>
      </c>
    </row>
    <row r="1091" spans="2:3">
      <c r="B1091" s="108">
        <v>43804</v>
      </c>
      <c r="C1091" s="75">
        <v>40779.589999999997</v>
      </c>
    </row>
    <row r="1092" spans="2:3">
      <c r="B1092" s="108">
        <v>43805</v>
      </c>
      <c r="C1092" s="75">
        <v>40445.15</v>
      </c>
    </row>
    <row r="1093" spans="2:3">
      <c r="B1093" s="108">
        <v>43808</v>
      </c>
      <c r="C1093" s="75">
        <v>40487.43</v>
      </c>
    </row>
    <row r="1094" spans="2:3">
      <c r="B1094" s="108">
        <v>43809</v>
      </c>
      <c r="C1094" s="75">
        <v>40239.879999999997</v>
      </c>
    </row>
    <row r="1095" spans="2:3">
      <c r="B1095" s="108">
        <v>43810</v>
      </c>
      <c r="C1095" s="75">
        <v>40412.57</v>
      </c>
    </row>
    <row r="1096" spans="2:3">
      <c r="B1096" s="108">
        <v>43811</v>
      </c>
      <c r="C1096" s="75">
        <v>40581.71</v>
      </c>
    </row>
    <row r="1097" spans="2:3">
      <c r="B1097" s="108">
        <v>43812</v>
      </c>
      <c r="C1097" s="75">
        <v>41009.71</v>
      </c>
    </row>
    <row r="1098" spans="2:3">
      <c r="B1098" s="108">
        <v>43815</v>
      </c>
      <c r="C1098" s="75">
        <v>40938.720000000001</v>
      </c>
    </row>
    <row r="1099" spans="2:3">
      <c r="B1099" s="108">
        <v>43816</v>
      </c>
      <c r="C1099" s="75">
        <v>41352.17</v>
      </c>
    </row>
    <row r="1100" spans="2:3">
      <c r="B1100" s="108">
        <v>43817</v>
      </c>
      <c r="C1100" s="75">
        <v>41558.57</v>
      </c>
    </row>
    <row r="1101" spans="2:3">
      <c r="B1101" s="108">
        <v>43818</v>
      </c>
      <c r="C1101" s="75">
        <v>41673.919999999998</v>
      </c>
    </row>
    <row r="1102" spans="2:3">
      <c r="B1102" s="108">
        <v>43819</v>
      </c>
      <c r="C1102" s="75">
        <v>41681.54</v>
      </c>
    </row>
    <row r="1103" spans="2:3">
      <c r="B1103" s="108">
        <v>43822</v>
      </c>
      <c r="C1103" s="75">
        <v>41642.660000000003</v>
      </c>
    </row>
    <row r="1104" spans="2:3">
      <c r="B1104" s="108">
        <v>43823</v>
      </c>
      <c r="C1104" s="75">
        <v>41461.26</v>
      </c>
    </row>
    <row r="1105" spans="2:3">
      <c r="B1105" s="108">
        <v>43825</v>
      </c>
      <c r="C1105" s="75">
        <v>41163.760000000002</v>
      </c>
    </row>
    <row r="1106" spans="2:3">
      <c r="B1106" s="108">
        <v>43826</v>
      </c>
      <c r="C1106" s="75">
        <v>41575.14</v>
      </c>
    </row>
    <row r="1107" spans="2:3">
      <c r="B1107" s="108">
        <v>43829</v>
      </c>
      <c r="C1107" s="75">
        <v>41558</v>
      </c>
    </row>
    <row r="1108" spans="2:3">
      <c r="B1108" s="108">
        <v>43830</v>
      </c>
      <c r="C1108" s="75">
        <v>41253.74</v>
      </c>
    </row>
    <row r="1109" spans="2:3">
      <c r="B1109" s="108">
        <v>43831</v>
      </c>
      <c r="C1109" s="75">
        <v>41306.019999999997</v>
      </c>
    </row>
    <row r="1110" spans="2:3">
      <c r="B1110" s="108">
        <v>43832</v>
      </c>
      <c r="C1110" s="75">
        <v>41626.639999999999</v>
      </c>
    </row>
    <row r="1111" spans="2:3">
      <c r="B1111" s="108">
        <v>43833</v>
      </c>
      <c r="C1111" s="75">
        <v>41464.61</v>
      </c>
    </row>
    <row r="1112" spans="2:3">
      <c r="B1112" s="108">
        <v>43836</v>
      </c>
      <c r="C1112" s="75">
        <v>40676.629999999997</v>
      </c>
    </row>
    <row r="1113" spans="2:3">
      <c r="B1113" s="108">
        <v>43837</v>
      </c>
      <c r="C1113" s="75">
        <v>40869.47</v>
      </c>
    </row>
    <row r="1114" spans="2:3">
      <c r="B1114" s="108">
        <v>43838</v>
      </c>
      <c r="C1114" s="75">
        <v>40817.74</v>
      </c>
    </row>
    <row r="1115" spans="2:3">
      <c r="B1115" s="108">
        <v>43839</v>
      </c>
      <c r="C1115" s="75">
        <v>41452.35</v>
      </c>
    </row>
    <row r="1116" spans="2:3">
      <c r="B1116" s="108">
        <v>43840</v>
      </c>
      <c r="C1116" s="75">
        <v>41599.72</v>
      </c>
    </row>
    <row r="1117" spans="2:3">
      <c r="B1117" s="108">
        <v>43843</v>
      </c>
      <c r="C1117" s="75">
        <v>41859.69</v>
      </c>
    </row>
    <row r="1118" spans="2:3">
      <c r="B1118" s="108">
        <v>43844</v>
      </c>
      <c r="C1118" s="75">
        <v>41952.63</v>
      </c>
    </row>
    <row r="1119" spans="2:3">
      <c r="B1119" s="108">
        <v>43845</v>
      </c>
      <c r="C1119" s="75">
        <v>41872.730000000003</v>
      </c>
    </row>
    <row r="1120" spans="2:3">
      <c r="B1120" s="108">
        <v>43846</v>
      </c>
      <c r="C1120" s="75">
        <v>41932.559999999998</v>
      </c>
    </row>
    <row r="1121" spans="2:3">
      <c r="B1121" s="108">
        <v>43847</v>
      </c>
      <c r="C1121" s="75">
        <v>41945.37</v>
      </c>
    </row>
    <row r="1122" spans="2:3">
      <c r="B1122" s="108">
        <v>43850</v>
      </c>
      <c r="C1122" s="75">
        <v>41528.910000000003</v>
      </c>
    </row>
    <row r="1123" spans="2:3">
      <c r="B1123" s="108">
        <v>43851</v>
      </c>
      <c r="C1123" s="75">
        <v>41323.81</v>
      </c>
    </row>
    <row r="1124" spans="2:3">
      <c r="B1124" s="108">
        <v>43852</v>
      </c>
      <c r="C1124" s="75">
        <v>41115.379999999997</v>
      </c>
    </row>
    <row r="1125" spans="2:3">
      <c r="B1125" s="108">
        <v>43853</v>
      </c>
      <c r="C1125" s="75">
        <v>41386.400000000001</v>
      </c>
    </row>
    <row r="1126" spans="2:3">
      <c r="B1126" s="108">
        <v>43854</v>
      </c>
      <c r="C1126" s="75">
        <v>41613.19</v>
      </c>
    </row>
    <row r="1127" spans="2:3">
      <c r="B1127" s="108">
        <v>43857</v>
      </c>
      <c r="C1127" s="75">
        <v>41155.120000000003</v>
      </c>
    </row>
    <row r="1128" spans="2:3">
      <c r="B1128" s="108">
        <v>43858</v>
      </c>
      <c r="C1128" s="75">
        <v>40966.86</v>
      </c>
    </row>
    <row r="1129" spans="2:3">
      <c r="B1129" s="108">
        <v>43859</v>
      </c>
      <c r="C1129" s="75">
        <v>41198.660000000003</v>
      </c>
    </row>
    <row r="1130" spans="2:3">
      <c r="B1130" s="108">
        <v>43860</v>
      </c>
      <c r="C1130" s="75">
        <v>40913.82</v>
      </c>
    </row>
    <row r="1131" spans="2:3">
      <c r="B1131" s="108">
        <v>43861</v>
      </c>
      <c r="C1131" s="75">
        <v>40723.49</v>
      </c>
    </row>
    <row r="1132" spans="2:3">
      <c r="B1132" s="108">
        <v>43862</v>
      </c>
      <c r="C1132" s="75">
        <v>39735.53</v>
      </c>
    </row>
    <row r="1133" spans="2:3">
      <c r="B1133" s="108">
        <v>43864</v>
      </c>
      <c r="C1133" s="75">
        <v>39872.31</v>
      </c>
    </row>
    <row r="1134" spans="2:3">
      <c r="B1134" s="108">
        <v>43865</v>
      </c>
      <c r="C1134" s="75">
        <v>40789.379999999997</v>
      </c>
    </row>
    <row r="1135" spans="2:3">
      <c r="B1135" s="108">
        <v>43866</v>
      </c>
      <c r="C1135" s="75">
        <v>41142.660000000003</v>
      </c>
    </row>
    <row r="1136" spans="2:3">
      <c r="B1136" s="108">
        <v>43867</v>
      </c>
      <c r="C1136" s="75">
        <v>41306.03</v>
      </c>
    </row>
    <row r="1137" spans="2:3">
      <c r="B1137" s="108">
        <v>43868</v>
      </c>
      <c r="C1137" s="75">
        <v>41141.85</v>
      </c>
    </row>
    <row r="1138" spans="2:3">
      <c r="B1138" s="108">
        <v>43871</v>
      </c>
      <c r="C1138" s="75">
        <v>40979.620000000003</v>
      </c>
    </row>
    <row r="1139" spans="2:3">
      <c r="B1139" s="108">
        <v>43872</v>
      </c>
      <c r="C1139" s="75">
        <v>41216.14</v>
      </c>
    </row>
    <row r="1140" spans="2:3">
      <c r="B1140" s="108">
        <v>43873</v>
      </c>
      <c r="C1140" s="75">
        <v>41565.9</v>
      </c>
    </row>
    <row r="1141" spans="2:3">
      <c r="B1141" s="108">
        <v>43874</v>
      </c>
      <c r="C1141" s="75">
        <v>41459.79</v>
      </c>
    </row>
    <row r="1142" spans="2:3">
      <c r="B1142" s="108">
        <v>43875</v>
      </c>
      <c r="C1142" s="75">
        <v>41257.74</v>
      </c>
    </row>
    <row r="1143" spans="2:3">
      <c r="B1143" s="108">
        <v>43878</v>
      </c>
      <c r="C1143" s="75">
        <v>41055.69</v>
      </c>
    </row>
    <row r="1144" spans="2:3">
      <c r="B1144" s="108">
        <v>43879</v>
      </c>
      <c r="C1144" s="75">
        <v>40894.379999999997</v>
      </c>
    </row>
    <row r="1145" spans="2:3">
      <c r="B1145" s="108">
        <v>43880</v>
      </c>
      <c r="C1145" s="75">
        <v>41323</v>
      </c>
    </row>
    <row r="1146" spans="2:3">
      <c r="B1146" s="108">
        <v>43881</v>
      </c>
      <c r="C1146" s="75">
        <v>41170.120000000003</v>
      </c>
    </row>
    <row r="1147" spans="2:3">
      <c r="B1147" s="108">
        <v>43885</v>
      </c>
      <c r="C1147" s="75">
        <v>40363.230000000003</v>
      </c>
    </row>
    <row r="1148" spans="2:3">
      <c r="B1148" s="108">
        <v>43886</v>
      </c>
      <c r="C1148" s="75">
        <v>40281.199999999997</v>
      </c>
    </row>
    <row r="1149" spans="2:3">
      <c r="B1149" s="108">
        <v>43887</v>
      </c>
      <c r="C1149" s="75">
        <v>39888.959999999999</v>
      </c>
    </row>
    <row r="1150" spans="2:3">
      <c r="B1150" s="108">
        <v>43888</v>
      </c>
      <c r="C1150" s="75">
        <v>39745.660000000003</v>
      </c>
    </row>
    <row r="1151" spans="2:3">
      <c r="B1151" s="108">
        <v>43889</v>
      </c>
      <c r="C1151" s="75">
        <v>38297.29</v>
      </c>
    </row>
    <row r="1152" spans="2:3">
      <c r="B1152" s="108">
        <v>43892</v>
      </c>
      <c r="C1152" s="75">
        <v>38144.019999999997</v>
      </c>
    </row>
    <row r="1153" spans="2:3">
      <c r="B1153" s="108">
        <v>43893</v>
      </c>
      <c r="C1153" s="75">
        <v>38623.699999999997</v>
      </c>
    </row>
    <row r="1154" spans="2:3">
      <c r="B1154" s="108">
        <v>43894</v>
      </c>
      <c r="C1154" s="75">
        <v>38409.480000000003</v>
      </c>
    </row>
    <row r="1155" spans="2:3">
      <c r="B1155" s="108">
        <v>43895</v>
      </c>
      <c r="C1155" s="75">
        <v>38470.61</v>
      </c>
    </row>
    <row r="1156" spans="2:3">
      <c r="B1156" s="108">
        <v>43896</v>
      </c>
      <c r="C1156" s="75">
        <v>37576.620000000003</v>
      </c>
    </row>
    <row r="1157" spans="2:3">
      <c r="B1157" s="108">
        <v>43899</v>
      </c>
      <c r="C1157" s="75">
        <v>35634.949999999997</v>
      </c>
    </row>
    <row r="1158" spans="2:3">
      <c r="B1158" s="108">
        <v>43901</v>
      </c>
      <c r="C1158" s="75">
        <v>35697.4</v>
      </c>
    </row>
    <row r="1159" spans="2:3">
      <c r="B1159" s="108">
        <v>43902</v>
      </c>
      <c r="C1159" s="75">
        <v>32778.14</v>
      </c>
    </row>
    <row r="1160" spans="2:3">
      <c r="B1160" s="108">
        <v>43903</v>
      </c>
      <c r="C1160" s="75">
        <v>34103.480000000003</v>
      </c>
    </row>
    <row r="1161" spans="2:3">
      <c r="B1161" s="108">
        <v>43906</v>
      </c>
      <c r="C1161" s="75">
        <v>31390.07</v>
      </c>
    </row>
    <row r="1162" spans="2:3">
      <c r="B1162" s="108">
        <v>43907</v>
      </c>
      <c r="C1162" s="75">
        <v>30579.09</v>
      </c>
    </row>
    <row r="1163" spans="2:3">
      <c r="B1163" s="108">
        <v>43908</v>
      </c>
      <c r="C1163" s="75">
        <v>28869.51</v>
      </c>
    </row>
    <row r="1164" spans="2:3">
      <c r="B1164" s="108">
        <v>43909</v>
      </c>
      <c r="C1164" s="75">
        <v>28288.23</v>
      </c>
    </row>
    <row r="1165" spans="2:3">
      <c r="B1165" s="108">
        <v>43910</v>
      </c>
      <c r="C1165" s="75">
        <v>29915.96</v>
      </c>
    </row>
    <row r="1166" spans="2:3">
      <c r="B1166" s="108">
        <v>43913</v>
      </c>
      <c r="C1166" s="75">
        <v>25981.24</v>
      </c>
    </row>
    <row r="1167" spans="2:3">
      <c r="B1167" s="108">
        <v>43914</v>
      </c>
      <c r="C1167" s="75">
        <v>26674.03</v>
      </c>
    </row>
    <row r="1168" spans="2:3">
      <c r="B1168" s="108">
        <v>43915</v>
      </c>
      <c r="C1168" s="75">
        <v>28535.78</v>
      </c>
    </row>
    <row r="1169" spans="2:3">
      <c r="B1169" s="108">
        <v>43916</v>
      </c>
      <c r="C1169" s="75">
        <v>29946.77</v>
      </c>
    </row>
    <row r="1170" spans="2:3">
      <c r="B1170" s="108">
        <v>43917</v>
      </c>
      <c r="C1170" s="75">
        <v>29815.59</v>
      </c>
    </row>
    <row r="1171" spans="2:3">
      <c r="B1171" s="108">
        <v>43920</v>
      </c>
      <c r="C1171" s="75">
        <v>28440.32</v>
      </c>
    </row>
    <row r="1172" spans="2:3">
      <c r="B1172" s="108">
        <v>43921</v>
      </c>
      <c r="C1172" s="75">
        <v>29468.49</v>
      </c>
    </row>
    <row r="1173" spans="2:3">
      <c r="B1173" s="108">
        <v>43922</v>
      </c>
      <c r="C1173" s="75">
        <v>28265.31</v>
      </c>
    </row>
    <row r="1174" spans="2:3">
      <c r="B1174" s="108">
        <v>43924</v>
      </c>
      <c r="C1174" s="75">
        <v>27590.95</v>
      </c>
    </row>
    <row r="1175" spans="2:3">
      <c r="B1175" s="108">
        <v>43928</v>
      </c>
      <c r="C1175" s="75">
        <v>30067.21</v>
      </c>
    </row>
    <row r="1176" spans="2:3">
      <c r="B1176" s="108">
        <v>43929</v>
      </c>
      <c r="C1176" s="75">
        <v>29893.96</v>
      </c>
    </row>
    <row r="1177" spans="2:3">
      <c r="B1177" s="108">
        <v>43930</v>
      </c>
      <c r="C1177" s="75">
        <v>31159.62</v>
      </c>
    </row>
    <row r="1178" spans="2:3">
      <c r="B1178" s="108">
        <v>43934</v>
      </c>
      <c r="C1178" s="75">
        <v>30690.02</v>
      </c>
    </row>
    <row r="1179" spans="2:3">
      <c r="B1179" s="108">
        <v>43936</v>
      </c>
      <c r="C1179" s="75">
        <v>30379.81</v>
      </c>
    </row>
    <row r="1180" spans="2:3">
      <c r="B1180" s="108">
        <v>43937</v>
      </c>
      <c r="C1180" s="75">
        <v>30602.61</v>
      </c>
    </row>
    <row r="1181" spans="2:3">
      <c r="B1181" s="108">
        <v>43938</v>
      </c>
      <c r="C1181" s="75">
        <v>31588.720000000001</v>
      </c>
    </row>
    <row r="1182" spans="2:3">
      <c r="B1182" s="108">
        <v>43941</v>
      </c>
      <c r="C1182" s="75">
        <v>31648</v>
      </c>
    </row>
    <row r="1183" spans="2:3">
      <c r="B1183" s="108">
        <v>43942</v>
      </c>
      <c r="C1183" s="75">
        <v>30636.71</v>
      </c>
    </row>
    <row r="1184" spans="2:3">
      <c r="B1184" s="108">
        <v>43943</v>
      </c>
      <c r="C1184" s="75">
        <v>31379.55</v>
      </c>
    </row>
    <row r="1185" spans="2:3">
      <c r="B1185" s="108">
        <v>43944</v>
      </c>
      <c r="C1185" s="75">
        <v>31863.08</v>
      </c>
    </row>
    <row r="1186" spans="2:3">
      <c r="B1186" s="108">
        <v>43945</v>
      </c>
      <c r="C1186" s="75">
        <v>31327.22</v>
      </c>
    </row>
    <row r="1187" spans="2:3">
      <c r="B1187" s="108">
        <v>43948</v>
      </c>
      <c r="C1187" s="75">
        <v>31743.08</v>
      </c>
    </row>
    <row r="1188" spans="2:3">
      <c r="B1188" s="108">
        <v>43949</v>
      </c>
      <c r="C1188" s="75">
        <v>32114.52</v>
      </c>
    </row>
    <row r="1189" spans="2:3">
      <c r="B1189" s="108">
        <v>43950</v>
      </c>
      <c r="C1189" s="75">
        <v>32720.16</v>
      </c>
    </row>
    <row r="1190" spans="2:3">
      <c r="B1190" s="108">
        <v>43951</v>
      </c>
      <c r="C1190" s="75">
        <v>33717.620000000003</v>
      </c>
    </row>
    <row r="1191" spans="2:3">
      <c r="B1191" s="108">
        <v>43955</v>
      </c>
      <c r="C1191" s="75">
        <v>31715.35</v>
      </c>
    </row>
    <row r="1192" spans="2:3">
      <c r="B1192" s="108">
        <v>43956</v>
      </c>
      <c r="C1192" s="75">
        <v>31453.51</v>
      </c>
    </row>
    <row r="1193" spans="2:3">
      <c r="B1193" s="108">
        <v>43957</v>
      </c>
      <c r="C1193" s="75">
        <v>31685.75</v>
      </c>
    </row>
    <row r="1194" spans="2:3">
      <c r="B1194" s="108">
        <v>43958</v>
      </c>
      <c r="C1194" s="75">
        <v>31443.38</v>
      </c>
    </row>
    <row r="1195" spans="2:3">
      <c r="B1195" s="108">
        <v>43959</v>
      </c>
      <c r="C1195" s="75">
        <v>31642.7</v>
      </c>
    </row>
    <row r="1196" spans="2:3">
      <c r="B1196" s="108">
        <v>43962</v>
      </c>
      <c r="C1196" s="75">
        <v>31561.22</v>
      </c>
    </row>
    <row r="1197" spans="2:3">
      <c r="B1197" s="108">
        <v>43963</v>
      </c>
      <c r="C1197" s="75">
        <v>31371.119999999999</v>
      </c>
    </row>
    <row r="1198" spans="2:3">
      <c r="B1198" s="108">
        <v>43964</v>
      </c>
      <c r="C1198" s="75">
        <v>32008.61</v>
      </c>
    </row>
    <row r="1199" spans="2:3">
      <c r="B1199" s="108">
        <v>43965</v>
      </c>
      <c r="C1199" s="75">
        <v>31122.89</v>
      </c>
    </row>
    <row r="1200" spans="2:3">
      <c r="B1200" s="108">
        <v>43966</v>
      </c>
      <c r="C1200" s="75">
        <v>31097.73</v>
      </c>
    </row>
    <row r="1201" spans="2:3">
      <c r="B1201" s="108">
        <v>43969</v>
      </c>
      <c r="C1201" s="75">
        <v>30028.98</v>
      </c>
    </row>
    <row r="1202" spans="2:3">
      <c r="B1202" s="108">
        <v>43970</v>
      </c>
      <c r="C1202" s="75">
        <v>30196.17</v>
      </c>
    </row>
    <row r="1203" spans="2:3">
      <c r="B1203" s="108">
        <v>43971</v>
      </c>
      <c r="C1203" s="75">
        <v>30818.61</v>
      </c>
    </row>
    <row r="1204" spans="2:3">
      <c r="B1204" s="108">
        <v>43972</v>
      </c>
      <c r="C1204" s="75">
        <v>30932.9</v>
      </c>
    </row>
    <row r="1205" spans="2:3">
      <c r="B1205" s="108">
        <v>43973</v>
      </c>
      <c r="C1205" s="75">
        <v>30672.59</v>
      </c>
    </row>
    <row r="1206" spans="2:3">
      <c r="B1206" s="108">
        <v>43977</v>
      </c>
      <c r="C1206" s="75">
        <v>30609.3</v>
      </c>
    </row>
    <row r="1207" spans="2:3">
      <c r="B1207" s="108">
        <v>43978</v>
      </c>
      <c r="C1207" s="75">
        <v>31605.22</v>
      </c>
    </row>
    <row r="1208" spans="2:3">
      <c r="B1208" s="108">
        <v>43979</v>
      </c>
      <c r="C1208" s="75">
        <v>32200.59</v>
      </c>
    </row>
    <row r="1209" spans="2:3">
      <c r="B1209" s="108">
        <v>43980</v>
      </c>
      <c r="C1209" s="75">
        <v>32424.1</v>
      </c>
    </row>
    <row r="1210" spans="2:3">
      <c r="B1210" s="108">
        <v>43983</v>
      </c>
      <c r="C1210" s="75">
        <v>33303.519999999997</v>
      </c>
    </row>
    <row r="1211" spans="2:3">
      <c r="B1211" s="108">
        <v>43984</v>
      </c>
      <c r="C1211" s="75">
        <v>33825.53</v>
      </c>
    </row>
    <row r="1212" spans="2:3">
      <c r="B1212" s="108">
        <v>43985</v>
      </c>
      <c r="C1212" s="75">
        <v>34109.54</v>
      </c>
    </row>
    <row r="1213" spans="2:3">
      <c r="B1213" s="108">
        <v>43986</v>
      </c>
      <c r="C1213" s="75">
        <v>33980.699999999997</v>
      </c>
    </row>
    <row r="1214" spans="2:3">
      <c r="B1214" s="108">
        <v>43987</v>
      </c>
      <c r="C1214" s="75">
        <v>34287.24</v>
      </c>
    </row>
    <row r="1215" spans="2:3">
      <c r="B1215" s="108">
        <v>43990</v>
      </c>
      <c r="C1215" s="75">
        <v>34370.58</v>
      </c>
    </row>
    <row r="1216" spans="2:3">
      <c r="B1216" s="108">
        <v>43991</v>
      </c>
      <c r="C1216" s="75">
        <v>33956.69</v>
      </c>
    </row>
    <row r="1217" spans="2:3">
      <c r="B1217" s="108">
        <v>43992</v>
      </c>
      <c r="C1217" s="75">
        <v>34247.050000000003</v>
      </c>
    </row>
    <row r="1218" spans="2:3">
      <c r="B1218" s="108">
        <v>43993</v>
      </c>
      <c r="C1218" s="75">
        <v>33538.370000000003</v>
      </c>
    </row>
    <row r="1219" spans="2:3">
      <c r="B1219" s="108">
        <v>43994</v>
      </c>
      <c r="C1219" s="75">
        <v>33780.89</v>
      </c>
    </row>
    <row r="1220" spans="2:3">
      <c r="B1220" s="108">
        <v>43997</v>
      </c>
      <c r="C1220" s="75">
        <v>33228.800000000003</v>
      </c>
    </row>
    <row r="1221" spans="2:3">
      <c r="B1221" s="108">
        <v>43998</v>
      </c>
      <c r="C1221" s="75">
        <v>33605.22</v>
      </c>
    </row>
    <row r="1222" spans="2:3">
      <c r="B1222" s="108">
        <v>43999</v>
      </c>
      <c r="C1222" s="75">
        <v>33507.919999999998</v>
      </c>
    </row>
    <row r="1223" spans="2:3">
      <c r="B1223" s="108">
        <v>44000</v>
      </c>
      <c r="C1223" s="75">
        <v>34208.050000000003</v>
      </c>
    </row>
    <row r="1224" spans="2:3">
      <c r="B1224" s="108">
        <v>44001</v>
      </c>
      <c r="C1224" s="75">
        <v>34731.730000000003</v>
      </c>
    </row>
    <row r="1225" spans="2:3">
      <c r="B1225" s="108">
        <v>44004</v>
      </c>
      <c r="C1225" s="75">
        <v>34911.32</v>
      </c>
    </row>
    <row r="1226" spans="2:3">
      <c r="B1226" s="108">
        <v>44005</v>
      </c>
      <c r="C1226" s="75">
        <v>35430.43</v>
      </c>
    </row>
    <row r="1227" spans="2:3">
      <c r="B1227" s="108">
        <v>44006</v>
      </c>
      <c r="C1227" s="75">
        <v>34868.980000000003</v>
      </c>
    </row>
    <row r="1228" spans="2:3">
      <c r="B1228" s="108">
        <v>44007</v>
      </c>
      <c r="C1228" s="75">
        <v>34842.1</v>
      </c>
    </row>
    <row r="1229" spans="2:3">
      <c r="B1229" s="108">
        <v>44008</v>
      </c>
      <c r="C1229" s="75">
        <v>35171.269999999997</v>
      </c>
    </row>
    <row r="1230" spans="2:3">
      <c r="B1230" s="108">
        <v>44011</v>
      </c>
      <c r="C1230" s="75">
        <v>34961.519999999997</v>
      </c>
    </row>
    <row r="1231" spans="2:3">
      <c r="B1231" s="108">
        <v>44012</v>
      </c>
      <c r="C1231" s="75">
        <v>34915.800000000003</v>
      </c>
    </row>
    <row r="1232" spans="2:3">
      <c r="B1232" s="108">
        <v>44013</v>
      </c>
      <c r="C1232" s="75">
        <v>35414.449999999997</v>
      </c>
    </row>
    <row r="1233" spans="2:3">
      <c r="B1233" s="108">
        <v>44014</v>
      </c>
      <c r="C1233" s="75">
        <v>35843.699999999997</v>
      </c>
    </row>
    <row r="1234" spans="2:3">
      <c r="B1234" s="108">
        <v>44015</v>
      </c>
      <c r="C1234" s="75">
        <v>36021.42</v>
      </c>
    </row>
    <row r="1235" spans="2:3">
      <c r="B1235" s="108">
        <v>44018</v>
      </c>
      <c r="C1235" s="75">
        <v>36487.279999999999</v>
      </c>
    </row>
    <row r="1236" spans="2:3">
      <c r="B1236" s="108">
        <v>44019</v>
      </c>
      <c r="C1236" s="75">
        <v>36674.519999999997</v>
      </c>
    </row>
    <row r="1237" spans="2:3">
      <c r="B1237" s="108">
        <v>44020</v>
      </c>
      <c r="C1237" s="75">
        <v>36329.01</v>
      </c>
    </row>
    <row r="1238" spans="2:3">
      <c r="B1238" s="108">
        <v>44021</v>
      </c>
      <c r="C1238" s="75">
        <v>36737.69</v>
      </c>
    </row>
    <row r="1239" spans="2:3">
      <c r="B1239" s="108">
        <v>44022</v>
      </c>
      <c r="C1239" s="75">
        <v>36594.33</v>
      </c>
    </row>
    <row r="1240" spans="2:3">
      <c r="B1240" s="108">
        <v>44025</v>
      </c>
      <c r="C1240" s="75">
        <v>36693.69</v>
      </c>
    </row>
    <row r="1241" spans="2:3">
      <c r="B1241" s="108">
        <v>44026</v>
      </c>
      <c r="C1241" s="75">
        <v>36033.06</v>
      </c>
    </row>
    <row r="1242" spans="2:3">
      <c r="B1242" s="108">
        <v>44027</v>
      </c>
      <c r="C1242" s="75">
        <v>36051.81</v>
      </c>
    </row>
    <row r="1243" spans="2:3">
      <c r="B1243" s="108">
        <v>44028</v>
      </c>
      <c r="C1243" s="75">
        <v>36471.68</v>
      </c>
    </row>
    <row r="1244" spans="2:3">
      <c r="B1244" s="108">
        <v>44029</v>
      </c>
      <c r="C1244" s="75">
        <v>37020.14</v>
      </c>
    </row>
    <row r="1245" spans="2:3">
      <c r="B1245" s="108">
        <v>44032</v>
      </c>
      <c r="C1245" s="75">
        <v>37418.99</v>
      </c>
    </row>
    <row r="1246" spans="2:3">
      <c r="B1246" s="108">
        <v>44033</v>
      </c>
      <c r="C1246" s="75">
        <v>37930.33</v>
      </c>
    </row>
    <row r="1247" spans="2:3">
      <c r="B1247" s="108">
        <v>44034</v>
      </c>
      <c r="C1247" s="75">
        <v>37871.519999999997</v>
      </c>
    </row>
    <row r="1248" spans="2:3">
      <c r="B1248" s="108">
        <v>44035</v>
      </c>
      <c r="C1248" s="75">
        <v>38140.47</v>
      </c>
    </row>
    <row r="1249" spans="2:3">
      <c r="B1249" s="108">
        <v>44036</v>
      </c>
      <c r="C1249" s="75">
        <v>38128.9</v>
      </c>
    </row>
    <row r="1250" spans="2:3">
      <c r="B1250" s="108">
        <v>44039</v>
      </c>
      <c r="C1250" s="75">
        <v>37934.730000000003</v>
      </c>
    </row>
    <row r="1251" spans="2:3">
      <c r="B1251" s="108">
        <v>44040</v>
      </c>
      <c r="C1251" s="75">
        <v>38492.949999999997</v>
      </c>
    </row>
    <row r="1252" spans="2:3">
      <c r="B1252" s="108">
        <v>44041</v>
      </c>
      <c r="C1252" s="75">
        <v>38071.129999999997</v>
      </c>
    </row>
    <row r="1253" spans="2:3">
      <c r="B1253" s="108">
        <v>44042</v>
      </c>
      <c r="C1253" s="75">
        <v>37736.07</v>
      </c>
    </row>
    <row r="1254" spans="2:3">
      <c r="B1254" s="108">
        <v>44043</v>
      </c>
      <c r="C1254" s="75">
        <v>37606.89</v>
      </c>
    </row>
    <row r="1255" spans="2:3">
      <c r="B1255" s="108">
        <v>44046</v>
      </c>
      <c r="C1255" s="75">
        <v>36939.599999999999</v>
      </c>
    </row>
    <row r="1256" spans="2:3">
      <c r="B1256" s="108">
        <v>44047</v>
      </c>
      <c r="C1256" s="75">
        <v>37687.910000000003</v>
      </c>
    </row>
    <row r="1257" spans="2:3">
      <c r="B1257" s="108">
        <v>44048</v>
      </c>
      <c r="C1257" s="75">
        <v>37663.33</v>
      </c>
    </row>
    <row r="1258" spans="2:3">
      <c r="B1258" s="108">
        <v>44049</v>
      </c>
      <c r="C1258" s="75">
        <v>38025.449999999997</v>
      </c>
    </row>
    <row r="1259" spans="2:3">
      <c r="B1259" s="108">
        <v>44050</v>
      </c>
      <c r="C1259" s="75">
        <v>38040.57</v>
      </c>
    </row>
    <row r="1260" spans="2:3">
      <c r="B1260" s="108">
        <v>44053</v>
      </c>
      <c r="C1260" s="75">
        <v>38182.080000000002</v>
      </c>
    </row>
    <row r="1261" spans="2:3">
      <c r="B1261" s="108">
        <v>44054</v>
      </c>
      <c r="C1261" s="75">
        <v>38407.01</v>
      </c>
    </row>
    <row r="1262" spans="2:3">
      <c r="B1262" s="108">
        <v>44055</v>
      </c>
      <c r="C1262" s="75">
        <v>38369.629999999997</v>
      </c>
    </row>
    <row r="1263" spans="2:3">
      <c r="B1263" s="108">
        <v>44056</v>
      </c>
      <c r="C1263" s="75">
        <v>38310.49</v>
      </c>
    </row>
    <row r="1264" spans="2:3">
      <c r="B1264" s="108">
        <v>44057</v>
      </c>
      <c r="C1264" s="75">
        <v>37877.339999999997</v>
      </c>
    </row>
    <row r="1265" spans="2:3">
      <c r="B1265" s="108">
        <v>44060</v>
      </c>
      <c r="C1265" s="75">
        <v>38050.78</v>
      </c>
    </row>
    <row r="1266" spans="2:3">
      <c r="B1266" s="108">
        <v>44061</v>
      </c>
      <c r="C1266" s="75">
        <v>38528.32</v>
      </c>
    </row>
    <row r="1267" spans="2:3">
      <c r="B1267" s="108">
        <v>44062</v>
      </c>
      <c r="C1267" s="75">
        <v>38614.79</v>
      </c>
    </row>
    <row r="1268" spans="2:3">
      <c r="B1268" s="108">
        <v>44063</v>
      </c>
      <c r="C1268" s="75">
        <v>38220.39</v>
      </c>
    </row>
    <row r="1269" spans="2:3">
      <c r="B1269" s="108">
        <v>44064</v>
      </c>
      <c r="C1269" s="75">
        <v>38434.720000000001</v>
      </c>
    </row>
    <row r="1270" spans="2:3">
      <c r="B1270" s="108">
        <v>44067</v>
      </c>
      <c r="C1270" s="75">
        <v>38799.08</v>
      </c>
    </row>
    <row r="1271" spans="2:3">
      <c r="B1271" s="108">
        <v>44068</v>
      </c>
      <c r="C1271" s="75">
        <v>38843.879999999997</v>
      </c>
    </row>
    <row r="1272" spans="2:3">
      <c r="B1272" s="108">
        <v>44069</v>
      </c>
      <c r="C1272" s="75">
        <v>39073.919999999998</v>
      </c>
    </row>
    <row r="1273" spans="2:3">
      <c r="B1273" s="108">
        <v>44070</v>
      </c>
      <c r="C1273" s="75">
        <v>39113.47</v>
      </c>
    </row>
    <row r="1274" spans="2:3">
      <c r="B1274" s="108">
        <v>44071</v>
      </c>
      <c r="C1274" s="75">
        <v>39467.31</v>
      </c>
    </row>
    <row r="1275" spans="2:3">
      <c r="B1275" s="108">
        <v>44074</v>
      </c>
      <c r="C1275" s="75">
        <v>38628.29</v>
      </c>
    </row>
    <row r="1276" spans="2:3">
      <c r="B1276" s="108">
        <v>44075</v>
      </c>
      <c r="C1276" s="75">
        <v>38900.800000000003</v>
      </c>
    </row>
    <row r="1277" spans="2:3">
      <c r="B1277" s="108">
        <v>44076</v>
      </c>
      <c r="C1277" s="75">
        <v>39086.03</v>
      </c>
    </row>
    <row r="1278" spans="2:3">
      <c r="B1278" s="108">
        <v>44077</v>
      </c>
      <c r="C1278" s="75">
        <v>38990.94</v>
      </c>
    </row>
    <row r="1279" spans="2:3">
      <c r="B1279" s="108">
        <v>44078</v>
      </c>
      <c r="C1279" s="75">
        <v>38357.18</v>
      </c>
    </row>
    <row r="1280" spans="2:3">
      <c r="B1280" s="108">
        <v>44081</v>
      </c>
      <c r="C1280" s="75">
        <v>38417.230000000003</v>
      </c>
    </row>
    <row r="1281" spans="2:3">
      <c r="B1281" s="108">
        <v>44082</v>
      </c>
      <c r="C1281" s="75">
        <v>38365.35</v>
      </c>
    </row>
    <row r="1282" spans="2:3">
      <c r="B1282" s="108">
        <v>44083</v>
      </c>
      <c r="C1282" s="75">
        <v>38193.919999999998</v>
      </c>
    </row>
    <row r="1283" spans="2:3">
      <c r="B1283" s="108">
        <v>44084</v>
      </c>
      <c r="C1283" s="75">
        <v>38840.32</v>
      </c>
    </row>
    <row r="1284" spans="2:3">
      <c r="B1284" s="108">
        <v>44085</v>
      </c>
      <c r="C1284" s="75">
        <v>38854.550000000003</v>
      </c>
    </row>
    <row r="1285" spans="2:3">
      <c r="B1285" s="108">
        <v>44088</v>
      </c>
      <c r="C1285" s="75">
        <v>38756.629999999997</v>
      </c>
    </row>
    <row r="1286" spans="2:3">
      <c r="B1286" s="108">
        <v>44089</v>
      </c>
      <c r="C1286" s="75">
        <v>39044.35</v>
      </c>
    </row>
    <row r="1287" spans="2:3">
      <c r="B1287" s="108">
        <v>44090</v>
      </c>
      <c r="C1287" s="75">
        <v>39302.85</v>
      </c>
    </row>
    <row r="1288" spans="2:3">
      <c r="B1288" s="108">
        <v>44091</v>
      </c>
      <c r="C1288" s="75">
        <v>38979.85</v>
      </c>
    </row>
    <row r="1289" spans="2:3">
      <c r="B1289" s="108">
        <v>44092</v>
      </c>
      <c r="C1289" s="75">
        <v>38845.82</v>
      </c>
    </row>
    <row r="1290" spans="2:3">
      <c r="B1290" s="108">
        <v>44095</v>
      </c>
      <c r="C1290" s="75">
        <v>38034.14</v>
      </c>
    </row>
    <row r="1291" spans="2:3">
      <c r="B1291" s="108">
        <v>44096</v>
      </c>
      <c r="C1291" s="75">
        <v>37734.080000000002</v>
      </c>
    </row>
    <row r="1292" spans="2:3">
      <c r="B1292" s="108">
        <v>44097</v>
      </c>
      <c r="C1292" s="75">
        <v>37668.42</v>
      </c>
    </row>
    <row r="1293" spans="2:3">
      <c r="B1293" s="108">
        <v>44098</v>
      </c>
      <c r="C1293" s="75">
        <v>36553.599999999999</v>
      </c>
    </row>
    <row r="1294" spans="2:3">
      <c r="B1294" s="108">
        <v>44099</v>
      </c>
      <c r="C1294" s="75">
        <v>37388.660000000003</v>
      </c>
    </row>
    <row r="1295" spans="2:3">
      <c r="B1295" s="108">
        <v>44102</v>
      </c>
      <c r="C1295" s="75">
        <v>37981.629999999997</v>
      </c>
    </row>
    <row r="1296" spans="2:3">
      <c r="B1296" s="108">
        <v>44103</v>
      </c>
      <c r="C1296" s="75">
        <v>37973.22</v>
      </c>
    </row>
    <row r="1297" spans="2:3">
      <c r="B1297" s="108">
        <v>44104</v>
      </c>
      <c r="C1297" s="75">
        <v>38067.93</v>
      </c>
    </row>
    <row r="1298" spans="2:3">
      <c r="B1298" s="108">
        <v>44105</v>
      </c>
      <c r="C1298" s="75">
        <v>38697.050000000003</v>
      </c>
    </row>
    <row r="1299" spans="2:3">
      <c r="B1299" s="108">
        <v>44109</v>
      </c>
      <c r="C1299" s="75">
        <v>38973.699999999997</v>
      </c>
    </row>
    <row r="1300" spans="2:3">
      <c r="B1300" s="108">
        <v>44110</v>
      </c>
      <c r="C1300" s="75">
        <v>39574.57</v>
      </c>
    </row>
    <row r="1301" spans="2:3">
      <c r="B1301" s="108">
        <v>44111</v>
      </c>
      <c r="C1301" s="75">
        <v>39878.949999999997</v>
      </c>
    </row>
    <row r="1302" spans="2:3">
      <c r="B1302" s="108">
        <v>44112</v>
      </c>
      <c r="C1302" s="75">
        <v>40182.67</v>
      </c>
    </row>
    <row r="1303" spans="2:3">
      <c r="B1303" s="108">
        <v>44113</v>
      </c>
      <c r="C1303" s="75">
        <v>40509.49</v>
      </c>
    </row>
    <row r="1304" spans="2:3">
      <c r="B1304" s="108">
        <v>44116</v>
      </c>
      <c r="C1304" s="75">
        <v>40593.800000000003</v>
      </c>
    </row>
    <row r="1305" spans="2:3">
      <c r="B1305" s="108">
        <v>44117</v>
      </c>
      <c r="C1305" s="75">
        <v>40625.51</v>
      </c>
    </row>
    <row r="1306" spans="2:3">
      <c r="B1306" s="108">
        <v>44118</v>
      </c>
      <c r="C1306" s="75">
        <v>40794.74</v>
      </c>
    </row>
    <row r="1307" spans="2:3">
      <c r="B1307" s="108">
        <v>44119</v>
      </c>
      <c r="C1307" s="75">
        <v>39728.410000000003</v>
      </c>
    </row>
    <row r="1308" spans="2:3">
      <c r="B1308" s="108">
        <v>44120</v>
      </c>
      <c r="C1308" s="75">
        <v>39982.980000000003</v>
      </c>
    </row>
    <row r="1309" spans="2:3">
      <c r="B1309" s="108">
        <v>44123</v>
      </c>
      <c r="C1309" s="75">
        <v>40431.599999999999</v>
      </c>
    </row>
    <row r="1310" spans="2:3">
      <c r="B1310" s="108">
        <v>44124</v>
      </c>
      <c r="C1310" s="75">
        <v>40544.370000000003</v>
      </c>
    </row>
    <row r="1311" spans="2:3">
      <c r="B1311" s="108">
        <v>44125</v>
      </c>
      <c r="C1311" s="75">
        <v>40707.31</v>
      </c>
    </row>
    <row r="1312" spans="2:3">
      <c r="B1312" s="108">
        <v>44126</v>
      </c>
      <c r="C1312" s="75">
        <v>40558.49</v>
      </c>
    </row>
    <row r="1313" spans="2:3">
      <c r="B1313" s="108">
        <v>44127</v>
      </c>
      <c r="C1313" s="75">
        <v>40685.5</v>
      </c>
    </row>
    <row r="1314" spans="2:3">
      <c r="B1314" s="108">
        <v>44130</v>
      </c>
      <c r="C1314" s="75">
        <v>40145.5</v>
      </c>
    </row>
    <row r="1315" spans="2:3">
      <c r="B1315" s="108">
        <v>44131</v>
      </c>
      <c r="C1315" s="75">
        <v>40522.1</v>
      </c>
    </row>
    <row r="1316" spans="2:3">
      <c r="B1316" s="108">
        <v>44132</v>
      </c>
      <c r="C1316" s="75">
        <v>39922.46</v>
      </c>
    </row>
    <row r="1317" spans="2:3">
      <c r="B1317" s="108">
        <v>44133</v>
      </c>
      <c r="C1317" s="75">
        <v>39749.85</v>
      </c>
    </row>
    <row r="1318" spans="2:3">
      <c r="B1318" s="108">
        <v>44134</v>
      </c>
      <c r="C1318" s="75">
        <v>39614.07</v>
      </c>
    </row>
    <row r="1319" spans="2:3">
      <c r="B1319" s="108">
        <v>44137</v>
      </c>
      <c r="C1319" s="75">
        <v>39757.58</v>
      </c>
    </row>
    <row r="1320" spans="2:3">
      <c r="B1320" s="108">
        <v>44138</v>
      </c>
      <c r="C1320" s="75">
        <v>40261.129999999997</v>
      </c>
    </row>
    <row r="1321" spans="2:3">
      <c r="B1321" s="108">
        <v>44139</v>
      </c>
      <c r="C1321" s="75">
        <v>40616.14</v>
      </c>
    </row>
    <row r="1322" spans="2:3">
      <c r="B1322" s="108">
        <v>44140</v>
      </c>
      <c r="C1322" s="75">
        <v>41340.160000000003</v>
      </c>
    </row>
    <row r="1323" spans="2:3">
      <c r="B1323" s="108">
        <v>44141</v>
      </c>
      <c r="C1323" s="75">
        <v>41893.06</v>
      </c>
    </row>
    <row r="1324" spans="2:3">
      <c r="B1324" s="108">
        <v>44144</v>
      </c>
      <c r="C1324" s="75">
        <v>42597.43</v>
      </c>
    </row>
    <row r="1325" spans="2:3">
      <c r="B1325" s="108">
        <v>44145</v>
      </c>
      <c r="C1325" s="75">
        <v>43277.65</v>
      </c>
    </row>
    <row r="1326" spans="2:3">
      <c r="B1326" s="108">
        <v>44146</v>
      </c>
      <c r="C1326" s="75">
        <v>43593.67</v>
      </c>
    </row>
    <row r="1327" spans="2:3">
      <c r="B1327" s="108">
        <v>44147</v>
      </c>
      <c r="C1327" s="75">
        <v>43357.19</v>
      </c>
    </row>
    <row r="1328" spans="2:3">
      <c r="B1328" s="108">
        <v>44148</v>
      </c>
      <c r="C1328" s="75">
        <v>43443</v>
      </c>
    </row>
    <row r="1329" spans="2:3">
      <c r="B1329" s="108">
        <v>44149</v>
      </c>
      <c r="C1329" s="75">
        <v>43637.98</v>
      </c>
    </row>
    <row r="1330" spans="2:3">
      <c r="B1330" s="108">
        <v>44152</v>
      </c>
      <c r="C1330" s="75">
        <v>43952.71</v>
      </c>
    </row>
    <row r="1331" spans="2:3">
      <c r="B1331" s="108">
        <v>44153</v>
      </c>
      <c r="C1331" s="75">
        <v>44180.05</v>
      </c>
    </row>
    <row r="1332" spans="2:3">
      <c r="B1332" s="108">
        <v>44154</v>
      </c>
      <c r="C1332" s="75">
        <v>43599.96</v>
      </c>
    </row>
    <row r="1333" spans="2:3">
      <c r="B1333" s="108">
        <v>44155</v>
      </c>
      <c r="C1333" s="75">
        <v>43882.25</v>
      </c>
    </row>
    <row r="1334" spans="2:3">
      <c r="B1334" s="108">
        <v>44158</v>
      </c>
      <c r="C1334" s="75">
        <v>44077.15</v>
      </c>
    </row>
    <row r="1335" spans="2:3">
      <c r="B1335" s="108">
        <v>44159</v>
      </c>
      <c r="C1335" s="75">
        <v>44523.02</v>
      </c>
    </row>
    <row r="1336" spans="2:3">
      <c r="B1336" s="108">
        <v>44160</v>
      </c>
      <c r="C1336" s="75">
        <v>43828.1</v>
      </c>
    </row>
    <row r="1337" spans="2:3">
      <c r="B1337" s="108">
        <v>44161</v>
      </c>
      <c r="C1337" s="75">
        <v>44259.74</v>
      </c>
    </row>
    <row r="1338" spans="2:3">
      <c r="B1338" s="108">
        <v>44162</v>
      </c>
      <c r="C1338" s="75">
        <v>44149.72</v>
      </c>
    </row>
    <row r="1339" spans="2:3">
      <c r="B1339" s="108">
        <v>44166</v>
      </c>
      <c r="C1339" s="75">
        <v>44655.44</v>
      </c>
    </row>
    <row r="1340" spans="2:3">
      <c r="B1340" s="108">
        <v>44167</v>
      </c>
      <c r="C1340" s="75">
        <v>44618.04</v>
      </c>
    </row>
    <row r="1341" spans="2:3">
      <c r="B1341" s="108">
        <v>44168</v>
      </c>
      <c r="C1341" s="75">
        <v>44632.65</v>
      </c>
    </row>
    <row r="1342" spans="2:3">
      <c r="B1342" s="108">
        <v>44169</v>
      </c>
      <c r="C1342" s="75">
        <v>45079.55</v>
      </c>
    </row>
    <row r="1343" spans="2:3">
      <c r="B1343" s="108">
        <v>44172</v>
      </c>
      <c r="C1343" s="75">
        <v>45426.97</v>
      </c>
    </row>
    <row r="1344" spans="2:3">
      <c r="B1344" s="108">
        <v>44173</v>
      </c>
      <c r="C1344" s="75">
        <v>45608.51</v>
      </c>
    </row>
    <row r="1345" spans="2:3">
      <c r="B1345" s="108">
        <v>44174</v>
      </c>
      <c r="C1345" s="75">
        <v>46103.5</v>
      </c>
    </row>
    <row r="1346" spans="2:3">
      <c r="B1346" s="108">
        <v>44175</v>
      </c>
      <c r="C1346" s="75">
        <v>45959.88</v>
      </c>
    </row>
    <row r="1347" spans="2:3">
      <c r="B1347" s="108">
        <v>44176</v>
      </c>
      <c r="C1347" s="75">
        <v>46099.01</v>
      </c>
    </row>
    <row r="1348" spans="2:3">
      <c r="B1348" s="108">
        <v>44179</v>
      </c>
      <c r="C1348" s="75">
        <v>46253.46</v>
      </c>
    </row>
    <row r="1349" spans="2:3">
      <c r="B1349" s="108">
        <v>44180</v>
      </c>
      <c r="C1349" s="75">
        <v>46263.17</v>
      </c>
    </row>
    <row r="1350" spans="2:3">
      <c r="B1350" s="108">
        <v>44181</v>
      </c>
      <c r="C1350" s="75">
        <v>46666.46</v>
      </c>
    </row>
    <row r="1351" spans="2:3">
      <c r="B1351" s="108">
        <v>44182</v>
      </c>
      <c r="C1351" s="75">
        <v>46890.34</v>
      </c>
    </row>
    <row r="1352" spans="2:3">
      <c r="B1352" s="108">
        <v>44183</v>
      </c>
      <c r="C1352" s="75">
        <v>46960.69</v>
      </c>
    </row>
    <row r="1353" spans="2:3">
      <c r="B1353" s="108">
        <v>44186</v>
      </c>
      <c r="C1353" s="75">
        <v>45553.96</v>
      </c>
    </row>
    <row r="1354" spans="2:3">
      <c r="B1354" s="108">
        <v>44187</v>
      </c>
      <c r="C1354" s="75">
        <v>46006.69</v>
      </c>
    </row>
    <row r="1355" spans="2:3">
      <c r="B1355" s="108">
        <v>44188</v>
      </c>
      <c r="C1355" s="75">
        <v>46444.18</v>
      </c>
    </row>
    <row r="1356" spans="2:3">
      <c r="B1356" s="108">
        <v>44189</v>
      </c>
      <c r="C1356" s="75">
        <v>46973.54</v>
      </c>
    </row>
    <row r="1357" spans="2:3">
      <c r="B1357" s="108">
        <v>44193</v>
      </c>
      <c r="C1357" s="75">
        <v>47353.75</v>
      </c>
    </row>
    <row r="1358" spans="2:3">
      <c r="B1358" s="108">
        <v>44194</v>
      </c>
      <c r="C1358" s="75">
        <v>47613.08</v>
      </c>
    </row>
    <row r="1359" spans="2:3">
      <c r="B1359" s="108">
        <v>44195</v>
      </c>
      <c r="C1359" s="75">
        <v>47746.22</v>
      </c>
    </row>
    <row r="1360" spans="2:3">
      <c r="B1360" s="108">
        <v>44196</v>
      </c>
      <c r="C1360" s="75">
        <v>47751.33</v>
      </c>
    </row>
    <row r="1361" spans="2:3">
      <c r="B1361" s="108">
        <v>44197</v>
      </c>
      <c r="C1361" s="75">
        <v>47868.98</v>
      </c>
    </row>
    <row r="1362" spans="2:3">
      <c r="B1362" s="108">
        <v>44200</v>
      </c>
      <c r="C1362" s="75">
        <v>48176.800000000003</v>
      </c>
    </row>
    <row r="1363" spans="2:3">
      <c r="B1363" s="108">
        <v>44201</v>
      </c>
      <c r="C1363" s="75">
        <v>48437.78</v>
      </c>
    </row>
    <row r="1364" spans="2:3">
      <c r="B1364" s="108">
        <v>44202</v>
      </c>
      <c r="C1364" s="75">
        <v>48174.06</v>
      </c>
    </row>
    <row r="1365" spans="2:3">
      <c r="B1365" s="108">
        <v>44203</v>
      </c>
      <c r="C1365" s="75">
        <v>48093.32</v>
      </c>
    </row>
    <row r="1366" spans="2:3">
      <c r="B1366" s="108">
        <v>44204</v>
      </c>
      <c r="C1366" s="75">
        <v>48782.51</v>
      </c>
    </row>
    <row r="1367" spans="2:3">
      <c r="B1367" s="108">
        <v>44207</v>
      </c>
      <c r="C1367" s="75">
        <v>49269.32</v>
      </c>
    </row>
    <row r="1368" spans="2:3">
      <c r="B1368" s="108">
        <v>44208</v>
      </c>
      <c r="C1368" s="75">
        <v>49517.11</v>
      </c>
    </row>
    <row r="1369" spans="2:3">
      <c r="B1369" s="108">
        <v>44209</v>
      </c>
      <c r="C1369" s="75">
        <v>49492.32</v>
      </c>
    </row>
    <row r="1370" spans="2:3">
      <c r="B1370" s="108">
        <v>44210</v>
      </c>
      <c r="C1370" s="75">
        <v>49584.160000000003</v>
      </c>
    </row>
    <row r="1371" spans="2:3">
      <c r="B1371" s="108">
        <v>44211</v>
      </c>
      <c r="C1371" s="75">
        <v>49034.67</v>
      </c>
    </row>
    <row r="1372" spans="2:3">
      <c r="B1372" s="108">
        <v>44214</v>
      </c>
      <c r="C1372" s="75">
        <v>48564.27</v>
      </c>
    </row>
    <row r="1373" spans="2:3">
      <c r="B1373" s="108">
        <v>44215</v>
      </c>
      <c r="C1373" s="75">
        <v>49398.29</v>
      </c>
    </row>
    <row r="1374" spans="2:3">
      <c r="B1374" s="108">
        <v>44216</v>
      </c>
      <c r="C1374" s="75">
        <v>49792.12</v>
      </c>
    </row>
    <row r="1375" spans="2:3">
      <c r="B1375" s="108">
        <v>44217</v>
      </c>
      <c r="C1375" s="75">
        <v>49624.76</v>
      </c>
    </row>
    <row r="1376" spans="2:3">
      <c r="B1376" s="108">
        <v>44218</v>
      </c>
      <c r="C1376" s="75">
        <v>48878.54</v>
      </c>
    </row>
    <row r="1377" spans="2:3">
      <c r="B1377" s="108">
        <v>44221</v>
      </c>
      <c r="C1377" s="75">
        <v>48347.59</v>
      </c>
    </row>
    <row r="1378" spans="2:3">
      <c r="B1378" s="108">
        <v>44223</v>
      </c>
      <c r="C1378" s="75">
        <v>47409.93</v>
      </c>
    </row>
    <row r="1379" spans="2:3">
      <c r="B1379" s="108">
        <v>44224</v>
      </c>
      <c r="C1379" s="75">
        <v>46874.36</v>
      </c>
    </row>
    <row r="1380" spans="2:3">
      <c r="B1380" s="108">
        <v>44225</v>
      </c>
      <c r="C1380" s="75">
        <v>46285.77</v>
      </c>
    </row>
    <row r="1381" spans="2:3">
      <c r="B1381" s="108">
        <v>44228</v>
      </c>
      <c r="C1381" s="75">
        <v>48600.61</v>
      </c>
    </row>
    <row r="1382" spans="2:3">
      <c r="B1382" s="108">
        <v>44229</v>
      </c>
      <c r="C1382" s="75">
        <v>49797.72</v>
      </c>
    </row>
    <row r="1383" spans="2:3">
      <c r="B1383" s="108">
        <v>44230</v>
      </c>
      <c r="C1383" s="75">
        <v>50255.75</v>
      </c>
    </row>
    <row r="1384" spans="2:3">
      <c r="B1384" s="108">
        <v>44231</v>
      </c>
      <c r="C1384" s="75">
        <v>50614.29</v>
      </c>
    </row>
    <row r="1385" spans="2:3">
      <c r="B1385" s="108">
        <v>44232</v>
      </c>
      <c r="C1385" s="75">
        <v>50731.63</v>
      </c>
    </row>
    <row r="1386" spans="2:3">
      <c r="B1386" s="108">
        <v>44235</v>
      </c>
      <c r="C1386" s="75">
        <v>51348.77</v>
      </c>
    </row>
    <row r="1387" spans="2:3">
      <c r="B1387" s="108">
        <v>44236</v>
      </c>
      <c r="C1387" s="75">
        <v>51329.08</v>
      </c>
    </row>
    <row r="1388" spans="2:3">
      <c r="B1388" s="108">
        <v>44237</v>
      </c>
      <c r="C1388" s="75">
        <v>51309.39</v>
      </c>
    </row>
    <row r="1389" spans="2:3">
      <c r="B1389" s="108">
        <v>44238</v>
      </c>
      <c r="C1389" s="75">
        <v>51531.519999999997</v>
      </c>
    </row>
    <row r="1390" spans="2:3">
      <c r="B1390" s="108">
        <v>44239</v>
      </c>
      <c r="C1390" s="75">
        <v>51544.3</v>
      </c>
    </row>
    <row r="1391" spans="2:3">
      <c r="B1391" s="108">
        <v>44242</v>
      </c>
      <c r="C1391" s="75">
        <v>52154.13</v>
      </c>
    </row>
    <row r="1392" spans="2:3">
      <c r="B1392" s="108">
        <v>44243</v>
      </c>
      <c r="C1392" s="75">
        <v>52104.17</v>
      </c>
    </row>
    <row r="1393" spans="2:3">
      <c r="B1393" s="108">
        <v>44244</v>
      </c>
      <c r="C1393" s="75">
        <v>51703.83</v>
      </c>
    </row>
    <row r="1394" spans="2:3">
      <c r="B1394" s="108">
        <v>44245</v>
      </c>
      <c r="C1394" s="75">
        <v>51324.69</v>
      </c>
    </row>
    <row r="1395" spans="2:3">
      <c r="B1395" s="108">
        <v>44246</v>
      </c>
      <c r="C1395" s="75">
        <v>50889.760000000002</v>
      </c>
    </row>
    <row r="1396" spans="2:3">
      <c r="B1396" s="108">
        <v>44249</v>
      </c>
      <c r="C1396" s="75">
        <v>49744.32</v>
      </c>
    </row>
    <row r="1397" spans="2:3">
      <c r="B1397" s="108">
        <v>44250</v>
      </c>
      <c r="C1397" s="75">
        <v>49751.41</v>
      </c>
    </row>
    <row r="1398" spans="2:3">
      <c r="B1398" s="108">
        <v>44251</v>
      </c>
      <c r="C1398" s="75">
        <v>50781.69</v>
      </c>
    </row>
    <row r="1399" spans="2:3">
      <c r="B1399" s="108">
        <v>44252</v>
      </c>
      <c r="C1399" s="75">
        <v>51039.31</v>
      </c>
    </row>
    <row r="1400" spans="2:3">
      <c r="B1400" s="108">
        <v>44253</v>
      </c>
      <c r="C1400" s="75">
        <v>49099.99</v>
      </c>
    </row>
    <row r="1401" spans="2:3">
      <c r="B1401" s="108">
        <v>44256</v>
      </c>
      <c r="C1401" s="75">
        <v>49849.84</v>
      </c>
    </row>
    <row r="1402" spans="2:3">
      <c r="B1402" s="108">
        <v>44257</v>
      </c>
      <c r="C1402" s="75">
        <v>50296.89</v>
      </c>
    </row>
    <row r="1403" spans="2:3">
      <c r="B1403" s="108">
        <v>44258</v>
      </c>
      <c r="C1403" s="75">
        <v>51444.65</v>
      </c>
    </row>
    <row r="1404" spans="2:3">
      <c r="B1404" s="108">
        <v>44259</v>
      </c>
      <c r="C1404" s="75">
        <v>50846.080000000002</v>
      </c>
    </row>
    <row r="1405" spans="2:3">
      <c r="B1405" s="108">
        <v>44260</v>
      </c>
      <c r="C1405" s="75">
        <v>50405.32</v>
      </c>
    </row>
    <row r="1406" spans="2:3">
      <c r="B1406" s="108">
        <v>44263</v>
      </c>
      <c r="C1406" s="75">
        <v>50441.07</v>
      </c>
    </row>
    <row r="1407" spans="2:3">
      <c r="B1407" s="108">
        <v>44264</v>
      </c>
      <c r="C1407" s="75">
        <v>51025.48</v>
      </c>
    </row>
    <row r="1408" spans="2:3">
      <c r="B1408" s="108">
        <v>44265</v>
      </c>
      <c r="C1408" s="75">
        <v>51279.51</v>
      </c>
    </row>
    <row r="1409" spans="2:3">
      <c r="B1409" s="108">
        <v>44267</v>
      </c>
      <c r="C1409" s="75">
        <v>50792.08</v>
      </c>
    </row>
    <row r="1410" spans="2:3">
      <c r="B1410" s="108">
        <v>44270</v>
      </c>
      <c r="C1410" s="75">
        <v>50395.08</v>
      </c>
    </row>
    <row r="1411" spans="2:3">
      <c r="B1411" s="108">
        <v>44271</v>
      </c>
      <c r="C1411" s="75">
        <v>50363.96</v>
      </c>
    </row>
    <row r="1412" spans="2:3">
      <c r="B1412" s="108">
        <v>44272</v>
      </c>
      <c r="C1412" s="75">
        <v>49801.62</v>
      </c>
    </row>
    <row r="1413" spans="2:3">
      <c r="B1413" s="108">
        <v>44273</v>
      </c>
      <c r="C1413" s="75">
        <v>49216.52</v>
      </c>
    </row>
    <row r="1414" spans="2:3">
      <c r="B1414" s="108">
        <v>44274</v>
      </c>
      <c r="C1414" s="75">
        <v>49858.239999999998</v>
      </c>
    </row>
    <row r="1415" spans="2:3">
      <c r="B1415" s="108">
        <v>44277</v>
      </c>
      <c r="C1415" s="75">
        <v>49771.29</v>
      </c>
    </row>
    <row r="1416" spans="2:3">
      <c r="B1416" s="108">
        <v>44278</v>
      </c>
      <c r="C1416" s="75">
        <v>50051.44</v>
      </c>
    </row>
    <row r="1417" spans="2:3">
      <c r="B1417" s="108">
        <v>44279</v>
      </c>
      <c r="C1417" s="75">
        <v>49180.31</v>
      </c>
    </row>
    <row r="1418" spans="2:3">
      <c r="B1418" s="108">
        <v>44280</v>
      </c>
      <c r="C1418" s="75">
        <v>48440.12</v>
      </c>
    </row>
    <row r="1419" spans="2:3">
      <c r="B1419" s="108">
        <v>44281</v>
      </c>
      <c r="C1419" s="75">
        <v>49008.5</v>
      </c>
    </row>
    <row r="1420" spans="2:3">
      <c r="B1420" s="108">
        <v>44285</v>
      </c>
      <c r="C1420" s="75">
        <v>50136.58</v>
      </c>
    </row>
    <row r="1421" spans="2:3">
      <c r="B1421" s="108">
        <v>44286</v>
      </c>
      <c r="C1421" s="75">
        <v>49509.15</v>
      </c>
    </row>
    <row r="1422" spans="2:3">
      <c r="B1422" s="108">
        <v>44287</v>
      </c>
      <c r="C1422" s="75">
        <v>50029.83</v>
      </c>
    </row>
    <row r="1423" spans="2:3">
      <c r="B1423" s="108">
        <v>44291</v>
      </c>
      <c r="C1423" s="75">
        <v>49159.32</v>
      </c>
    </row>
    <row r="1424" spans="2:3">
      <c r="B1424" s="108">
        <v>44292</v>
      </c>
      <c r="C1424" s="75">
        <v>49201.39</v>
      </c>
    </row>
    <row r="1425" spans="2:3">
      <c r="B1425" s="108">
        <v>44293</v>
      </c>
      <c r="C1425" s="75">
        <v>49661.760000000002</v>
      </c>
    </row>
    <row r="1426" spans="2:3">
      <c r="B1426" s="108">
        <v>44294</v>
      </c>
      <c r="C1426" s="75">
        <v>49746.21</v>
      </c>
    </row>
    <row r="1427" spans="2:3">
      <c r="B1427" s="108">
        <v>44295</v>
      </c>
      <c r="C1427" s="75">
        <v>49591.32</v>
      </c>
    </row>
    <row r="1428" spans="2:3">
      <c r="B1428" s="108">
        <v>44298</v>
      </c>
      <c r="C1428" s="75">
        <v>47883.38</v>
      </c>
    </row>
    <row r="1429" spans="2:3">
      <c r="B1429" s="108">
        <v>44299</v>
      </c>
      <c r="C1429" s="75">
        <v>48544.06</v>
      </c>
    </row>
    <row r="1430" spans="2:3">
      <c r="B1430" s="108">
        <v>44301</v>
      </c>
      <c r="C1430" s="75">
        <v>48803.68</v>
      </c>
    </row>
    <row r="1431" spans="2:3">
      <c r="B1431" s="108">
        <v>44302</v>
      </c>
      <c r="C1431" s="75">
        <v>48832.03</v>
      </c>
    </row>
    <row r="1432" spans="2:3">
      <c r="B1432" s="108">
        <v>44305</v>
      </c>
      <c r="C1432" s="75">
        <v>47949.42</v>
      </c>
    </row>
    <row r="1433" spans="2:3">
      <c r="B1433" s="108">
        <v>44306</v>
      </c>
      <c r="C1433" s="75">
        <v>47705.8</v>
      </c>
    </row>
    <row r="1434" spans="2:3">
      <c r="B1434" s="108">
        <v>44308</v>
      </c>
      <c r="C1434" s="75">
        <v>48080.67</v>
      </c>
    </row>
    <row r="1435" spans="2:3">
      <c r="B1435" s="108">
        <v>44309</v>
      </c>
      <c r="C1435" s="75">
        <v>47878.45</v>
      </c>
    </row>
    <row r="1436" spans="2:3">
      <c r="B1436" s="108">
        <v>44312</v>
      </c>
      <c r="C1436" s="75">
        <v>48386.51</v>
      </c>
    </row>
    <row r="1437" spans="2:3">
      <c r="B1437" s="108">
        <v>44313</v>
      </c>
      <c r="C1437" s="75">
        <v>48944.14</v>
      </c>
    </row>
    <row r="1438" spans="2:3">
      <c r="B1438" s="108">
        <v>44314</v>
      </c>
      <c r="C1438" s="75">
        <v>49733.84</v>
      </c>
    </row>
    <row r="1439" spans="2:3">
      <c r="B1439" s="108">
        <v>44315</v>
      </c>
      <c r="C1439" s="75">
        <v>49765.94</v>
      </c>
    </row>
    <row r="1440" spans="2:3">
      <c r="B1440" s="108">
        <v>44316</v>
      </c>
      <c r="C1440" s="75">
        <v>48782.36</v>
      </c>
    </row>
    <row r="1441" spans="2:3">
      <c r="B1441" s="108">
        <v>44319</v>
      </c>
      <c r="C1441" s="75">
        <v>48718.52</v>
      </c>
    </row>
    <row r="1442" spans="2:3">
      <c r="B1442" s="108">
        <v>44320</v>
      </c>
      <c r="C1442" s="75">
        <v>48253.51</v>
      </c>
    </row>
    <row r="1443" spans="2:3">
      <c r="B1443" s="108">
        <v>44321</v>
      </c>
      <c r="C1443" s="75">
        <v>48677.55</v>
      </c>
    </row>
    <row r="1444" spans="2:3">
      <c r="B1444" s="108">
        <v>44322</v>
      </c>
      <c r="C1444" s="75">
        <v>48949.760000000002</v>
      </c>
    </row>
    <row r="1445" spans="2:3">
      <c r="B1445" s="108">
        <v>44323</v>
      </c>
      <c r="C1445" s="75">
        <v>49206.47</v>
      </c>
    </row>
    <row r="1446" spans="2:3">
      <c r="B1446" s="108">
        <v>44326</v>
      </c>
      <c r="C1446" s="75">
        <v>49502.41</v>
      </c>
    </row>
    <row r="1447" spans="2:3">
      <c r="B1447" s="108">
        <v>44327</v>
      </c>
      <c r="C1447" s="75">
        <v>49161.81</v>
      </c>
    </row>
    <row r="1448" spans="2:3">
      <c r="B1448" s="108">
        <v>44328</v>
      </c>
      <c r="C1448" s="75">
        <v>48690.8</v>
      </c>
    </row>
    <row r="1449" spans="2:3">
      <c r="B1449" s="108">
        <v>44330</v>
      </c>
      <c r="C1449" s="75">
        <v>48732.55</v>
      </c>
    </row>
    <row r="1450" spans="2:3">
      <c r="B1450" s="108">
        <v>44333</v>
      </c>
      <c r="C1450" s="75">
        <v>49580.73</v>
      </c>
    </row>
    <row r="1451" spans="2:3">
      <c r="B1451" s="108">
        <v>44334</v>
      </c>
      <c r="C1451" s="75">
        <v>50193.33</v>
      </c>
    </row>
    <row r="1452" spans="2:3">
      <c r="B1452" s="108">
        <v>44335</v>
      </c>
      <c r="C1452" s="75">
        <v>49902.64</v>
      </c>
    </row>
    <row r="1453" spans="2:3">
      <c r="B1453" s="108">
        <v>44336</v>
      </c>
      <c r="C1453" s="75">
        <v>49564.86</v>
      </c>
    </row>
    <row r="1454" spans="2:3">
      <c r="B1454" s="108">
        <v>44337</v>
      </c>
      <c r="C1454" s="75">
        <v>50540.480000000003</v>
      </c>
    </row>
    <row r="1455" spans="2:3">
      <c r="B1455" s="108">
        <v>44340</v>
      </c>
      <c r="C1455" s="75">
        <v>50651.9</v>
      </c>
    </row>
    <row r="1456" spans="2:3">
      <c r="B1456" s="108">
        <v>44341</v>
      </c>
      <c r="C1456" s="75">
        <v>50637.53</v>
      </c>
    </row>
    <row r="1457" spans="2:3">
      <c r="B1457" s="108">
        <v>44342</v>
      </c>
      <c r="C1457" s="75">
        <v>51017.52</v>
      </c>
    </row>
    <row r="1458" spans="2:3">
      <c r="B1458" s="108">
        <v>44343</v>
      </c>
      <c r="C1458" s="75">
        <v>51115.22</v>
      </c>
    </row>
    <row r="1459" spans="2:3">
      <c r="B1459" s="108">
        <v>44344</v>
      </c>
      <c r="C1459" s="75">
        <v>51422.879999999997</v>
      </c>
    </row>
    <row r="1460" spans="2:3">
      <c r="B1460" s="108">
        <v>44347</v>
      </c>
      <c r="C1460" s="75">
        <v>51937.440000000002</v>
      </c>
    </row>
    <row r="1461" spans="2:3">
      <c r="B1461" s="108">
        <v>44348</v>
      </c>
      <c r="C1461" s="75">
        <v>51934.879999999997</v>
      </c>
    </row>
    <row r="1462" spans="2:3">
      <c r="B1462" s="108">
        <v>44349</v>
      </c>
      <c r="C1462" s="75">
        <v>51849.48</v>
      </c>
    </row>
    <row r="1463" spans="2:3">
      <c r="B1463" s="108">
        <v>44350</v>
      </c>
      <c r="C1463" s="75">
        <v>52232.43</v>
      </c>
    </row>
    <row r="1464" spans="2:3">
      <c r="B1464" s="108">
        <v>44351</v>
      </c>
      <c r="C1464" s="75">
        <v>52100.05</v>
      </c>
    </row>
    <row r="1465" spans="2:3">
      <c r="B1465" s="108">
        <v>44354</v>
      </c>
      <c r="C1465" s="75">
        <v>52328.51</v>
      </c>
    </row>
    <row r="1466" spans="2:3">
      <c r="B1466" s="108">
        <v>44355</v>
      </c>
      <c r="C1466" s="75">
        <v>52275.57</v>
      </c>
    </row>
    <row r="1467" spans="2:3">
      <c r="B1467" s="108">
        <v>44356</v>
      </c>
      <c r="C1467" s="75">
        <v>51941.64</v>
      </c>
    </row>
    <row r="1468" spans="2:3">
      <c r="B1468" s="108">
        <v>44357</v>
      </c>
      <c r="C1468" s="75">
        <v>52300.47</v>
      </c>
    </row>
    <row r="1469" spans="2:3">
      <c r="B1469" s="108">
        <v>44358</v>
      </c>
      <c r="C1469" s="75">
        <v>52474.76</v>
      </c>
    </row>
    <row r="1470" spans="2:3">
      <c r="B1470" s="108">
        <v>44361</v>
      </c>
      <c r="C1470" s="75">
        <v>52551.53</v>
      </c>
    </row>
    <row r="1471" spans="2:3">
      <c r="B1471" s="108">
        <v>44362</v>
      </c>
      <c r="C1471" s="75">
        <v>52773.05</v>
      </c>
    </row>
    <row r="1472" spans="2:3">
      <c r="B1472" s="108">
        <v>44363</v>
      </c>
      <c r="C1472" s="75">
        <v>52501.98</v>
      </c>
    </row>
    <row r="1473" spans="2:3">
      <c r="B1473" s="108">
        <v>44364</v>
      </c>
      <c r="C1473" s="75">
        <v>52323.33</v>
      </c>
    </row>
    <row r="1474" spans="2:3">
      <c r="B1474" s="108">
        <v>44365</v>
      </c>
      <c r="C1474" s="75">
        <v>52344.45</v>
      </c>
    </row>
    <row r="1475" spans="2:3">
      <c r="B1475" s="108">
        <v>44368</v>
      </c>
      <c r="C1475" s="75">
        <v>52574.46</v>
      </c>
    </row>
    <row r="1476" spans="2:3">
      <c r="B1476" s="108">
        <v>44369</v>
      </c>
      <c r="C1476" s="75">
        <v>52588.71</v>
      </c>
    </row>
    <row r="1477" spans="2:3">
      <c r="B1477" s="108">
        <v>44370</v>
      </c>
      <c r="C1477" s="75">
        <v>52306.080000000002</v>
      </c>
    </row>
    <row r="1478" spans="2:3">
      <c r="B1478" s="108">
        <v>44371</v>
      </c>
      <c r="C1478" s="75">
        <v>52699</v>
      </c>
    </row>
    <row r="1479" spans="2:3">
      <c r="B1479" s="108">
        <v>44372</v>
      </c>
      <c r="C1479" s="75">
        <v>52925.04</v>
      </c>
    </row>
    <row r="1480" spans="2:3">
      <c r="B1480" s="108">
        <v>44375</v>
      </c>
      <c r="C1480" s="75">
        <v>52735.59</v>
      </c>
    </row>
    <row r="1481" spans="2:3">
      <c r="B1481" s="108">
        <v>44376</v>
      </c>
      <c r="C1481" s="75">
        <v>52549.66</v>
      </c>
    </row>
    <row r="1482" spans="2:3">
      <c r="B1482" s="108">
        <v>44377</v>
      </c>
      <c r="C1482" s="75">
        <v>52482.71</v>
      </c>
    </row>
    <row r="1483" spans="2:3">
      <c r="B1483" s="108">
        <v>44378</v>
      </c>
      <c r="C1483" s="75">
        <v>52318.6</v>
      </c>
    </row>
    <row r="1484" spans="2:3">
      <c r="B1484" s="108">
        <v>44379</v>
      </c>
      <c r="C1484" s="75">
        <v>52484.67</v>
      </c>
    </row>
    <row r="1485" spans="2:3">
      <c r="B1485" s="108">
        <v>44382</v>
      </c>
      <c r="C1485" s="75">
        <v>52880</v>
      </c>
    </row>
    <row r="1486" spans="2:3">
      <c r="B1486" s="108">
        <v>44383</v>
      </c>
      <c r="C1486" s="75">
        <v>52861.18</v>
      </c>
    </row>
    <row r="1487" spans="2:3">
      <c r="B1487" s="108">
        <v>44384</v>
      </c>
      <c r="C1487" s="75">
        <v>53054.76</v>
      </c>
    </row>
    <row r="1488" spans="2:3">
      <c r="B1488" s="108">
        <v>44385</v>
      </c>
      <c r="C1488" s="75">
        <v>52568.94</v>
      </c>
    </row>
    <row r="1489" spans="2:3">
      <c r="B1489" s="108">
        <v>44386</v>
      </c>
      <c r="C1489" s="75">
        <v>52386.19</v>
      </c>
    </row>
    <row r="1490" spans="2:3">
      <c r="B1490" s="108">
        <v>44389</v>
      </c>
      <c r="C1490" s="75">
        <v>52372.69</v>
      </c>
    </row>
    <row r="1491" spans="2:3">
      <c r="B1491" s="108">
        <v>44390</v>
      </c>
      <c r="C1491" s="75">
        <v>52769.73</v>
      </c>
    </row>
    <row r="1492" spans="2:3">
      <c r="B1492" s="108">
        <v>44391</v>
      </c>
      <c r="C1492" s="75">
        <v>52904.05</v>
      </c>
    </row>
    <row r="1493" spans="2:3">
      <c r="B1493" s="108">
        <v>44392</v>
      </c>
      <c r="C1493" s="75">
        <v>53158.85</v>
      </c>
    </row>
    <row r="1494" spans="2:3">
      <c r="B1494" s="108">
        <v>44393</v>
      </c>
      <c r="C1494" s="75">
        <v>53140.06</v>
      </c>
    </row>
    <row r="1495" spans="2:3">
      <c r="B1495" s="108">
        <v>44396</v>
      </c>
      <c r="C1495" s="75">
        <v>52553.4</v>
      </c>
    </row>
    <row r="1496" spans="2:3">
      <c r="B1496" s="108">
        <v>44397</v>
      </c>
      <c r="C1496" s="75">
        <v>52198.51</v>
      </c>
    </row>
    <row r="1497" spans="2:3">
      <c r="B1497" s="108">
        <v>44399</v>
      </c>
      <c r="C1497" s="75">
        <v>52837.21</v>
      </c>
    </row>
    <row r="1498" spans="2:3">
      <c r="B1498" s="108">
        <v>44400</v>
      </c>
      <c r="C1498" s="75">
        <v>52975.8</v>
      </c>
    </row>
    <row r="1499" spans="2:3">
      <c r="B1499" s="108">
        <v>44403</v>
      </c>
      <c r="C1499" s="75">
        <v>52852.27</v>
      </c>
    </row>
    <row r="1500" spans="2:3">
      <c r="B1500" s="108">
        <v>44404</v>
      </c>
      <c r="C1500" s="75">
        <v>52578.76</v>
      </c>
    </row>
    <row r="1501" spans="2:3">
      <c r="B1501" s="108">
        <v>44405</v>
      </c>
      <c r="C1501" s="75">
        <v>52443.71</v>
      </c>
    </row>
    <row r="1502" spans="2:3">
      <c r="B1502" s="108">
        <v>44406</v>
      </c>
      <c r="C1502" s="75">
        <v>52653.07</v>
      </c>
    </row>
    <row r="1503" spans="2:3">
      <c r="B1503" s="108">
        <v>44407</v>
      </c>
      <c r="C1503" s="75">
        <v>52586.84</v>
      </c>
    </row>
    <row r="1504" spans="2:3">
      <c r="B1504" s="108">
        <v>44410</v>
      </c>
      <c r="C1504" s="75">
        <v>52950.63</v>
      </c>
    </row>
    <row r="1505" spans="2:3">
      <c r="B1505" s="108">
        <v>44411</v>
      </c>
      <c r="C1505" s="75">
        <v>53823.360000000001</v>
      </c>
    </row>
    <row r="1506" spans="2:3">
      <c r="B1506" s="108">
        <v>44412</v>
      </c>
      <c r="C1506" s="75">
        <v>54369.77</v>
      </c>
    </row>
    <row r="1507" spans="2:3">
      <c r="B1507" s="108">
        <v>44413</v>
      </c>
      <c r="C1507" s="75">
        <v>54492.84</v>
      </c>
    </row>
    <row r="1508" spans="2:3">
      <c r="B1508" s="108">
        <v>44414</v>
      </c>
      <c r="C1508" s="75">
        <v>54277.72</v>
      </c>
    </row>
    <row r="1509" spans="2:3">
      <c r="B1509" s="108">
        <v>44417</v>
      </c>
      <c r="C1509" s="75">
        <v>54402.85</v>
      </c>
    </row>
    <row r="1510" spans="2:3">
      <c r="B1510" s="108">
        <v>44418</v>
      </c>
      <c r="C1510" s="75">
        <v>54554.66</v>
      </c>
    </row>
    <row r="1511" spans="2:3">
      <c r="B1511" s="108">
        <v>44419</v>
      </c>
      <c r="C1511" s="75">
        <v>54525.93</v>
      </c>
    </row>
    <row r="1512" spans="2:3">
      <c r="B1512" s="108">
        <v>44420</v>
      </c>
      <c r="C1512" s="75">
        <v>54843.98</v>
      </c>
    </row>
    <row r="1513" spans="2:3">
      <c r="B1513" s="108">
        <v>44421</v>
      </c>
      <c r="C1513" s="75">
        <v>55437.29</v>
      </c>
    </row>
    <row r="1514" spans="2:3">
      <c r="B1514" s="108">
        <v>44424</v>
      </c>
      <c r="C1514" s="75">
        <v>55582.58</v>
      </c>
    </row>
    <row r="1515" spans="2:3">
      <c r="B1515" s="108">
        <v>44425</v>
      </c>
      <c r="C1515" s="75">
        <v>55792.27</v>
      </c>
    </row>
    <row r="1516" spans="2:3">
      <c r="B1516" s="108">
        <v>44426</v>
      </c>
      <c r="C1516" s="75">
        <v>55629.49</v>
      </c>
    </row>
    <row r="1517" spans="2:3">
      <c r="B1517" s="108">
        <v>44428</v>
      </c>
      <c r="C1517" s="75">
        <v>55329.32</v>
      </c>
    </row>
    <row r="1518" spans="2:3">
      <c r="B1518" s="108">
        <v>44431</v>
      </c>
      <c r="C1518" s="75">
        <v>55555.79</v>
      </c>
    </row>
    <row r="1519" spans="2:3">
      <c r="B1519" s="108">
        <v>44432</v>
      </c>
      <c r="C1519" s="75">
        <v>55958.98</v>
      </c>
    </row>
    <row r="1520" spans="2:3">
      <c r="B1520" s="108">
        <v>44433</v>
      </c>
      <c r="C1520" s="75">
        <v>55944.21</v>
      </c>
    </row>
    <row r="1521" spans="2:3">
      <c r="B1521" s="108">
        <v>44434</v>
      </c>
      <c r="C1521" s="75">
        <v>55949.1</v>
      </c>
    </row>
    <row r="1522" spans="2:3">
      <c r="B1522" s="108">
        <v>44435</v>
      </c>
      <c r="C1522" s="75">
        <v>56124.72</v>
      </c>
    </row>
    <row r="1523" spans="2:3">
      <c r="B1523" s="108">
        <v>44438</v>
      </c>
      <c r="C1523" s="75">
        <v>56889.760000000002</v>
      </c>
    </row>
    <row r="1524" spans="2:3">
      <c r="B1524" s="108">
        <v>44439</v>
      </c>
      <c r="C1524" s="75">
        <v>57552.39</v>
      </c>
    </row>
    <row r="1525" spans="2:3">
      <c r="B1525" s="108">
        <v>44440</v>
      </c>
      <c r="C1525" s="75">
        <v>57338.21</v>
      </c>
    </row>
    <row r="1526" spans="2:3">
      <c r="B1526" s="108">
        <v>44441</v>
      </c>
      <c r="C1526" s="75">
        <v>57852.54</v>
      </c>
    </row>
    <row r="1527" spans="2:3">
      <c r="B1527" s="108">
        <v>44442</v>
      </c>
      <c r="C1527" s="75">
        <v>58129.95</v>
      </c>
    </row>
    <row r="1528" spans="2:3">
      <c r="B1528" s="108">
        <v>44445</v>
      </c>
      <c r="C1528" s="75">
        <v>58296.91</v>
      </c>
    </row>
    <row r="1529" spans="2:3">
      <c r="B1529" s="108">
        <v>44446</v>
      </c>
      <c r="C1529" s="75">
        <v>58279.48</v>
      </c>
    </row>
    <row r="1530" spans="2:3">
      <c r="B1530" s="108">
        <v>44447</v>
      </c>
      <c r="C1530" s="75">
        <v>58250.26</v>
      </c>
    </row>
    <row r="1531" spans="2:3">
      <c r="B1531" s="108">
        <v>44448</v>
      </c>
      <c r="C1531" s="75">
        <v>58305.07</v>
      </c>
    </row>
    <row r="1532" spans="2:3">
      <c r="B1532" s="108">
        <v>44452</v>
      </c>
      <c r="C1532" s="75">
        <v>58177.760000000002</v>
      </c>
    </row>
    <row r="1533" spans="2:3">
      <c r="B1533" s="108">
        <v>44453</v>
      </c>
      <c r="C1533" s="75">
        <v>58247.09</v>
      </c>
    </row>
    <row r="1534" spans="2:3">
      <c r="B1534" s="108">
        <v>44454</v>
      </c>
      <c r="C1534" s="75">
        <v>58723.199999999997</v>
      </c>
    </row>
    <row r="1535" spans="2:3">
      <c r="B1535" s="108">
        <v>44455</v>
      </c>
      <c r="C1535" s="75">
        <v>59141.16</v>
      </c>
    </row>
    <row r="1536" spans="2:3">
      <c r="B1536" s="108">
        <v>44456</v>
      </c>
      <c r="C1536" s="75">
        <v>59015.89</v>
      </c>
    </row>
    <row r="1537" spans="2:3">
      <c r="B1537" s="108">
        <v>44459</v>
      </c>
      <c r="C1537" s="75">
        <v>58490.93</v>
      </c>
    </row>
    <row r="1538" spans="2:3">
      <c r="B1538" s="108">
        <v>44460</v>
      </c>
      <c r="C1538" s="75">
        <v>59005.27</v>
      </c>
    </row>
    <row r="1539" spans="2:3">
      <c r="B1539" s="108">
        <v>44461</v>
      </c>
      <c r="C1539" s="75">
        <v>58927.33</v>
      </c>
    </row>
    <row r="1540" spans="2:3">
      <c r="B1540" s="108">
        <v>44462</v>
      </c>
      <c r="C1540" s="75">
        <v>59885.36</v>
      </c>
    </row>
    <row r="1541" spans="2:3">
      <c r="B1541" s="108">
        <v>44463</v>
      </c>
      <c r="C1541" s="75">
        <v>60048.47</v>
      </c>
    </row>
    <row r="1542" spans="2:3">
      <c r="B1542" s="108">
        <v>44466</v>
      </c>
      <c r="C1542" s="75">
        <v>60077.88</v>
      </c>
    </row>
    <row r="1543" spans="2:3">
      <c r="B1543" s="108">
        <v>44467</v>
      </c>
      <c r="C1543" s="75">
        <v>59667.6</v>
      </c>
    </row>
    <row r="1544" spans="2:3">
      <c r="B1544" s="108">
        <v>44468</v>
      </c>
      <c r="C1544" s="75">
        <v>59413.27</v>
      </c>
    </row>
    <row r="1545" spans="2:3">
      <c r="B1545" s="108">
        <v>44469</v>
      </c>
      <c r="C1545" s="75">
        <v>59126.36</v>
      </c>
    </row>
    <row r="1546" spans="2:3">
      <c r="B1546" s="108">
        <v>44470</v>
      </c>
      <c r="C1546" s="75">
        <v>58765.58</v>
      </c>
    </row>
    <row r="1547" spans="2:3">
      <c r="B1547" s="108">
        <v>44473</v>
      </c>
      <c r="C1547" s="75">
        <v>59299.32</v>
      </c>
    </row>
    <row r="1548" spans="2:3">
      <c r="B1548" s="108">
        <v>44474</v>
      </c>
      <c r="C1548" s="75">
        <v>59744.88</v>
      </c>
    </row>
    <row r="1549" spans="2:3">
      <c r="B1549" s="108">
        <v>44475</v>
      </c>
      <c r="C1549" s="75">
        <v>59189.73</v>
      </c>
    </row>
    <row r="1550" spans="2:3">
      <c r="B1550" s="108">
        <v>44476</v>
      </c>
      <c r="C1550" s="75">
        <v>59677.83</v>
      </c>
    </row>
    <row r="1551" spans="2:3">
      <c r="B1551" s="108">
        <v>44477</v>
      </c>
      <c r="C1551" s="75">
        <v>60059.06</v>
      </c>
    </row>
    <row r="1552" spans="2:3">
      <c r="B1552" s="108">
        <v>44480</v>
      </c>
      <c r="C1552" s="75">
        <v>60135.78</v>
      </c>
    </row>
    <row r="1553" spans="2:3">
      <c r="B1553" s="108">
        <v>44481</v>
      </c>
      <c r="C1553" s="75">
        <v>60284.31</v>
      </c>
    </row>
    <row r="1554" spans="2:3">
      <c r="B1554" s="108">
        <v>44482</v>
      </c>
      <c r="C1554" s="75">
        <v>60737.05</v>
      </c>
    </row>
    <row r="1555" spans="2:3">
      <c r="B1555" s="108">
        <v>44483</v>
      </c>
      <c r="C1555" s="75">
        <v>61305.95</v>
      </c>
    </row>
    <row r="1556" spans="2:3">
      <c r="B1556" s="108">
        <v>44487</v>
      </c>
      <c r="C1556" s="75">
        <v>61765.59</v>
      </c>
    </row>
    <row r="1557" spans="2:3">
      <c r="B1557" s="108">
        <v>44488</v>
      </c>
      <c r="C1557" s="75">
        <v>61716.05</v>
      </c>
    </row>
    <row r="1558" spans="2:3">
      <c r="B1558" s="108">
        <v>44489</v>
      </c>
      <c r="C1558" s="75">
        <v>61259.96</v>
      </c>
    </row>
    <row r="1559" spans="2:3">
      <c r="B1559" s="108">
        <v>44490</v>
      </c>
      <c r="C1559" s="75">
        <v>60923.5</v>
      </c>
    </row>
    <row r="1560" spans="2:3">
      <c r="B1560" s="108">
        <v>44491</v>
      </c>
      <c r="C1560" s="75">
        <v>60821.62</v>
      </c>
    </row>
    <row r="1561" spans="2:3">
      <c r="B1561" s="108">
        <v>44494</v>
      </c>
      <c r="C1561" s="75">
        <v>60967.05</v>
      </c>
    </row>
    <row r="1562" spans="2:3">
      <c r="B1562" s="108">
        <v>44495</v>
      </c>
      <c r="C1562" s="75">
        <v>61350.26</v>
      </c>
    </row>
    <row r="1563" spans="2:3">
      <c r="B1563" s="108">
        <v>44496</v>
      </c>
      <c r="C1563" s="75">
        <v>61143.33</v>
      </c>
    </row>
    <row r="1564" spans="2:3">
      <c r="B1564" s="108">
        <v>44497</v>
      </c>
      <c r="C1564" s="75">
        <v>59984.7</v>
      </c>
    </row>
    <row r="1565" spans="2:3">
      <c r="B1565" s="108">
        <v>44498</v>
      </c>
      <c r="C1565" s="75">
        <v>59306.93</v>
      </c>
    </row>
    <row r="1566" spans="2:3">
      <c r="B1566" s="108">
        <v>44501</v>
      </c>
      <c r="C1566" s="75">
        <v>60138.46</v>
      </c>
    </row>
    <row r="1567" spans="2:3">
      <c r="B1567" s="108">
        <v>44502</v>
      </c>
      <c r="C1567" s="75">
        <v>60029.06</v>
      </c>
    </row>
    <row r="1568" spans="2:3">
      <c r="B1568" s="108">
        <v>44503</v>
      </c>
      <c r="C1568" s="75">
        <v>59771.92</v>
      </c>
    </row>
    <row r="1569" spans="2:3">
      <c r="B1569" s="108">
        <v>44504</v>
      </c>
      <c r="C1569" s="75">
        <v>60067.62</v>
      </c>
    </row>
    <row r="1570" spans="2:3">
      <c r="B1570" s="108">
        <v>44508</v>
      </c>
      <c r="C1570" s="75">
        <v>60545.61</v>
      </c>
    </row>
    <row r="1571" spans="2:3">
      <c r="B1571" s="108">
        <v>44509</v>
      </c>
      <c r="C1571" s="75">
        <v>60433.45</v>
      </c>
    </row>
    <row r="1572" spans="2:3">
      <c r="B1572" s="108">
        <v>44510</v>
      </c>
      <c r="C1572" s="75">
        <v>60352.82</v>
      </c>
    </row>
    <row r="1573" spans="2:3">
      <c r="B1573" s="108">
        <v>44511</v>
      </c>
      <c r="C1573" s="75">
        <v>59919.69</v>
      </c>
    </row>
    <row r="1574" spans="2:3">
      <c r="B1574" s="108">
        <v>44512</v>
      </c>
      <c r="C1574" s="75">
        <v>60686.69</v>
      </c>
    </row>
    <row r="1575" spans="2:3">
      <c r="B1575" s="108">
        <v>44515</v>
      </c>
      <c r="C1575" s="75">
        <v>60718.71</v>
      </c>
    </row>
    <row r="1576" spans="2:3">
      <c r="B1576" s="108">
        <v>44516</v>
      </c>
      <c r="C1576" s="75">
        <v>60322.37</v>
      </c>
    </row>
    <row r="1577" spans="2:3">
      <c r="B1577" s="108">
        <v>44517</v>
      </c>
      <c r="C1577" s="75">
        <v>60008.33</v>
      </c>
    </row>
    <row r="1578" spans="2:3">
      <c r="B1578" s="108">
        <v>44518</v>
      </c>
      <c r="C1578" s="75">
        <v>59636.01</v>
      </c>
    </row>
    <row r="1579" spans="2:3">
      <c r="B1579" s="108">
        <v>44522</v>
      </c>
      <c r="C1579" s="75">
        <v>58465.89</v>
      </c>
    </row>
    <row r="1580" spans="2:3">
      <c r="B1580" s="108">
        <v>44523</v>
      </c>
      <c r="C1580" s="75">
        <v>58664.33</v>
      </c>
    </row>
    <row r="1581" spans="2:3">
      <c r="B1581" s="108">
        <v>44524</v>
      </c>
      <c r="C1581" s="75">
        <v>58340.99</v>
      </c>
    </row>
    <row r="1582" spans="2:3">
      <c r="B1582" s="108">
        <v>44525</v>
      </c>
      <c r="C1582" s="75">
        <v>58795.09</v>
      </c>
    </row>
    <row r="1583" spans="2:3">
      <c r="B1583" s="108">
        <v>44526</v>
      </c>
      <c r="C1583" s="75">
        <v>57107.15</v>
      </c>
    </row>
    <row r="1584" spans="2:3">
      <c r="B1584" s="108">
        <v>44529</v>
      </c>
      <c r="C1584" s="75">
        <v>57260.58</v>
      </c>
    </row>
    <row r="1585" spans="2:3">
      <c r="B1585" s="108">
        <v>44530</v>
      </c>
      <c r="C1585" s="75">
        <v>57064.87</v>
      </c>
    </row>
    <row r="1586" spans="2:3">
      <c r="B1586" s="108">
        <v>44531</v>
      </c>
      <c r="C1586" s="75">
        <v>57684.79</v>
      </c>
    </row>
    <row r="1587" spans="2:3">
      <c r="B1587" s="108">
        <v>44532</v>
      </c>
      <c r="C1587" s="75">
        <v>58461.29</v>
      </c>
    </row>
    <row r="1588" spans="2:3">
      <c r="B1588" s="108">
        <v>44533</v>
      </c>
      <c r="C1588" s="75">
        <v>57696.46</v>
      </c>
    </row>
    <row r="1589" spans="2:3">
      <c r="B1589" s="108">
        <v>44536</v>
      </c>
      <c r="C1589" s="75">
        <v>56747.14</v>
      </c>
    </row>
    <row r="1590" spans="2:3">
      <c r="B1590" s="108">
        <v>44537</v>
      </c>
      <c r="C1590" s="75">
        <v>57633.65</v>
      </c>
    </row>
    <row r="1591" spans="2:3">
      <c r="B1591" s="108">
        <v>44538</v>
      </c>
      <c r="C1591" s="75">
        <v>58649.68</v>
      </c>
    </row>
    <row r="1592" spans="2:3">
      <c r="B1592" s="108">
        <v>44539</v>
      </c>
      <c r="C1592" s="75">
        <v>58807.13</v>
      </c>
    </row>
    <row r="1593" spans="2:3">
      <c r="B1593" s="108">
        <v>44540</v>
      </c>
      <c r="C1593" s="75">
        <v>58786.67</v>
      </c>
    </row>
    <row r="1594" spans="2:3">
      <c r="B1594" s="108">
        <v>44543</v>
      </c>
      <c r="C1594" s="75">
        <v>58283.42</v>
      </c>
    </row>
    <row r="1595" spans="2:3">
      <c r="B1595" s="108">
        <v>44544</v>
      </c>
      <c r="C1595" s="75">
        <v>58117.09</v>
      </c>
    </row>
    <row r="1596" spans="2:3">
      <c r="B1596" s="108">
        <v>44545</v>
      </c>
      <c r="C1596" s="75">
        <v>57788.03</v>
      </c>
    </row>
    <row r="1597" spans="2:3">
      <c r="B1597" s="108">
        <v>44546</v>
      </c>
      <c r="C1597" s="75">
        <v>57901.14</v>
      </c>
    </row>
    <row r="1598" spans="2:3">
      <c r="B1598" s="108">
        <v>44547</v>
      </c>
      <c r="C1598" s="75">
        <v>57011.74</v>
      </c>
    </row>
    <row r="1599" spans="2:3">
      <c r="B1599" s="108">
        <v>44550</v>
      </c>
      <c r="C1599" s="75">
        <v>55822.01</v>
      </c>
    </row>
    <row r="1600" spans="2:3">
      <c r="B1600" s="108">
        <v>44551</v>
      </c>
      <c r="C1600" s="75">
        <v>56319.01</v>
      </c>
    </row>
    <row r="1601" spans="2:3">
      <c r="B1601" s="108">
        <v>44552</v>
      </c>
      <c r="C1601" s="75">
        <v>56930.559999999998</v>
      </c>
    </row>
    <row r="1602" spans="2:3">
      <c r="B1602" s="108">
        <v>44553</v>
      </c>
      <c r="C1602" s="75">
        <v>57315.28</v>
      </c>
    </row>
    <row r="1603" spans="2:3">
      <c r="B1603" s="108">
        <v>44554</v>
      </c>
      <c r="C1603" s="75">
        <v>57124.31</v>
      </c>
    </row>
    <row r="1604" spans="2:3">
      <c r="B1604" s="108">
        <v>44557</v>
      </c>
      <c r="C1604" s="75">
        <v>57420.24</v>
      </c>
    </row>
    <row r="1605" spans="2:3">
      <c r="B1605" s="108">
        <v>44558</v>
      </c>
      <c r="C1605" s="75">
        <v>57897.48</v>
      </c>
    </row>
    <row r="1606" spans="2:3">
      <c r="B1606" s="108">
        <v>44559</v>
      </c>
      <c r="C1606" s="75">
        <v>57806.49</v>
      </c>
    </row>
    <row r="1607" spans="2:3">
      <c r="B1607" s="108">
        <v>44560</v>
      </c>
      <c r="C1607" s="75">
        <v>57794.32</v>
      </c>
    </row>
    <row r="1608" spans="2:3">
      <c r="B1608" s="108">
        <v>44561</v>
      </c>
      <c r="C1608" s="75">
        <v>58253.82</v>
      </c>
    </row>
    <row r="1609" spans="2:3">
      <c r="B1609" s="108">
        <v>44564</v>
      </c>
      <c r="C1609" s="75">
        <v>59183.22</v>
      </c>
    </row>
    <row r="1610" spans="2:3">
      <c r="B1610" s="108">
        <v>44565</v>
      </c>
      <c r="C1610" s="75">
        <v>59855.93</v>
      </c>
    </row>
    <row r="1611" spans="2:3">
      <c r="B1611" s="108">
        <v>44566</v>
      </c>
      <c r="C1611" s="75">
        <v>60223.15</v>
      </c>
    </row>
    <row r="1612" spans="2:3">
      <c r="B1612" s="108">
        <v>44567</v>
      </c>
      <c r="C1612" s="75">
        <v>59601.84</v>
      </c>
    </row>
    <row r="1613" spans="2:3">
      <c r="B1613" s="108">
        <v>44568</v>
      </c>
      <c r="C1613" s="75">
        <v>59744.65</v>
      </c>
    </row>
    <row r="1614" spans="2:3">
      <c r="B1614" s="108">
        <v>44571</v>
      </c>
      <c r="C1614" s="75">
        <v>60395.63</v>
      </c>
    </row>
    <row r="1615" spans="2:3">
      <c r="B1615" s="108">
        <v>44572</v>
      </c>
      <c r="C1615" s="75">
        <v>60616.89</v>
      </c>
    </row>
    <row r="1616" spans="2:3">
      <c r="B1616" s="108">
        <v>44573</v>
      </c>
      <c r="C1616" s="75">
        <v>61150.04</v>
      </c>
    </row>
    <row r="1617" spans="2:3">
      <c r="B1617" s="108">
        <v>44574</v>
      </c>
      <c r="C1617" s="75">
        <v>61235.3</v>
      </c>
    </row>
    <row r="1618" spans="2:3">
      <c r="B1618" s="108">
        <v>44575</v>
      </c>
      <c r="C1618" s="75">
        <v>61223.03</v>
      </c>
    </row>
    <row r="1619" spans="2:3">
      <c r="B1619" s="108">
        <v>44578</v>
      </c>
      <c r="C1619" s="75">
        <v>61308.91</v>
      </c>
    </row>
    <row r="1620" spans="2:3">
      <c r="B1620" s="108">
        <v>44579</v>
      </c>
      <c r="C1620" s="75">
        <v>60754.86</v>
      </c>
    </row>
    <row r="1621" spans="2:3">
      <c r="B1621" s="108">
        <v>44580</v>
      </c>
      <c r="C1621" s="75">
        <v>60098.82</v>
      </c>
    </row>
    <row r="1622" spans="2:3">
      <c r="B1622" s="108">
        <v>44581</v>
      </c>
      <c r="C1622" s="75">
        <v>59464.62</v>
      </c>
    </row>
    <row r="1623" spans="2:3">
      <c r="B1623" s="108">
        <v>44582</v>
      </c>
      <c r="C1623" s="75">
        <v>59037.18</v>
      </c>
    </row>
    <row r="1624" spans="2:3">
      <c r="B1624" s="108">
        <v>44585</v>
      </c>
      <c r="C1624" s="75">
        <v>57491.51</v>
      </c>
    </row>
    <row r="1625" spans="2:3">
      <c r="B1625" s="108">
        <v>44586</v>
      </c>
      <c r="C1625" s="75">
        <v>57858.15</v>
      </c>
    </row>
    <row r="1626" spans="2:3">
      <c r="B1626" s="108">
        <v>44588</v>
      </c>
      <c r="C1626" s="75">
        <v>57276.94</v>
      </c>
    </row>
    <row r="1627" spans="2:3">
      <c r="B1627" s="108">
        <v>44589</v>
      </c>
      <c r="C1627" s="75">
        <v>57200.23</v>
      </c>
    </row>
    <row r="1628" spans="2:3">
      <c r="B1628" s="108">
        <v>44592</v>
      </c>
      <c r="C1628" s="75">
        <v>58014.17</v>
      </c>
    </row>
    <row r="1629" spans="2:3">
      <c r="B1629" s="108">
        <v>44593</v>
      </c>
      <c r="C1629" s="75">
        <v>58862.57</v>
      </c>
    </row>
    <row r="1630" spans="2:3">
      <c r="B1630" s="108">
        <v>44594</v>
      </c>
      <c r="C1630" s="75">
        <v>59558.33</v>
      </c>
    </row>
    <row r="1631" spans="2:3">
      <c r="B1631" s="108">
        <v>44595</v>
      </c>
      <c r="C1631" s="75">
        <v>58788.02</v>
      </c>
    </row>
    <row r="1632" spans="2:3">
      <c r="B1632" s="108">
        <v>44596</v>
      </c>
      <c r="C1632" s="75">
        <v>58644.82</v>
      </c>
    </row>
    <row r="1633" spans="2:3">
      <c r="B1633" s="108">
        <v>44599</v>
      </c>
      <c r="C1633" s="75">
        <v>57621.19</v>
      </c>
    </row>
    <row r="1634" spans="2:3">
      <c r="B1634" s="108">
        <v>44600</v>
      </c>
      <c r="C1634" s="75">
        <v>57808.58</v>
      </c>
    </row>
    <row r="1635" spans="2:3">
      <c r="B1635" s="108">
        <v>44601</v>
      </c>
      <c r="C1635" s="75">
        <v>58465.97</v>
      </c>
    </row>
    <row r="1636" spans="2:3">
      <c r="B1636" s="108">
        <v>44602</v>
      </c>
      <c r="C1636" s="75">
        <v>58926.03</v>
      </c>
    </row>
    <row r="1637" spans="2:3">
      <c r="B1637" s="108">
        <v>44603</v>
      </c>
      <c r="C1637" s="75">
        <v>58152.92</v>
      </c>
    </row>
    <row r="1638" spans="2:3">
      <c r="B1638" s="108">
        <v>44606</v>
      </c>
      <c r="C1638" s="75">
        <v>56405.84</v>
      </c>
    </row>
    <row r="1639" spans="2:3">
      <c r="B1639" s="108">
        <v>44607</v>
      </c>
      <c r="C1639" s="75">
        <v>58142.05</v>
      </c>
    </row>
    <row r="1640" spans="2:3">
      <c r="B1640" s="108">
        <v>44608</v>
      </c>
      <c r="C1640" s="75">
        <v>57996.68</v>
      </c>
    </row>
    <row r="1641" spans="2:3">
      <c r="B1641" s="108">
        <v>44609</v>
      </c>
      <c r="C1641" s="75">
        <v>57892.01</v>
      </c>
    </row>
    <row r="1642" spans="2:3">
      <c r="B1642" s="108">
        <v>44610</v>
      </c>
      <c r="C1642" s="75">
        <v>57832.97</v>
      </c>
    </row>
    <row r="1643" spans="2:3">
      <c r="B1643" s="108">
        <v>44613</v>
      </c>
      <c r="C1643" s="75">
        <v>57683.59</v>
      </c>
    </row>
    <row r="1644" spans="2:3">
      <c r="B1644" s="108">
        <v>44614</v>
      </c>
      <c r="C1644" s="75">
        <v>57300.68</v>
      </c>
    </row>
    <row r="1645" spans="2:3">
      <c r="B1645" s="108">
        <v>44615</v>
      </c>
      <c r="C1645" s="75">
        <v>57232.06</v>
      </c>
    </row>
    <row r="1646" spans="2:3">
      <c r="B1646" s="108">
        <v>44616</v>
      </c>
      <c r="C1646" s="75">
        <v>54529.91</v>
      </c>
    </row>
    <row r="1647" spans="2:3">
      <c r="B1647" s="108">
        <v>44617</v>
      </c>
      <c r="C1647" s="75">
        <v>55858.52</v>
      </c>
    </row>
    <row r="1648" spans="2:3">
      <c r="B1648" s="108">
        <v>44620</v>
      </c>
      <c r="C1648" s="75">
        <v>56247.28</v>
      </c>
    </row>
    <row r="1649" spans="2:3">
      <c r="B1649" s="108">
        <v>44622</v>
      </c>
      <c r="C1649" s="75">
        <v>55468.9</v>
      </c>
    </row>
    <row r="1650" spans="2:3">
      <c r="B1650" s="108">
        <v>44623</v>
      </c>
      <c r="C1650" s="75">
        <v>55102.68</v>
      </c>
    </row>
    <row r="1651" spans="2:3">
      <c r="B1651" s="108">
        <v>44624</v>
      </c>
      <c r="C1651" s="75">
        <v>54333.81</v>
      </c>
    </row>
    <row r="1652" spans="2:3">
      <c r="B1652" s="108">
        <v>44627</v>
      </c>
      <c r="C1652" s="75">
        <v>52842.75</v>
      </c>
    </row>
    <row r="1653" spans="2:3">
      <c r="B1653" s="108">
        <v>44628</v>
      </c>
      <c r="C1653" s="75">
        <v>53424.09</v>
      </c>
    </row>
    <row r="1654" spans="2:3">
      <c r="B1654" s="108">
        <v>44629</v>
      </c>
      <c r="C1654" s="75">
        <v>54647.33</v>
      </c>
    </row>
    <row r="1655" spans="2:3">
      <c r="B1655" s="108">
        <v>44630</v>
      </c>
      <c r="C1655" s="75">
        <v>55464.39</v>
      </c>
    </row>
    <row r="1656" spans="2:3">
      <c r="B1656" s="108">
        <v>44631</v>
      </c>
      <c r="C1656" s="75">
        <v>55550.3</v>
      </c>
    </row>
    <row r="1657" spans="2:3">
      <c r="B1657" s="108">
        <v>44634</v>
      </c>
      <c r="C1657" s="75">
        <v>56486.02</v>
      </c>
    </row>
    <row r="1658" spans="2:3">
      <c r="B1658" s="108">
        <v>44635</v>
      </c>
      <c r="C1658" s="75">
        <v>55776.85</v>
      </c>
    </row>
    <row r="1659" spans="2:3">
      <c r="B1659" s="108">
        <v>44636</v>
      </c>
      <c r="C1659" s="75">
        <v>56816.65</v>
      </c>
    </row>
    <row r="1660" spans="2:3">
      <c r="B1660" s="108">
        <v>44637</v>
      </c>
      <c r="C1660" s="75">
        <v>57863.93</v>
      </c>
    </row>
    <row r="1661" spans="2:3">
      <c r="B1661" s="108">
        <v>44641</v>
      </c>
      <c r="C1661" s="75">
        <v>57292.49</v>
      </c>
    </row>
    <row r="1662" spans="2:3">
      <c r="B1662" s="108">
        <v>44642</v>
      </c>
      <c r="C1662" s="75">
        <v>57989.3</v>
      </c>
    </row>
    <row r="1663" spans="2:3">
      <c r="B1663" s="108">
        <v>44643</v>
      </c>
      <c r="C1663" s="75">
        <v>57684.82</v>
      </c>
    </row>
    <row r="1664" spans="2:3">
      <c r="B1664" s="108">
        <v>44644</v>
      </c>
      <c r="C1664" s="75">
        <v>57595.68</v>
      </c>
    </row>
    <row r="1665" spans="2:3">
      <c r="B1665" s="108">
        <v>44645</v>
      </c>
      <c r="C1665" s="75">
        <v>57362.2</v>
      </c>
    </row>
    <row r="1666" spans="2:3">
      <c r="B1666" s="108">
        <v>44648</v>
      </c>
      <c r="C1666" s="75">
        <v>57593.49</v>
      </c>
    </row>
    <row r="1667" spans="2:3">
      <c r="B1667" s="108">
        <v>44649</v>
      </c>
      <c r="C1667" s="75">
        <v>57943.65</v>
      </c>
    </row>
    <row r="1668" spans="2:3">
      <c r="B1668" s="108">
        <v>44650</v>
      </c>
      <c r="C1668" s="75">
        <v>58683.99</v>
      </c>
    </row>
    <row r="1669" spans="2:3">
      <c r="B1669" s="108">
        <v>44651</v>
      </c>
      <c r="C1669" s="75">
        <v>58568.51</v>
      </c>
    </row>
    <row r="1670" spans="2:3">
      <c r="B1670" s="108">
        <v>44652</v>
      </c>
      <c r="C1670" s="75">
        <v>59276.69</v>
      </c>
    </row>
    <row r="1671" spans="2:3">
      <c r="B1671" s="108">
        <v>44655</v>
      </c>
      <c r="C1671" s="75">
        <v>60611.74</v>
      </c>
    </row>
    <row r="1672" spans="2:3">
      <c r="B1672" s="108">
        <v>44656</v>
      </c>
      <c r="C1672" s="75">
        <v>60176.5</v>
      </c>
    </row>
    <row r="1673" spans="2:3">
      <c r="B1673" s="108">
        <v>44657</v>
      </c>
      <c r="C1673" s="75">
        <v>59610.41</v>
      </c>
    </row>
    <row r="1674" spans="2:3">
      <c r="B1674" s="108">
        <v>44658</v>
      </c>
      <c r="C1674" s="75">
        <v>59034.95</v>
      </c>
    </row>
    <row r="1675" spans="2:3">
      <c r="B1675" s="108">
        <v>44659</v>
      </c>
      <c r="C1675" s="75">
        <v>59447.18</v>
      </c>
    </row>
    <row r="1676" spans="2:3">
      <c r="B1676" s="108">
        <v>44662</v>
      </c>
      <c r="C1676" s="75">
        <v>58964.57</v>
      </c>
    </row>
    <row r="1677" spans="2:3">
      <c r="B1677" s="108">
        <v>44663</v>
      </c>
      <c r="C1677" s="75">
        <v>58576.37</v>
      </c>
    </row>
    <row r="1678" spans="2:3">
      <c r="B1678" s="108">
        <v>44664</v>
      </c>
      <c r="C1678" s="75">
        <v>58338.93</v>
      </c>
    </row>
    <row r="1679" spans="2:3">
      <c r="B1679" s="108">
        <v>44669</v>
      </c>
      <c r="C1679" s="75">
        <v>57166.74</v>
      </c>
    </row>
    <row r="1680" spans="2:3">
      <c r="B1680" s="108">
        <v>44670</v>
      </c>
      <c r="C1680" s="75">
        <v>56463.15</v>
      </c>
    </row>
    <row r="1681" spans="2:3">
      <c r="B1681" s="108">
        <v>44671</v>
      </c>
      <c r="C1681" s="75">
        <v>57037.5</v>
      </c>
    </row>
    <row r="1682" spans="2:3">
      <c r="B1682" s="108">
        <v>44672</v>
      </c>
      <c r="C1682" s="75">
        <v>57911.68</v>
      </c>
    </row>
    <row r="1683" spans="2:3">
      <c r="B1683" s="108">
        <v>44673</v>
      </c>
      <c r="C1683" s="75">
        <v>57197.15</v>
      </c>
    </row>
    <row r="1684" spans="2:3">
      <c r="B1684" s="108">
        <v>44676</v>
      </c>
      <c r="C1684" s="75">
        <v>56579.89</v>
      </c>
    </row>
    <row r="1685" spans="2:3">
      <c r="B1685" s="108">
        <v>44677</v>
      </c>
      <c r="C1685" s="75">
        <v>57356.61</v>
      </c>
    </row>
    <row r="1686" spans="2:3">
      <c r="B1686" s="108">
        <v>44678</v>
      </c>
      <c r="C1686" s="75">
        <v>56819.39</v>
      </c>
    </row>
    <row r="1687" spans="2:3">
      <c r="B1687" s="108">
        <v>44679</v>
      </c>
      <c r="C1687" s="75">
        <v>57521.06</v>
      </c>
    </row>
    <row r="1688" spans="2:3">
      <c r="B1688" s="108">
        <v>44680</v>
      </c>
      <c r="C1688" s="75">
        <v>57060.87</v>
      </c>
    </row>
    <row r="1689" spans="2:3">
      <c r="B1689" s="108">
        <v>44683</v>
      </c>
      <c r="C1689" s="75">
        <v>56975.99</v>
      </c>
    </row>
    <row r="1690" spans="2:3">
      <c r="B1690" s="108">
        <v>44685</v>
      </c>
      <c r="C1690" s="75">
        <v>55669.03</v>
      </c>
    </row>
    <row r="1691" spans="2:3">
      <c r="B1691" s="108">
        <v>44686</v>
      </c>
      <c r="C1691" s="75">
        <v>55702.23</v>
      </c>
    </row>
    <row r="1692" spans="2:3">
      <c r="B1692" s="108">
        <v>44687</v>
      </c>
      <c r="C1692" s="75">
        <v>54835.58</v>
      </c>
    </row>
    <row r="1693" spans="2:3">
      <c r="B1693" s="108">
        <v>44690</v>
      </c>
      <c r="C1693" s="75">
        <v>54470.67</v>
      </c>
    </row>
    <row r="1694" spans="2:3">
      <c r="B1694" s="108">
        <v>44691</v>
      </c>
      <c r="C1694" s="75">
        <v>54364.85</v>
      </c>
    </row>
    <row r="1695" spans="2:3">
      <c r="B1695" s="108">
        <v>44692</v>
      </c>
      <c r="C1695" s="75">
        <v>54088.39</v>
      </c>
    </row>
    <row r="1696" spans="2:3">
      <c r="B1696" s="108">
        <v>44693</v>
      </c>
      <c r="C1696" s="75">
        <v>52930.31</v>
      </c>
    </row>
    <row r="1697" spans="2:3">
      <c r="B1697" s="108">
        <v>44694</v>
      </c>
      <c r="C1697" s="75">
        <v>52793.62</v>
      </c>
    </row>
    <row r="1698" spans="2:3">
      <c r="B1698" s="108">
        <v>44697</v>
      </c>
      <c r="C1698" s="75">
        <v>52973.84</v>
      </c>
    </row>
    <row r="1699" spans="2:3">
      <c r="B1699" s="108">
        <v>44698</v>
      </c>
      <c r="C1699" s="75">
        <v>54318.47</v>
      </c>
    </row>
    <row r="1700" spans="2:3">
      <c r="B1700" s="108">
        <v>44699</v>
      </c>
      <c r="C1700" s="75">
        <v>54208.53</v>
      </c>
    </row>
    <row r="1701" spans="2:3">
      <c r="B1701" s="108">
        <v>44700</v>
      </c>
      <c r="C1701" s="75">
        <v>52792.23</v>
      </c>
    </row>
    <row r="1702" spans="2:3">
      <c r="B1702" s="108">
        <v>44701</v>
      </c>
      <c r="C1702" s="75">
        <v>54326.39</v>
      </c>
    </row>
    <row r="1703" spans="2:3">
      <c r="B1703" s="108">
        <v>44704</v>
      </c>
      <c r="C1703" s="75">
        <v>54288.61</v>
      </c>
    </row>
    <row r="1704" spans="2:3">
      <c r="B1704" s="108">
        <v>44705</v>
      </c>
      <c r="C1704" s="75">
        <v>54052.61</v>
      </c>
    </row>
    <row r="1705" spans="2:3">
      <c r="B1705" s="108">
        <v>44706</v>
      </c>
      <c r="C1705" s="75">
        <v>53749.26</v>
      </c>
    </row>
    <row r="1706" spans="2:3">
      <c r="B1706" s="108">
        <v>44707</v>
      </c>
      <c r="C1706" s="75">
        <v>54252.53</v>
      </c>
    </row>
    <row r="1707" spans="2:3">
      <c r="B1707" s="108">
        <v>44708</v>
      </c>
      <c r="C1707" s="75">
        <v>54884.66</v>
      </c>
    </row>
    <row r="1708" spans="2:3">
      <c r="B1708" s="108">
        <v>44711</v>
      </c>
      <c r="C1708" s="75">
        <v>55925.74</v>
      </c>
    </row>
    <row r="1709" spans="2:3">
      <c r="B1709" s="108">
        <v>44712</v>
      </c>
      <c r="C1709" s="75">
        <v>55566.41</v>
      </c>
    </row>
    <row r="1710" spans="2:3">
      <c r="B1710" s="108">
        <v>44713</v>
      </c>
      <c r="C1710" s="75">
        <v>55381.17</v>
      </c>
    </row>
    <row r="1711" spans="2:3">
      <c r="B1711" s="108">
        <v>44714</v>
      </c>
      <c r="C1711" s="75">
        <v>55818.11</v>
      </c>
    </row>
    <row r="1712" spans="2:3">
      <c r="B1712" s="108">
        <v>44715</v>
      </c>
      <c r="C1712" s="75">
        <v>55769.23</v>
      </c>
    </row>
    <row r="1713" spans="2:3">
      <c r="B1713" s="108">
        <v>44718</v>
      </c>
      <c r="C1713" s="75">
        <v>55675.32</v>
      </c>
    </row>
    <row r="1714" spans="2:3">
      <c r="B1714" s="108">
        <v>44719</v>
      </c>
      <c r="C1714" s="75">
        <v>55107.34</v>
      </c>
    </row>
    <row r="1715" spans="2:3">
      <c r="B1715" s="108">
        <v>44720</v>
      </c>
      <c r="C1715" s="75">
        <v>54892.49</v>
      </c>
    </row>
    <row r="1716" spans="2:3">
      <c r="B1716" s="108">
        <v>44721</v>
      </c>
      <c r="C1716" s="75">
        <v>55320.28</v>
      </c>
    </row>
    <row r="1717" spans="2:3">
      <c r="B1717" s="108">
        <v>44722</v>
      </c>
      <c r="C1717" s="75">
        <v>54303.44</v>
      </c>
    </row>
    <row r="1718" spans="2:3">
      <c r="B1718" s="108">
        <v>44725</v>
      </c>
      <c r="C1718" s="75">
        <v>52846.7</v>
      </c>
    </row>
    <row r="1719" spans="2:3">
      <c r="B1719" s="108">
        <v>44726</v>
      </c>
      <c r="C1719" s="75">
        <v>52693.57</v>
      </c>
    </row>
    <row r="1720" spans="2:3">
      <c r="B1720" s="108">
        <v>44727</v>
      </c>
      <c r="C1720" s="75">
        <v>52541.39</v>
      </c>
    </row>
    <row r="1721" spans="2:3">
      <c r="B1721" s="108">
        <v>44728</v>
      </c>
      <c r="C1721" s="75">
        <v>51495.79</v>
      </c>
    </row>
    <row r="1722" spans="2:3">
      <c r="B1722" s="108">
        <v>44729</v>
      </c>
      <c r="C1722" s="75">
        <v>51360.42</v>
      </c>
    </row>
    <row r="1723" spans="2:3">
      <c r="B1723" s="108">
        <v>44732</v>
      </c>
      <c r="C1723" s="75">
        <v>51597.84</v>
      </c>
    </row>
    <row r="1724" spans="2:3">
      <c r="B1724" s="108">
        <v>44733</v>
      </c>
      <c r="C1724" s="75">
        <v>52532.07</v>
      </c>
    </row>
    <row r="1725" spans="2:3">
      <c r="B1725" s="108">
        <v>44734</v>
      </c>
      <c r="C1725" s="75">
        <v>51822.53</v>
      </c>
    </row>
    <row r="1726" spans="2:3">
      <c r="B1726" s="108">
        <v>44735</v>
      </c>
      <c r="C1726" s="75">
        <v>52265.72</v>
      </c>
    </row>
    <row r="1727" spans="2:3">
      <c r="B1727" s="108">
        <v>44736</v>
      </c>
      <c r="C1727" s="75">
        <v>52727.98</v>
      </c>
    </row>
    <row r="1728" spans="2:3">
      <c r="B1728" s="108">
        <v>44739</v>
      </c>
      <c r="C1728" s="75">
        <v>53161.279999999999</v>
      </c>
    </row>
    <row r="1729" spans="2:3">
      <c r="B1729" s="108">
        <v>44740</v>
      </c>
      <c r="C1729" s="75">
        <v>53177.45</v>
      </c>
    </row>
    <row r="1730" spans="2:3">
      <c r="B1730" s="108">
        <v>44741</v>
      </c>
      <c r="C1730" s="75">
        <v>53026.97</v>
      </c>
    </row>
    <row r="1731" spans="2:3">
      <c r="B1731" s="108">
        <v>44742</v>
      </c>
      <c r="C1731" s="75">
        <v>53018.94</v>
      </c>
    </row>
    <row r="1732" spans="2:3">
      <c r="B1732" s="108">
        <v>44743</v>
      </c>
      <c r="C1732" s="75">
        <v>52907.93</v>
      </c>
    </row>
    <row r="1733" spans="2:3">
      <c r="B1733" s="108">
        <v>44746</v>
      </c>
      <c r="C1733" s="75">
        <v>53234.77</v>
      </c>
    </row>
    <row r="1734" spans="2:3">
      <c r="B1734" s="108">
        <v>44747</v>
      </c>
      <c r="C1734" s="75">
        <v>53134.35</v>
      </c>
    </row>
    <row r="1735" spans="2:3">
      <c r="B1735" s="108">
        <v>44748</v>
      </c>
      <c r="C1735" s="75">
        <v>53750.97</v>
      </c>
    </row>
    <row r="1736" spans="2:3">
      <c r="B1736" s="108">
        <v>44749</v>
      </c>
      <c r="C1736" s="75">
        <v>54178.46</v>
      </c>
    </row>
    <row r="1737" spans="2:3">
      <c r="B1737" s="108">
        <v>44750</v>
      </c>
      <c r="C1737" s="75">
        <v>54481.84</v>
      </c>
    </row>
    <row r="1738" spans="2:3">
      <c r="B1738" s="108">
        <v>44753</v>
      </c>
      <c r="C1738" s="75">
        <v>54395.23</v>
      </c>
    </row>
    <row r="1739" spans="2:3">
      <c r="B1739" s="108">
        <v>44754</v>
      </c>
      <c r="C1739" s="75">
        <v>53886.61</v>
      </c>
    </row>
    <row r="1740" spans="2:3">
      <c r="B1740" s="108">
        <v>44755</v>
      </c>
      <c r="C1740" s="75">
        <v>53514.15</v>
      </c>
    </row>
    <row r="1741" spans="2:3">
      <c r="B1741" s="108">
        <v>44756</v>
      </c>
      <c r="C1741" s="75">
        <v>53416.15</v>
      </c>
    </row>
    <row r="1742" spans="2:3">
      <c r="B1742" s="108">
        <v>44757</v>
      </c>
      <c r="C1742" s="75">
        <v>53760.78</v>
      </c>
    </row>
    <row r="1743" spans="2:3">
      <c r="B1743" s="108">
        <v>44760</v>
      </c>
      <c r="C1743" s="75">
        <v>54521.15</v>
      </c>
    </row>
    <row r="1744" spans="2:3">
      <c r="B1744" s="108">
        <v>44761</v>
      </c>
      <c r="C1744" s="75">
        <v>54767.62</v>
      </c>
    </row>
    <row r="1745" spans="2:3">
      <c r="B1745" s="108">
        <v>44762</v>
      </c>
      <c r="C1745" s="75">
        <v>55397.53</v>
      </c>
    </row>
    <row r="1746" spans="2:3">
      <c r="B1746" s="108">
        <v>44763</v>
      </c>
      <c r="C1746" s="75">
        <v>55681.95</v>
      </c>
    </row>
    <row r="1747" spans="2:3">
      <c r="B1747" s="108">
        <v>44764</v>
      </c>
      <c r="C1747" s="75">
        <v>56072.23</v>
      </c>
    </row>
    <row r="1748" spans="2:3">
      <c r="B1748" s="108">
        <v>44767</v>
      </c>
      <c r="C1748" s="75">
        <v>55766.22</v>
      </c>
    </row>
    <row r="1749" spans="2:3">
      <c r="B1749" s="108">
        <v>44768</v>
      </c>
      <c r="C1749" s="75">
        <v>55268.49</v>
      </c>
    </row>
    <row r="1750" spans="2:3">
      <c r="B1750" s="108">
        <v>44769</v>
      </c>
      <c r="C1750" s="75">
        <v>55816.32</v>
      </c>
    </row>
    <row r="1751" spans="2:3">
      <c r="B1751" s="108">
        <v>44770</v>
      </c>
      <c r="C1751" s="75">
        <v>56857.79</v>
      </c>
    </row>
    <row r="1752" spans="2:3">
      <c r="B1752" s="108">
        <v>44771</v>
      </c>
      <c r="C1752" s="75">
        <v>57570.25</v>
      </c>
    </row>
    <row r="1753" spans="2:3">
      <c r="B1753" s="108">
        <v>44774</v>
      </c>
      <c r="C1753" s="75">
        <v>58115.5</v>
      </c>
    </row>
    <row r="1754" spans="2:3">
      <c r="B1754" s="108">
        <v>44775</v>
      </c>
      <c r="C1754" s="75">
        <v>58136.36</v>
      </c>
    </row>
    <row r="1755" spans="2:3">
      <c r="B1755" s="108">
        <v>44776</v>
      </c>
      <c r="C1755" s="75">
        <v>58350.53</v>
      </c>
    </row>
    <row r="1756" spans="2:3">
      <c r="B1756" s="108">
        <v>44777</v>
      </c>
      <c r="C1756" s="75">
        <v>58298.8</v>
      </c>
    </row>
    <row r="1757" spans="2:3">
      <c r="B1757" s="108">
        <v>44778</v>
      </c>
      <c r="C1757" s="75">
        <v>58387.93</v>
      </c>
    </row>
    <row r="1758" spans="2:3">
      <c r="B1758" s="108">
        <v>44781</v>
      </c>
      <c r="C1758" s="75">
        <v>58853.07</v>
      </c>
    </row>
    <row r="1759" spans="2:3">
      <c r="B1759" s="108">
        <v>44783</v>
      </c>
      <c r="C1759" s="75">
        <v>58817.29</v>
      </c>
    </row>
    <row r="1760" spans="2:3">
      <c r="B1760" s="108">
        <v>44784</v>
      </c>
      <c r="C1760" s="75">
        <v>59332.6</v>
      </c>
    </row>
    <row r="1761" spans="2:3">
      <c r="B1761" s="108">
        <v>44785</v>
      </c>
      <c r="C1761" s="75">
        <v>59462.78</v>
      </c>
    </row>
    <row r="1762" spans="2:3">
      <c r="B1762" s="108">
        <v>44789</v>
      </c>
      <c r="C1762" s="75">
        <v>59842.21</v>
      </c>
    </row>
    <row r="1763" spans="2:3">
      <c r="B1763" s="108">
        <v>44790</v>
      </c>
      <c r="C1763" s="75">
        <v>60260.13</v>
      </c>
    </row>
    <row r="1764" spans="2:3">
      <c r="B1764" s="108">
        <v>44791</v>
      </c>
      <c r="C1764" s="75">
        <v>60298</v>
      </c>
    </row>
    <row r="1765" spans="2:3">
      <c r="B1765" s="108">
        <v>44792</v>
      </c>
      <c r="C1765" s="75">
        <v>59646.15</v>
      </c>
    </row>
    <row r="1766" spans="2:3">
      <c r="B1766" s="108">
        <v>44795</v>
      </c>
      <c r="C1766" s="75">
        <v>58773.87</v>
      </c>
    </row>
    <row r="1767" spans="2:3">
      <c r="B1767" s="108">
        <v>44796</v>
      </c>
      <c r="C1767" s="75">
        <v>59031.3</v>
      </c>
    </row>
    <row r="1768" spans="2:3">
      <c r="B1768" s="108">
        <v>44797</v>
      </c>
      <c r="C1768" s="75">
        <v>59085.43</v>
      </c>
    </row>
    <row r="1769" spans="2:3">
      <c r="B1769" s="108">
        <v>44798</v>
      </c>
      <c r="C1769" s="75">
        <v>58774.720000000001</v>
      </c>
    </row>
    <row r="1770" spans="2:3">
      <c r="B1770" s="108">
        <v>44799</v>
      </c>
      <c r="C1770" s="75">
        <v>58833.87</v>
      </c>
    </row>
    <row r="1771" spans="2:3">
      <c r="B1771" s="108">
        <v>44802</v>
      </c>
      <c r="C1771" s="75">
        <v>57972.62</v>
      </c>
    </row>
    <row r="1772" spans="2:3">
      <c r="B1772" s="108">
        <v>44803</v>
      </c>
      <c r="C1772" s="75">
        <v>59537.07</v>
      </c>
    </row>
    <row r="1773" spans="2:3">
      <c r="B1773" s="108">
        <v>44805</v>
      </c>
      <c r="C1773" s="75">
        <v>58766.59</v>
      </c>
    </row>
    <row r="1774" spans="2:3">
      <c r="B1774" s="108">
        <v>44806</v>
      </c>
      <c r="C1774" s="75">
        <v>58803.33</v>
      </c>
    </row>
    <row r="1775" spans="2:3">
      <c r="B1775" s="108">
        <v>44809</v>
      </c>
      <c r="C1775" s="75">
        <v>59245.98</v>
      </c>
    </row>
    <row r="1776" spans="2:3">
      <c r="B1776" s="108">
        <v>44810</v>
      </c>
      <c r="C1776" s="75">
        <v>59196.99</v>
      </c>
    </row>
    <row r="1777" spans="2:3">
      <c r="B1777" s="108">
        <v>44811</v>
      </c>
      <c r="C1777" s="75">
        <v>59028.91</v>
      </c>
    </row>
    <row r="1778" spans="2:3">
      <c r="B1778" s="108">
        <v>44812</v>
      </c>
      <c r="C1778" s="75">
        <v>59688.22</v>
      </c>
    </row>
    <row r="1779" spans="2:3">
      <c r="B1779" s="108">
        <v>44813</v>
      </c>
      <c r="C1779" s="75">
        <v>59793.14</v>
      </c>
    </row>
    <row r="1780" spans="2:3">
      <c r="B1780" s="108">
        <v>44816</v>
      </c>
      <c r="C1780" s="75">
        <v>60115.13</v>
      </c>
    </row>
    <row r="1781" spans="2:3">
      <c r="B1781" s="108">
        <v>44817</v>
      </c>
      <c r="C1781" s="75">
        <v>60571.08</v>
      </c>
    </row>
    <row r="1782" spans="2:3">
      <c r="B1782" s="108">
        <v>44818</v>
      </c>
      <c r="C1782" s="75">
        <v>60346.97</v>
      </c>
    </row>
    <row r="1783" spans="2:3">
      <c r="B1783" s="108">
        <v>44819</v>
      </c>
      <c r="C1783" s="75">
        <v>59934.01</v>
      </c>
    </row>
    <row r="1784" spans="2:3">
      <c r="B1784" s="108">
        <v>44820</v>
      </c>
      <c r="C1784" s="75">
        <v>58840.79</v>
      </c>
    </row>
    <row r="1785" spans="2:3">
      <c r="B1785" s="108">
        <v>44823</v>
      </c>
      <c r="C1785" s="75">
        <v>59141.23</v>
      </c>
    </row>
    <row r="1786" spans="2:3">
      <c r="B1786" s="108">
        <v>44824</v>
      </c>
      <c r="C1786" s="75">
        <v>59719.74</v>
      </c>
    </row>
    <row r="1787" spans="2:3">
      <c r="B1787" s="108">
        <v>44825</v>
      </c>
      <c r="C1787" s="75">
        <v>59456.78</v>
      </c>
    </row>
    <row r="1788" spans="2:3">
      <c r="B1788" s="108">
        <v>44826</v>
      </c>
      <c r="C1788" s="75">
        <v>59119.72</v>
      </c>
    </row>
    <row r="1789" spans="2:3">
      <c r="B1789" s="108">
        <v>44827</v>
      </c>
      <c r="C1789" s="75">
        <v>58098.92</v>
      </c>
    </row>
    <row r="1790" spans="2:3">
      <c r="B1790" s="108">
        <v>44830</v>
      </c>
      <c r="C1790" s="75">
        <v>57145.22</v>
      </c>
    </row>
    <row r="1791" spans="2:3">
      <c r="B1791" s="108">
        <v>44831</v>
      </c>
      <c r="C1791" s="75">
        <v>57107.519999999997</v>
      </c>
    </row>
    <row r="1792" spans="2:3">
      <c r="B1792" s="108">
        <v>44832</v>
      </c>
      <c r="C1792" s="75">
        <v>56598.28</v>
      </c>
    </row>
    <row r="1793" spans="2:3">
      <c r="B1793" s="108">
        <v>44833</v>
      </c>
      <c r="C1793" s="75">
        <v>56409.96</v>
      </c>
    </row>
    <row r="1794" spans="2:3">
      <c r="B1794" s="108">
        <v>44834</v>
      </c>
      <c r="C1794" s="75">
        <v>57426.92</v>
      </c>
    </row>
    <row r="1795" spans="2:3">
      <c r="B1795" s="108">
        <v>44837</v>
      </c>
      <c r="C1795" s="75">
        <v>56788.81</v>
      </c>
    </row>
    <row r="1796" spans="2:3">
      <c r="B1796" s="108">
        <v>44838</v>
      </c>
      <c r="C1796" s="75">
        <v>58065.47</v>
      </c>
    </row>
    <row r="1797" spans="2:3">
      <c r="B1797" s="108">
        <v>44840</v>
      </c>
      <c r="C1797" s="75">
        <v>58222.1</v>
      </c>
    </row>
    <row r="1798" spans="2:3">
      <c r="B1798" s="108">
        <v>44841</v>
      </c>
      <c r="C1798" s="75">
        <v>58191.29</v>
      </c>
    </row>
    <row r="1799" spans="2:3">
      <c r="B1799" s="108">
        <v>44844</v>
      </c>
      <c r="C1799" s="75">
        <v>57991.11</v>
      </c>
    </row>
    <row r="1800" spans="2:3">
      <c r="B1800" s="108">
        <v>44845</v>
      </c>
      <c r="C1800" s="75">
        <v>57147.32</v>
      </c>
    </row>
    <row r="1801" spans="2:3">
      <c r="B1801" s="108">
        <v>44846</v>
      </c>
      <c r="C1801" s="75">
        <v>57625.91</v>
      </c>
    </row>
    <row r="1802" spans="2:3">
      <c r="B1802" s="108">
        <v>44847</v>
      </c>
      <c r="C1802" s="75">
        <v>57235.33</v>
      </c>
    </row>
    <row r="1803" spans="2:3">
      <c r="B1803" s="108">
        <v>44848</v>
      </c>
      <c r="C1803" s="75">
        <v>57919.97</v>
      </c>
    </row>
    <row r="1804" spans="2:3">
      <c r="B1804" s="108">
        <v>44851</v>
      </c>
      <c r="C1804" s="75">
        <v>58410.98</v>
      </c>
    </row>
    <row r="1805" spans="2:3">
      <c r="B1805" s="108">
        <v>44852</v>
      </c>
      <c r="C1805" s="75">
        <v>58960.6</v>
      </c>
    </row>
    <row r="1806" spans="2:3">
      <c r="B1806" s="108">
        <v>44853</v>
      </c>
      <c r="C1806" s="75">
        <v>59107.19</v>
      </c>
    </row>
    <row r="1807" spans="2:3">
      <c r="B1807" s="108">
        <v>44854</v>
      </c>
      <c r="C1807" s="75">
        <v>59202.9</v>
      </c>
    </row>
    <row r="1808" spans="2:3">
      <c r="B1808" s="108">
        <v>44855</v>
      </c>
      <c r="C1808" s="75">
        <v>59307.15</v>
      </c>
    </row>
    <row r="1809" spans="2:3">
      <c r="B1809" s="108">
        <v>44858</v>
      </c>
      <c r="C1809" s="75">
        <v>59831.66</v>
      </c>
    </row>
    <row r="1810" spans="2:3">
      <c r="B1810" s="108">
        <v>44859</v>
      </c>
      <c r="C1810" s="75">
        <v>59543.96</v>
      </c>
    </row>
    <row r="1811" spans="2:3">
      <c r="B1811" s="108">
        <v>44861</v>
      </c>
      <c r="C1811" s="75">
        <v>59756.84</v>
      </c>
    </row>
    <row r="1812" spans="2:3">
      <c r="B1812" s="108">
        <v>44862</v>
      </c>
      <c r="C1812" s="75">
        <v>59959.85</v>
      </c>
    </row>
    <row r="1813" spans="2:3">
      <c r="B1813" s="108">
        <v>44865</v>
      </c>
      <c r="C1813" s="75">
        <v>60746.59</v>
      </c>
    </row>
    <row r="1814" spans="2:3">
      <c r="B1814" s="108">
        <v>44866</v>
      </c>
      <c r="C1814" s="75">
        <v>61121.35</v>
      </c>
    </row>
    <row r="1815" spans="2:3">
      <c r="B1815" s="108">
        <v>44867</v>
      </c>
      <c r="C1815" s="75">
        <v>60906.09</v>
      </c>
    </row>
    <row r="1816" spans="2:3">
      <c r="B1816" s="108">
        <v>44868</v>
      </c>
      <c r="C1816" s="75">
        <v>60836.41</v>
      </c>
    </row>
    <row r="1817" spans="2:3">
      <c r="B1817" s="108">
        <v>44869</v>
      </c>
      <c r="C1817" s="75">
        <v>60950.36</v>
      </c>
    </row>
    <row r="1818" spans="2:3">
      <c r="B1818" s="108">
        <v>44872</v>
      </c>
      <c r="C1818" s="75">
        <v>61185.15</v>
      </c>
    </row>
    <row r="1819" spans="2:3">
      <c r="B1819" s="108">
        <v>44874</v>
      </c>
      <c r="C1819" s="75">
        <v>61033.55</v>
      </c>
    </row>
    <row r="1820" spans="2:3">
      <c r="B1820" s="108">
        <v>44875</v>
      </c>
      <c r="C1820" s="75">
        <v>60613.7</v>
      </c>
    </row>
    <row r="1821" spans="2:3">
      <c r="B1821" s="108">
        <v>44876</v>
      </c>
      <c r="C1821" s="75">
        <v>61795.040000000001</v>
      </c>
    </row>
    <row r="1822" spans="2:3">
      <c r="B1822" s="108">
        <v>44879</v>
      </c>
      <c r="C1822" s="75">
        <v>61624.15</v>
      </c>
    </row>
    <row r="1823" spans="2:3">
      <c r="B1823" s="108">
        <v>44880</v>
      </c>
      <c r="C1823" s="75">
        <v>61872.99</v>
      </c>
    </row>
    <row r="1824" spans="2:3">
      <c r="B1824" s="108">
        <v>44881</v>
      </c>
      <c r="C1824" s="75">
        <v>61980.72</v>
      </c>
    </row>
    <row r="1825" spans="2:3">
      <c r="B1825" s="108">
        <v>44882</v>
      </c>
      <c r="C1825" s="75">
        <v>61750.6</v>
      </c>
    </row>
    <row r="1826" spans="2:3">
      <c r="B1826" s="108">
        <v>44883</v>
      </c>
      <c r="C1826" s="75">
        <v>61663.48</v>
      </c>
    </row>
    <row r="1827" spans="2:3">
      <c r="B1827" s="108">
        <v>44886</v>
      </c>
      <c r="C1827" s="75">
        <v>61144.84</v>
      </c>
    </row>
    <row r="1828" spans="2:3">
      <c r="B1828" s="108">
        <v>44887</v>
      </c>
      <c r="C1828" s="75">
        <v>61418.96</v>
      </c>
    </row>
    <row r="1829" spans="2:3">
      <c r="B1829" s="108">
        <v>44888</v>
      </c>
      <c r="C1829" s="75">
        <v>61510.58</v>
      </c>
    </row>
    <row r="1830" spans="2:3">
      <c r="B1830" s="108">
        <v>44889</v>
      </c>
      <c r="C1830" s="75">
        <v>62272.68</v>
      </c>
    </row>
    <row r="1831" spans="2:3">
      <c r="B1831" s="108">
        <v>44890</v>
      </c>
      <c r="C1831" s="75">
        <v>62293.64</v>
      </c>
    </row>
    <row r="1832" spans="2:3">
      <c r="B1832" s="108">
        <v>44893</v>
      </c>
      <c r="C1832" s="75">
        <v>62504.800000000003</v>
      </c>
    </row>
    <row r="1833" spans="2:3">
      <c r="B1833" s="108">
        <v>44894</v>
      </c>
      <c r="C1833" s="75">
        <v>62681.84</v>
      </c>
    </row>
    <row r="1834" spans="2:3">
      <c r="B1834" s="108">
        <v>44895</v>
      </c>
      <c r="C1834" s="75">
        <v>63099.65</v>
      </c>
    </row>
    <row r="1835" spans="2:3">
      <c r="B1835" s="108">
        <v>44896</v>
      </c>
      <c r="C1835" s="75">
        <v>63284.19</v>
      </c>
    </row>
    <row r="1836" spans="2:3">
      <c r="B1836" s="108">
        <v>44897</v>
      </c>
      <c r="C1836" s="75">
        <v>62868.5</v>
      </c>
    </row>
    <row r="1837" spans="2:3">
      <c r="B1837" s="108">
        <v>44900</v>
      </c>
      <c r="C1837" s="75">
        <v>62834.6</v>
      </c>
    </row>
    <row r="1838" spans="2:3">
      <c r="B1838" s="108">
        <v>44901</v>
      </c>
      <c r="C1838" s="75">
        <v>62626.36</v>
      </c>
    </row>
    <row r="1839" spans="2:3">
      <c r="B1839" s="108">
        <v>44902</v>
      </c>
      <c r="C1839" s="75">
        <v>62410.68</v>
      </c>
    </row>
    <row r="1840" spans="2:3">
      <c r="B1840" s="108">
        <v>44903</v>
      </c>
      <c r="C1840" s="75">
        <v>62570.68</v>
      </c>
    </row>
    <row r="1841" spans="2:3">
      <c r="B1841" s="108">
        <v>44904</v>
      </c>
      <c r="C1841" s="75">
        <v>62181.67</v>
      </c>
    </row>
    <row r="1842" spans="2:3">
      <c r="B1842" s="108">
        <v>44907</v>
      </c>
      <c r="C1842" s="75">
        <v>62130.57</v>
      </c>
    </row>
    <row r="1843" spans="2:3">
      <c r="B1843" s="108">
        <v>44908</v>
      </c>
      <c r="C1843" s="75">
        <v>62533.3</v>
      </c>
    </row>
    <row r="1844" spans="2:3">
      <c r="B1844" s="108">
        <v>44909</v>
      </c>
      <c r="C1844" s="75">
        <v>62677.91</v>
      </c>
    </row>
    <row r="1845" spans="2:3">
      <c r="B1845" s="108">
        <v>44910</v>
      </c>
      <c r="C1845" s="75">
        <v>61799.03</v>
      </c>
    </row>
    <row r="1846" spans="2:3">
      <c r="B1846" s="108">
        <v>44911</v>
      </c>
      <c r="C1846" s="75">
        <v>61337.81</v>
      </c>
    </row>
    <row r="1847" spans="2:3">
      <c r="B1847" s="108">
        <v>44914</v>
      </c>
      <c r="C1847" s="75">
        <v>61806.19</v>
      </c>
    </row>
    <row r="1848" spans="2:3">
      <c r="B1848" s="108">
        <v>44915</v>
      </c>
      <c r="C1848" s="75">
        <v>61702.29</v>
      </c>
    </row>
    <row r="1849" spans="2:3">
      <c r="B1849" s="108">
        <v>44916</v>
      </c>
      <c r="C1849" s="75">
        <v>61067.24</v>
      </c>
    </row>
    <row r="1850" spans="2:3">
      <c r="B1850" s="108">
        <v>44917</v>
      </c>
      <c r="C1850" s="75">
        <v>60826.22</v>
      </c>
    </row>
    <row r="1851" spans="2:3">
      <c r="B1851" s="108">
        <v>44918</v>
      </c>
      <c r="C1851" s="75">
        <v>59845.29</v>
      </c>
    </row>
    <row r="1852" spans="2:3">
      <c r="B1852" s="108">
        <v>44921</v>
      </c>
      <c r="C1852" s="75">
        <v>60566.42</v>
      </c>
    </row>
    <row r="1853" spans="2:3">
      <c r="B1853" s="108">
        <v>44922</v>
      </c>
      <c r="C1853" s="75">
        <v>60927.43</v>
      </c>
    </row>
    <row r="1854" spans="2:3">
      <c r="B1854" s="108">
        <v>44923</v>
      </c>
      <c r="C1854" s="75">
        <v>60910.28</v>
      </c>
    </row>
    <row r="1855" spans="2:3">
      <c r="B1855" s="108">
        <v>44924</v>
      </c>
      <c r="C1855" s="75">
        <v>61133.88</v>
      </c>
    </row>
    <row r="1856" spans="2:3">
      <c r="B1856" s="108">
        <v>44925</v>
      </c>
      <c r="C1856" s="75">
        <v>60840.74</v>
      </c>
    </row>
    <row r="1857" spans="2:3">
      <c r="B1857" s="108">
        <v>44928</v>
      </c>
      <c r="C1857" s="75">
        <v>61167.79</v>
      </c>
    </row>
    <row r="1858" spans="2:3">
      <c r="B1858" s="108">
        <v>44929</v>
      </c>
      <c r="C1858" s="75">
        <v>61294.2</v>
      </c>
    </row>
    <row r="1859" spans="2:3">
      <c r="B1859" s="108">
        <v>44930</v>
      </c>
      <c r="C1859" s="75">
        <v>60657.45</v>
      </c>
    </row>
    <row r="1860" spans="2:3">
      <c r="B1860" s="108">
        <v>44931</v>
      </c>
      <c r="C1860" s="75">
        <v>60353.27</v>
      </c>
    </row>
    <row r="1861" spans="2:3">
      <c r="B1861" s="108">
        <v>44932</v>
      </c>
      <c r="C1861" s="75">
        <v>59900.37</v>
      </c>
    </row>
    <row r="1862" spans="2:3">
      <c r="B1862" s="108">
        <v>44935</v>
      </c>
      <c r="C1862" s="75">
        <v>60747.31</v>
      </c>
    </row>
    <row r="1863" spans="2:3">
      <c r="B1863" s="108">
        <v>44936</v>
      </c>
      <c r="C1863" s="75">
        <v>60115.48</v>
      </c>
    </row>
    <row r="1864" spans="2:3">
      <c r="B1864" s="108">
        <v>44937</v>
      </c>
      <c r="C1864" s="75">
        <v>60105.5</v>
      </c>
    </row>
    <row r="1865" spans="2:3">
      <c r="B1865" s="108">
        <v>44938</v>
      </c>
      <c r="C1865" s="75">
        <v>59958.03</v>
      </c>
    </row>
    <row r="1866" spans="2:3">
      <c r="B1866" s="108">
        <v>44939</v>
      </c>
      <c r="C1866" s="75">
        <v>60261.18</v>
      </c>
    </row>
    <row r="1867" spans="2:3">
      <c r="B1867" s="108">
        <v>44942</v>
      </c>
      <c r="C1867" s="75">
        <v>60092.97</v>
      </c>
    </row>
    <row r="1868" spans="2:3">
      <c r="B1868" s="108">
        <v>44943</v>
      </c>
      <c r="C1868" s="75">
        <v>60655.72</v>
      </c>
    </row>
    <row r="1869" spans="2:3">
      <c r="B1869" s="108">
        <v>44944</v>
      </c>
      <c r="C1869" s="75">
        <v>61045.74</v>
      </c>
    </row>
    <row r="1870" spans="2:3">
      <c r="B1870" s="108">
        <v>44945</v>
      </c>
      <c r="C1870" s="75">
        <v>60858.43</v>
      </c>
    </row>
    <row r="1871" spans="2:3">
      <c r="B1871" s="108">
        <v>44946</v>
      </c>
      <c r="C1871" s="75">
        <v>60621.77</v>
      </c>
    </row>
    <row r="1872" spans="2:3">
      <c r="B1872" s="108">
        <v>44949</v>
      </c>
      <c r="C1872" s="75">
        <v>60941.67</v>
      </c>
    </row>
    <row r="1873" spans="2:3">
      <c r="B1873" s="108">
        <v>44950</v>
      </c>
      <c r="C1873" s="75">
        <v>60978.75</v>
      </c>
    </row>
    <row r="1874" spans="2:3">
      <c r="B1874" s="108">
        <v>44951</v>
      </c>
      <c r="C1874" s="75">
        <v>60205.06</v>
      </c>
    </row>
    <row r="1875" spans="2:3">
      <c r="B1875" s="108">
        <v>44953</v>
      </c>
      <c r="C1875" s="75">
        <v>59330.9</v>
      </c>
    </row>
    <row r="1876" spans="2:3">
      <c r="B1876" s="108">
        <v>44956</v>
      </c>
      <c r="C1876" s="75">
        <v>59500.41</v>
      </c>
    </row>
    <row r="1877" spans="2:3">
      <c r="B1877" s="108">
        <v>44957</v>
      </c>
      <c r="C1877" s="75">
        <v>59549.9</v>
      </c>
    </row>
    <row r="1878" spans="2:3">
      <c r="B1878" s="108">
        <v>44958</v>
      </c>
      <c r="C1878" s="75">
        <v>59708.08</v>
      </c>
    </row>
    <row r="1879" spans="2:3">
      <c r="B1879" s="108">
        <v>44959</v>
      </c>
      <c r="C1879" s="75">
        <v>59932.24</v>
      </c>
    </row>
    <row r="1880" spans="2:3">
      <c r="B1880" s="108">
        <v>44960</v>
      </c>
      <c r="C1880" s="75">
        <v>60841.88</v>
      </c>
    </row>
    <row r="1881" spans="2:3">
      <c r="B1881" s="108">
        <v>44963</v>
      </c>
      <c r="C1881" s="75">
        <v>60506.9</v>
      </c>
    </row>
    <row r="1882" spans="2:3">
      <c r="B1882" s="108">
        <v>44964</v>
      </c>
      <c r="C1882" s="75">
        <v>60286.04</v>
      </c>
    </row>
    <row r="1883" spans="2:3">
      <c r="B1883" s="108">
        <v>44965</v>
      </c>
      <c r="C1883" s="75">
        <v>60663.79</v>
      </c>
    </row>
    <row r="1884" spans="2:3">
      <c r="B1884" s="108">
        <v>44966</v>
      </c>
      <c r="C1884" s="75">
        <v>60806.22</v>
      </c>
    </row>
    <row r="1885" spans="2:3">
      <c r="B1885" s="108">
        <v>44967</v>
      </c>
      <c r="C1885" s="75">
        <v>60682.7</v>
      </c>
    </row>
    <row r="1886" spans="2:3">
      <c r="B1886" s="108">
        <v>44970</v>
      </c>
      <c r="C1886" s="75">
        <v>60431.839999999997</v>
      </c>
    </row>
    <row r="1887" spans="2:3">
      <c r="B1887" s="108">
        <v>44971</v>
      </c>
      <c r="C1887" s="75">
        <v>61032.26</v>
      </c>
    </row>
    <row r="1888" spans="2:3">
      <c r="B1888" s="108">
        <v>44972</v>
      </c>
      <c r="C1888" s="75">
        <v>61275.09</v>
      </c>
    </row>
    <row r="1889" spans="2:3">
      <c r="B1889" s="108">
        <v>44973</v>
      </c>
      <c r="C1889" s="75">
        <v>61319.51</v>
      </c>
    </row>
    <row r="1890" spans="2:3">
      <c r="B1890" s="108">
        <v>44974</v>
      </c>
      <c r="C1890" s="75">
        <v>61002.57</v>
      </c>
    </row>
    <row r="1891" spans="2:3">
      <c r="B1891" s="108">
        <v>44977</v>
      </c>
      <c r="C1891" s="75">
        <v>60691.54</v>
      </c>
    </row>
    <row r="1892" spans="2:3">
      <c r="B1892" s="108">
        <v>44978</v>
      </c>
      <c r="C1892" s="75">
        <v>60672.72</v>
      </c>
    </row>
    <row r="1893" spans="2:3">
      <c r="B1893" s="108">
        <v>44979</v>
      </c>
      <c r="C1893" s="75">
        <v>59744.98</v>
      </c>
    </row>
    <row r="1894" spans="2:3">
      <c r="B1894" s="108">
        <v>44980</v>
      </c>
      <c r="C1894" s="75">
        <v>59605.8</v>
      </c>
    </row>
    <row r="1895" spans="2:3">
      <c r="B1895" s="108">
        <v>44981</v>
      </c>
      <c r="C1895" s="75">
        <v>59463.93</v>
      </c>
    </row>
    <row r="1896" spans="2:3">
      <c r="B1896" s="108">
        <v>44984</v>
      </c>
      <c r="C1896" s="75">
        <v>59288.35</v>
      </c>
    </row>
    <row r="1897" spans="2:3">
      <c r="B1897" s="108">
        <v>44985</v>
      </c>
      <c r="C1897" s="75">
        <v>58962.12</v>
      </c>
    </row>
    <row r="1898" spans="2:3">
      <c r="B1898" s="108">
        <v>44986</v>
      </c>
      <c r="C1898" s="75">
        <v>59411.08</v>
      </c>
    </row>
    <row r="1899" spans="2:3">
      <c r="B1899" s="108">
        <v>44987</v>
      </c>
      <c r="C1899" s="75">
        <v>58909.35</v>
      </c>
    </row>
    <row r="1900" spans="2:3">
      <c r="B1900" s="108">
        <v>44988</v>
      </c>
      <c r="C1900" s="75">
        <v>59808.97</v>
      </c>
    </row>
    <row r="1901" spans="2:3">
      <c r="B1901" s="108">
        <v>44991</v>
      </c>
      <c r="C1901" s="75">
        <v>60224.46</v>
      </c>
    </row>
    <row r="1902" spans="2:3">
      <c r="B1902" s="108">
        <v>44993</v>
      </c>
      <c r="C1902" s="75">
        <v>60348.09</v>
      </c>
    </row>
    <row r="1903" spans="2:3">
      <c r="B1903" s="108">
        <v>44994</v>
      </c>
      <c r="C1903" s="75">
        <v>59806.28</v>
      </c>
    </row>
    <row r="1904" spans="2:3">
      <c r="B1904" s="108">
        <v>44995</v>
      </c>
      <c r="C1904" s="75">
        <v>59135.13</v>
      </c>
    </row>
    <row r="1905" spans="2:3">
      <c r="B1905" s="108">
        <v>44998</v>
      </c>
      <c r="C1905" s="75">
        <v>58237.85</v>
      </c>
    </row>
    <row r="1906" spans="2:3">
      <c r="B1906" s="108">
        <v>44999</v>
      </c>
      <c r="C1906" s="75">
        <v>57900.19</v>
      </c>
    </row>
    <row r="1907" spans="2:3">
      <c r="B1907" s="108">
        <v>45000</v>
      </c>
      <c r="C1907" s="75">
        <v>57555.9</v>
      </c>
    </row>
    <row r="1908" spans="2:3">
      <c r="B1908" s="108">
        <v>45001</v>
      </c>
      <c r="C1908" s="75">
        <v>57634.84</v>
      </c>
    </row>
    <row r="1909" spans="2:3">
      <c r="B1909" s="108">
        <v>45002</v>
      </c>
      <c r="C1909" s="75">
        <v>57989.9</v>
      </c>
    </row>
    <row r="1910" spans="2:3">
      <c r="B1910" s="108">
        <v>45005</v>
      </c>
      <c r="C1910" s="75">
        <v>57628.95</v>
      </c>
    </row>
    <row r="1911" spans="2:3">
      <c r="B1911" s="108">
        <v>45006</v>
      </c>
      <c r="C1911" s="75">
        <v>58074.68</v>
      </c>
    </row>
    <row r="1912" spans="2:3">
      <c r="B1912" s="108">
        <v>45007</v>
      </c>
      <c r="C1912" s="75">
        <v>58214.59</v>
      </c>
    </row>
    <row r="1913" spans="2:3">
      <c r="B1913" s="108">
        <v>45008</v>
      </c>
      <c r="C1913" s="75">
        <v>57925.279999999999</v>
      </c>
    </row>
    <row r="1914" spans="2:3">
      <c r="B1914" s="108">
        <v>45009</v>
      </c>
      <c r="C1914" s="75">
        <v>57527.1</v>
      </c>
    </row>
    <row r="1915" spans="2:3">
      <c r="B1915" s="108">
        <v>45012</v>
      </c>
      <c r="C1915" s="75">
        <v>57653.86</v>
      </c>
    </row>
    <row r="1916" spans="2:3">
      <c r="B1916" s="108">
        <v>45013</v>
      </c>
      <c r="C1916" s="75">
        <v>57613.72</v>
      </c>
    </row>
    <row r="1917" spans="2:3">
      <c r="B1917" s="108">
        <v>45014</v>
      </c>
      <c r="C1917" s="75">
        <v>57960.09</v>
      </c>
    </row>
    <row r="1918" spans="2:3">
      <c r="B1918" s="108">
        <v>45016</v>
      </c>
      <c r="C1918" s="75">
        <v>58991.519999999997</v>
      </c>
    </row>
    <row r="1919" spans="2:3">
      <c r="B1919" s="108">
        <v>45019</v>
      </c>
      <c r="C1919" s="75">
        <v>59106.44</v>
      </c>
    </row>
    <row r="1920" spans="2:3">
      <c r="B1920" s="108">
        <v>45021</v>
      </c>
      <c r="C1920" s="75">
        <v>59689.31</v>
      </c>
    </row>
    <row r="1921" spans="2:3">
      <c r="B1921" s="108">
        <v>45022</v>
      </c>
      <c r="C1921" s="75">
        <v>59832.97</v>
      </c>
    </row>
    <row r="1922" spans="2:3">
      <c r="B1922" s="108">
        <v>45026</v>
      </c>
      <c r="C1922" s="75">
        <v>59846.51</v>
      </c>
    </row>
    <row r="1923" spans="2:3">
      <c r="B1923" s="108">
        <v>45027</v>
      </c>
      <c r="C1923" s="75">
        <v>60157.72</v>
      </c>
    </row>
    <row r="1924" spans="2:3">
      <c r="B1924" s="108">
        <v>45028</v>
      </c>
      <c r="C1924" s="75">
        <v>60392.77</v>
      </c>
    </row>
    <row r="1925" spans="2:3">
      <c r="B1925" s="108">
        <v>45029</v>
      </c>
      <c r="C1925" s="75">
        <v>60431</v>
      </c>
    </row>
    <row r="1926" spans="2:3">
      <c r="B1926" s="108">
        <v>45033</v>
      </c>
      <c r="C1926" s="75">
        <v>59910.75</v>
      </c>
    </row>
    <row r="1927" spans="2:3">
      <c r="B1927" s="108">
        <v>45034</v>
      </c>
      <c r="C1927" s="75">
        <v>59727.01</v>
      </c>
    </row>
    <row r="1928" spans="2:3">
      <c r="B1928" s="108">
        <v>45035</v>
      </c>
      <c r="C1928" s="75">
        <v>59567.8</v>
      </c>
    </row>
    <row r="1929" spans="2:3">
      <c r="B1929" s="108">
        <v>45036</v>
      </c>
      <c r="C1929" s="75">
        <v>59632.35</v>
      </c>
    </row>
    <row r="1930" spans="2:3">
      <c r="B1930" s="108">
        <v>45037</v>
      </c>
      <c r="C1930" s="75">
        <v>59655.06</v>
      </c>
    </row>
    <row r="1931" spans="2:3">
      <c r="B1931" s="108">
        <v>45040</v>
      </c>
      <c r="C1931" s="75">
        <v>60056.1</v>
      </c>
    </row>
    <row r="1932" spans="2:3">
      <c r="B1932" s="108">
        <v>45041</v>
      </c>
      <c r="C1932" s="75">
        <v>60130.71</v>
      </c>
    </row>
    <row r="1933" spans="2:3">
      <c r="B1933" s="108">
        <v>45042</v>
      </c>
      <c r="C1933" s="75">
        <v>60300.58</v>
      </c>
    </row>
    <row r="1934" spans="2:3">
      <c r="B1934" s="108">
        <v>45043</v>
      </c>
      <c r="C1934" s="75">
        <v>60649.38</v>
      </c>
    </row>
    <row r="1935" spans="2:3">
      <c r="B1935" s="108">
        <v>45044</v>
      </c>
      <c r="C1935" s="75">
        <v>61112.44</v>
      </c>
    </row>
    <row r="1936" spans="2:3">
      <c r="B1936" s="108">
        <v>45048</v>
      </c>
      <c r="C1936" s="75">
        <v>61354.71</v>
      </c>
    </row>
    <row r="1937" spans="2:3">
      <c r="B1937" s="108">
        <v>45049</v>
      </c>
      <c r="C1937" s="75">
        <v>61193.3</v>
      </c>
    </row>
    <row r="1938" spans="2:3">
      <c r="B1938" s="108">
        <v>45050</v>
      </c>
      <c r="C1938" s="75">
        <v>61749.25</v>
      </c>
    </row>
    <row r="1939" spans="2:3">
      <c r="B1939" s="108">
        <v>45051</v>
      </c>
      <c r="C1939" s="75">
        <v>61054.29</v>
      </c>
    </row>
    <row r="1940" spans="2:3">
      <c r="B1940" s="108">
        <v>45054</v>
      </c>
      <c r="C1940" s="75">
        <v>61764.25</v>
      </c>
    </row>
    <row r="1941" spans="2:3">
      <c r="B1941" s="108">
        <v>45055</v>
      </c>
      <c r="C1941" s="75">
        <v>61761.33</v>
      </c>
    </row>
    <row r="1942" spans="2:3">
      <c r="B1942" s="108">
        <v>45056</v>
      </c>
      <c r="C1942" s="75">
        <v>61940.2</v>
      </c>
    </row>
    <row r="1943" spans="2:3">
      <c r="B1943" s="108">
        <v>45057</v>
      </c>
      <c r="C1943" s="75">
        <v>61904.52</v>
      </c>
    </row>
    <row r="1944" spans="2:3">
      <c r="B1944" s="108">
        <v>45058</v>
      </c>
      <c r="C1944" s="75">
        <v>62027.9</v>
      </c>
    </row>
    <row r="1945" spans="2:3">
      <c r="B1945" s="108">
        <v>45061</v>
      </c>
      <c r="C1945" s="75">
        <v>62345.71</v>
      </c>
    </row>
    <row r="1946" spans="2:3">
      <c r="B1946" s="108">
        <v>45062</v>
      </c>
      <c r="C1946" s="75">
        <v>61932.47</v>
      </c>
    </row>
    <row r="1947" spans="2:3">
      <c r="B1947" s="108">
        <v>45063</v>
      </c>
      <c r="C1947" s="75">
        <v>61560.639999999999</v>
      </c>
    </row>
    <row r="1948" spans="2:3">
      <c r="B1948" s="108">
        <v>45064</v>
      </c>
      <c r="C1948" s="75">
        <v>61431.74</v>
      </c>
    </row>
    <row r="1949" spans="2:3">
      <c r="B1949" s="108">
        <v>45065</v>
      </c>
      <c r="C1949" s="75">
        <v>61729.68</v>
      </c>
    </row>
    <row r="1950" spans="2:3">
      <c r="B1950" s="108">
        <v>45068</v>
      </c>
      <c r="C1950" s="75">
        <v>61963.68</v>
      </c>
    </row>
    <row r="1951" spans="2:3">
      <c r="B1951" s="108">
        <v>45069</v>
      </c>
      <c r="C1951" s="75">
        <v>61981.79</v>
      </c>
    </row>
    <row r="1952" spans="2:3">
      <c r="B1952" s="108">
        <v>45070</v>
      </c>
      <c r="C1952" s="75">
        <v>61773.78</v>
      </c>
    </row>
    <row r="1953" spans="2:3">
      <c r="B1953" s="108">
        <v>45071</v>
      </c>
      <c r="C1953" s="75">
        <v>61872.62</v>
      </c>
    </row>
    <row r="1954" spans="2:3">
      <c r="B1954" s="108">
        <v>45072</v>
      </c>
      <c r="C1954" s="75">
        <v>62501.69</v>
      </c>
    </row>
    <row r="1955" spans="2:3">
      <c r="B1955" s="108">
        <v>45075</v>
      </c>
      <c r="C1955" s="75">
        <v>62846.38</v>
      </c>
    </row>
    <row r="1956" spans="2:3">
      <c r="B1956" s="108">
        <v>45076</v>
      </c>
      <c r="C1956" s="75">
        <v>62969.13</v>
      </c>
    </row>
    <row r="1957" spans="2:3">
      <c r="B1957" s="108">
        <v>45077</v>
      </c>
      <c r="C1957" s="75">
        <v>62622.239999999998</v>
      </c>
    </row>
    <row r="1958" spans="2:3">
      <c r="B1958" s="108">
        <v>45078</v>
      </c>
      <c r="C1958" s="75">
        <v>62428.54</v>
      </c>
    </row>
    <row r="1959" spans="2:3">
      <c r="B1959" s="108">
        <v>45079</v>
      </c>
      <c r="C1959" s="75">
        <v>62547.11</v>
      </c>
    </row>
    <row r="1960" spans="2:3">
      <c r="B1960" s="108">
        <v>45082</v>
      </c>
      <c r="C1960" s="75">
        <v>62787.47</v>
      </c>
    </row>
    <row r="1961" spans="2:3">
      <c r="B1961" s="108">
        <v>45083</v>
      </c>
      <c r="C1961" s="75">
        <v>62792.88</v>
      </c>
    </row>
    <row r="1962" spans="2:3">
      <c r="B1962" s="108">
        <v>45084</v>
      </c>
      <c r="C1962" s="75">
        <v>63142.96</v>
      </c>
    </row>
    <row r="1963" spans="2:3">
      <c r="B1963" s="108">
        <v>45085</v>
      </c>
      <c r="C1963" s="75">
        <v>62848.639999999999</v>
      </c>
    </row>
    <row r="1964" spans="2:3">
      <c r="B1964" s="108">
        <v>45086</v>
      </c>
      <c r="C1964" s="75">
        <v>62625.63</v>
      </c>
    </row>
    <row r="1965" spans="2:3">
      <c r="B1965" s="108">
        <v>45089</v>
      </c>
      <c r="C1965" s="75">
        <v>62724.71</v>
      </c>
    </row>
    <row r="1966" spans="2:3">
      <c r="B1966" s="108">
        <v>45090</v>
      </c>
      <c r="C1966" s="75">
        <v>63143.16</v>
      </c>
    </row>
    <row r="1967" spans="2:3">
      <c r="B1967" s="108">
        <v>45091</v>
      </c>
      <c r="C1967" s="75">
        <v>63228.51</v>
      </c>
    </row>
    <row r="1968" spans="2:3">
      <c r="B1968" s="108">
        <v>45092</v>
      </c>
      <c r="C1968" s="75">
        <v>62917.63</v>
      </c>
    </row>
    <row r="1969" spans="2:3">
      <c r="B1969" s="108">
        <v>45093</v>
      </c>
      <c r="C1969" s="75">
        <v>63384.58</v>
      </c>
    </row>
    <row r="1970" spans="2:3">
      <c r="B1970" s="108">
        <v>45096</v>
      </c>
      <c r="C1970" s="75">
        <v>63168.3</v>
      </c>
    </row>
    <row r="1971" spans="2:3">
      <c r="B1971" s="108">
        <v>45097</v>
      </c>
      <c r="C1971" s="75">
        <v>63327.7</v>
      </c>
    </row>
    <row r="1972" spans="2:3">
      <c r="B1972" s="108">
        <v>45098</v>
      </c>
      <c r="C1972" s="75">
        <v>63523.15</v>
      </c>
    </row>
    <row r="1973" spans="2:3">
      <c r="B1973" s="108">
        <v>45099</v>
      </c>
      <c r="C1973" s="75">
        <v>63238.89</v>
      </c>
    </row>
    <row r="1974" spans="2:3">
      <c r="B1974" s="108">
        <v>45100</v>
      </c>
      <c r="C1974" s="75">
        <v>62979.37</v>
      </c>
    </row>
    <row r="1975" spans="2:3">
      <c r="B1975" s="108">
        <v>45103</v>
      </c>
      <c r="C1975" s="75">
        <v>62970</v>
      </c>
    </row>
    <row r="1976" spans="2:3">
      <c r="B1976" s="108">
        <v>45104</v>
      </c>
      <c r="C1976" s="75">
        <v>63416.03</v>
      </c>
    </row>
    <row r="1977" spans="2:3">
      <c r="B1977" s="108">
        <v>45105</v>
      </c>
      <c r="C1977" s="75">
        <v>63915.42</v>
      </c>
    </row>
    <row r="1978" spans="2:3">
      <c r="B1978" s="108">
        <v>45107</v>
      </c>
      <c r="C1978" s="75">
        <v>64718.559999999998</v>
      </c>
    </row>
    <row r="1979" spans="2:3">
      <c r="B1979" s="108">
        <v>45110</v>
      </c>
      <c r="C1979" s="75">
        <v>65205.05</v>
      </c>
    </row>
    <row r="1980" spans="2:3">
      <c r="B1980" s="108">
        <v>45111</v>
      </c>
      <c r="C1980" s="75">
        <v>65479.05</v>
      </c>
    </row>
    <row r="1981" spans="2:3">
      <c r="B1981" s="108">
        <v>45112</v>
      </c>
      <c r="C1981" s="75">
        <v>65446.04</v>
      </c>
    </row>
    <row r="1982" spans="2:3">
      <c r="B1982" s="108">
        <v>45113</v>
      </c>
      <c r="C1982" s="75">
        <v>65785.64</v>
      </c>
    </row>
    <row r="1983" spans="2:3">
      <c r="B1983" s="108">
        <v>45114</v>
      </c>
      <c r="C1983" s="75">
        <v>65280.45</v>
      </c>
    </row>
    <row r="1984" spans="2:3">
      <c r="B1984" s="108">
        <v>45117</v>
      </c>
      <c r="C1984" s="75">
        <v>65344.17</v>
      </c>
    </row>
    <row r="1985" spans="2:3">
      <c r="B1985" s="108">
        <v>45118</v>
      </c>
      <c r="C1985" s="75">
        <v>65617.84</v>
      </c>
    </row>
    <row r="1986" spans="2:3">
      <c r="B1986" s="108">
        <v>45119</v>
      </c>
      <c r="C1986" s="75">
        <v>65393.9</v>
      </c>
    </row>
    <row r="1987" spans="2:3">
      <c r="B1987" s="108">
        <v>45120</v>
      </c>
      <c r="C1987" s="75">
        <v>65558.89</v>
      </c>
    </row>
    <row r="1988" spans="2:3">
      <c r="B1988" s="108">
        <v>45121</v>
      </c>
      <c r="C1988" s="75">
        <v>66060.899999999994</v>
      </c>
    </row>
    <row r="1989" spans="2:3">
      <c r="B1989" s="108">
        <v>45124</v>
      </c>
      <c r="C1989" s="75">
        <v>66589.929999999993</v>
      </c>
    </row>
    <row r="1990" spans="2:3">
      <c r="B1990" s="108">
        <v>45125</v>
      </c>
      <c r="C1990" s="75">
        <v>66795.14</v>
      </c>
    </row>
    <row r="1991" spans="2:3">
      <c r="B1991" s="108">
        <v>45126</v>
      </c>
      <c r="C1991" s="75">
        <v>67097.440000000002</v>
      </c>
    </row>
    <row r="1992" spans="2:3">
      <c r="B1992" s="108">
        <v>45127</v>
      </c>
      <c r="C1992" s="75">
        <v>67571.899999999994</v>
      </c>
    </row>
    <row r="1993" spans="2:3">
      <c r="B1993" s="108">
        <v>45128</v>
      </c>
      <c r="C1993" s="75">
        <v>66684.259999999995</v>
      </c>
    </row>
    <row r="1994" spans="2:3">
      <c r="B1994" s="108">
        <v>45131</v>
      </c>
      <c r="C1994" s="75">
        <v>66384.78</v>
      </c>
    </row>
    <row r="1995" spans="2:3">
      <c r="B1995" s="108">
        <v>45132</v>
      </c>
      <c r="C1995" s="75">
        <v>66355.710000000006</v>
      </c>
    </row>
    <row r="1996" spans="2:3">
      <c r="B1996" s="108">
        <v>45133</v>
      </c>
      <c r="C1996" s="75">
        <v>66707.199999999997</v>
      </c>
    </row>
    <row r="1997" spans="2:3">
      <c r="B1997" s="108">
        <v>45134</v>
      </c>
      <c r="C1997" s="75">
        <v>66266.820000000007</v>
      </c>
    </row>
    <row r="1998" spans="2:3">
      <c r="B1998" s="108">
        <v>45135</v>
      </c>
      <c r="C1998" s="75">
        <v>66160.2</v>
      </c>
    </row>
    <row r="1999" spans="2:3">
      <c r="B1999" s="108">
        <v>45138</v>
      </c>
      <c r="C1999" s="75">
        <v>66527.67</v>
      </c>
    </row>
    <row r="2000" spans="2:3">
      <c r="B2000" s="108">
        <v>45139</v>
      </c>
      <c r="C2000" s="75">
        <v>66459.31</v>
      </c>
    </row>
    <row r="2001" spans="2:3">
      <c r="B2001" s="108">
        <v>45140</v>
      </c>
      <c r="C2001" s="75">
        <v>65782.78</v>
      </c>
    </row>
    <row r="2002" spans="2:3">
      <c r="B2002" s="108">
        <v>45141</v>
      </c>
      <c r="C2002" s="75">
        <v>65240.68</v>
      </c>
    </row>
    <row r="2003" spans="2:3">
      <c r="B2003" s="108">
        <v>45142</v>
      </c>
      <c r="C2003" s="75">
        <v>65721.25</v>
      </c>
    </row>
    <row r="2004" spans="2:3">
      <c r="B2004" s="108">
        <v>45145</v>
      </c>
      <c r="C2004" s="75">
        <v>65953.48</v>
      </c>
    </row>
    <row r="2005" spans="2:3">
      <c r="B2005" s="108">
        <v>45146</v>
      </c>
      <c r="C2005" s="75">
        <v>65846.5</v>
      </c>
    </row>
    <row r="2006" spans="2:3">
      <c r="B2006" s="108">
        <v>45147</v>
      </c>
      <c r="C2006" s="75">
        <v>65995.81</v>
      </c>
    </row>
    <row r="2007" spans="2:3">
      <c r="B2007" s="108">
        <v>45148</v>
      </c>
      <c r="C2007" s="75">
        <v>65688.179999999993</v>
      </c>
    </row>
    <row r="2008" spans="2:3">
      <c r="B2008" s="108">
        <v>45149</v>
      </c>
      <c r="C2008" s="75">
        <v>65322.65</v>
      </c>
    </row>
    <row r="2009" spans="2:3">
      <c r="B2009" s="108">
        <v>45152</v>
      </c>
      <c r="C2009" s="75">
        <v>65401.919999999998</v>
      </c>
    </row>
    <row r="2010" spans="2:3">
      <c r="B2010" s="108">
        <v>45154</v>
      </c>
      <c r="C2010" s="75">
        <v>65539.42</v>
      </c>
    </row>
    <row r="2011" spans="2:3">
      <c r="B2011" s="108">
        <v>45155</v>
      </c>
      <c r="C2011" s="75">
        <v>65151.02</v>
      </c>
    </row>
    <row r="2012" spans="2:3">
      <c r="B2012" s="108">
        <v>45156</v>
      </c>
      <c r="C2012" s="75">
        <v>64948.66</v>
      </c>
    </row>
    <row r="2013" spans="2:3">
      <c r="B2013" s="108">
        <v>45159</v>
      </c>
      <c r="C2013" s="75">
        <v>65216.09</v>
      </c>
    </row>
    <row r="2014" spans="2:3">
      <c r="B2014" s="108">
        <v>45160</v>
      </c>
      <c r="C2014" s="75">
        <v>65220.03</v>
      </c>
    </row>
    <row r="2015" spans="2:3">
      <c r="B2015" s="108">
        <v>45161</v>
      </c>
      <c r="C2015" s="75">
        <v>65433.3</v>
      </c>
    </row>
    <row r="2016" spans="2:3">
      <c r="B2016" s="108">
        <v>45162</v>
      </c>
      <c r="C2016" s="75">
        <v>65252.34</v>
      </c>
    </row>
    <row r="2017" spans="2:3">
      <c r="B2017" s="108">
        <v>45163</v>
      </c>
      <c r="C2017" s="75">
        <v>64886.51</v>
      </c>
    </row>
    <row r="2018" spans="2:3">
      <c r="B2018" s="108">
        <v>45166</v>
      </c>
      <c r="C2018" s="75">
        <v>64996.6</v>
      </c>
    </row>
    <row r="2019" spans="2:3">
      <c r="B2019" s="108">
        <v>45167</v>
      </c>
      <c r="C2019" s="75">
        <v>65075.82</v>
      </c>
    </row>
    <row r="2020" spans="2:3">
      <c r="B2020" s="108">
        <v>45168</v>
      </c>
      <c r="C2020" s="75">
        <v>65087.25</v>
      </c>
    </row>
    <row r="2021" spans="2:3">
      <c r="B2021" s="108">
        <v>45169</v>
      </c>
      <c r="C2021" s="75">
        <v>64831.41</v>
      </c>
    </row>
    <row r="2022" spans="2:3">
      <c r="B2022" s="108">
        <v>45170</v>
      </c>
      <c r="C2022" s="75">
        <v>65387.16</v>
      </c>
    </row>
    <row r="2023" spans="2:3">
      <c r="B2023" s="108">
        <v>45173</v>
      </c>
      <c r="C2023" s="75">
        <v>65628.14</v>
      </c>
    </row>
    <row r="2024" spans="2:3">
      <c r="B2024" s="108">
        <v>45174</v>
      </c>
      <c r="C2024" s="75">
        <v>65780.259999999995</v>
      </c>
    </row>
    <row r="2025" spans="2:3">
      <c r="B2025" s="108">
        <v>45175</v>
      </c>
      <c r="C2025" s="75">
        <v>65880.52</v>
      </c>
    </row>
    <row r="2026" spans="2:3">
      <c r="B2026" s="108">
        <v>45176</v>
      </c>
      <c r="C2026" s="75">
        <v>66265.56</v>
      </c>
    </row>
    <row r="2027" spans="2:3">
      <c r="B2027" s="108">
        <v>45177</v>
      </c>
      <c r="C2027" s="75">
        <v>66598.91</v>
      </c>
    </row>
    <row r="2028" spans="2:3">
      <c r="B2028" s="108">
        <v>45180</v>
      </c>
      <c r="C2028" s="75">
        <v>67127.08</v>
      </c>
    </row>
    <row r="2029" spans="2:3">
      <c r="B2029" s="108">
        <v>45181</v>
      </c>
      <c r="C2029" s="75">
        <v>67221.13</v>
      </c>
    </row>
    <row r="2030" spans="2:3">
      <c r="B2030" s="108">
        <v>45182</v>
      </c>
      <c r="C2030" s="75">
        <v>67466.990000000005</v>
      </c>
    </row>
    <row r="2031" spans="2:3">
      <c r="B2031" s="108">
        <v>45183</v>
      </c>
      <c r="C2031" s="75">
        <v>67519</v>
      </c>
    </row>
    <row r="2032" spans="2:3">
      <c r="B2032" s="108">
        <v>45184</v>
      </c>
      <c r="C2032" s="75">
        <v>67838.63</v>
      </c>
    </row>
    <row r="2033" spans="2:3">
      <c r="B2033" s="108">
        <v>45187</v>
      </c>
      <c r="C2033" s="75">
        <v>67596.84</v>
      </c>
    </row>
    <row r="2034" spans="2:3">
      <c r="B2034" s="108">
        <v>45189</v>
      </c>
      <c r="C2034" s="75">
        <v>66800.84</v>
      </c>
    </row>
    <row r="2035" spans="2:3">
      <c r="B2035" s="108">
        <v>45190</v>
      </c>
      <c r="C2035" s="75">
        <v>66230.240000000005</v>
      </c>
    </row>
    <row r="2036" spans="2:3">
      <c r="B2036" s="108">
        <v>45191</v>
      </c>
      <c r="C2036" s="75">
        <v>66009.149999999994</v>
      </c>
    </row>
    <row r="2037" spans="2:3">
      <c r="B2037" s="108">
        <v>45194</v>
      </c>
      <c r="C2037" s="75">
        <v>66023.69</v>
      </c>
    </row>
    <row r="2038" spans="2:3">
      <c r="B2038" s="108">
        <v>45195</v>
      </c>
      <c r="C2038" s="75">
        <v>65945.47</v>
      </c>
    </row>
    <row r="2039" spans="2:3">
      <c r="B2039" s="108">
        <v>45196</v>
      </c>
      <c r="C2039" s="75">
        <v>66118.69</v>
      </c>
    </row>
    <row r="2040" spans="2:3">
      <c r="B2040" s="108">
        <v>45197</v>
      </c>
      <c r="C2040" s="75">
        <v>65508.32</v>
      </c>
    </row>
    <row r="2041" spans="2:3">
      <c r="B2041" s="108">
        <v>45198</v>
      </c>
      <c r="C2041" s="75">
        <v>65828.41</v>
      </c>
    </row>
    <row r="2042" spans="2:3">
      <c r="B2042" s="108">
        <v>45202</v>
      </c>
      <c r="C2042" s="75">
        <v>65512.1</v>
      </c>
    </row>
    <row r="2043" spans="2:3">
      <c r="B2043" s="108">
        <v>45203</v>
      </c>
      <c r="C2043" s="75">
        <v>65226.04</v>
      </c>
    </row>
    <row r="2044" spans="2:3">
      <c r="B2044" s="108">
        <v>45204</v>
      </c>
      <c r="C2044" s="75">
        <v>65631.570000000007</v>
      </c>
    </row>
    <row r="2045" spans="2:3">
      <c r="B2045" s="108">
        <v>45205</v>
      </c>
      <c r="C2045" s="75">
        <v>65995.63</v>
      </c>
    </row>
    <row r="2046" spans="2:3">
      <c r="B2046" s="108">
        <v>45208</v>
      </c>
      <c r="C2046" s="75">
        <v>65512.39</v>
      </c>
    </row>
    <row r="2047" spans="2:3">
      <c r="B2047" s="108">
        <v>45209</v>
      </c>
      <c r="C2047" s="75">
        <v>66079.360000000001</v>
      </c>
    </row>
    <row r="2048" spans="2:3">
      <c r="B2048" s="108">
        <v>45210</v>
      </c>
      <c r="C2048" s="75">
        <v>66473.05</v>
      </c>
    </row>
    <row r="2049" spans="2:3">
      <c r="B2049" s="108">
        <v>45211</v>
      </c>
      <c r="C2049" s="75">
        <v>66408.39</v>
      </c>
    </row>
    <row r="2050" spans="2:3">
      <c r="B2050" s="108">
        <v>45212</v>
      </c>
      <c r="C2050" s="75">
        <v>66282.740000000005</v>
      </c>
    </row>
    <row r="2051" spans="2:3">
      <c r="B2051" s="108">
        <v>45215</v>
      </c>
      <c r="C2051" s="75">
        <v>66166.929999999993</v>
      </c>
    </row>
    <row r="2052" spans="2:3">
      <c r="B2052" s="108">
        <v>45216</v>
      </c>
      <c r="C2052" s="75">
        <v>66428.09</v>
      </c>
    </row>
    <row r="2053" spans="2:3">
      <c r="B2053" s="108">
        <v>45217</v>
      </c>
      <c r="C2053" s="75">
        <v>65877.02</v>
      </c>
    </row>
    <row r="2054" spans="2:3">
      <c r="B2054" s="108">
        <v>45218</v>
      </c>
      <c r="C2054" s="75">
        <v>65629.240000000005</v>
      </c>
    </row>
    <row r="2055" spans="2:3">
      <c r="B2055" s="108">
        <v>45219</v>
      </c>
      <c r="C2055" s="75">
        <v>65397.62</v>
      </c>
    </row>
    <row r="2056" spans="2:3">
      <c r="B2056" s="108">
        <v>45222</v>
      </c>
      <c r="C2056" s="75">
        <v>64571.88</v>
      </c>
    </row>
    <row r="2057" spans="2:3">
      <c r="B2057" s="108">
        <v>45224</v>
      </c>
      <c r="C2057" s="75">
        <v>64049.06</v>
      </c>
    </row>
    <row r="2058" spans="2:3">
      <c r="B2058" s="108">
        <v>45225</v>
      </c>
      <c r="C2058" s="75">
        <v>63148.15</v>
      </c>
    </row>
    <row r="2059" spans="2:3">
      <c r="B2059" s="108">
        <v>45226</v>
      </c>
      <c r="C2059" s="75">
        <v>63782.8</v>
      </c>
    </row>
    <row r="2060" spans="2:3">
      <c r="B2060" s="108">
        <v>45229</v>
      </c>
      <c r="C2060" s="75">
        <v>64112.65</v>
      </c>
    </row>
    <row r="2061" spans="2:3">
      <c r="B2061" s="108">
        <v>45230</v>
      </c>
      <c r="C2061" s="75">
        <v>63874.93</v>
      </c>
    </row>
    <row r="2062" spans="2:3">
      <c r="B2062" s="108">
        <v>45231</v>
      </c>
      <c r="C2062" s="75">
        <v>63591.33</v>
      </c>
    </row>
    <row r="2063" spans="2:3">
      <c r="B2063" s="108">
        <v>45232</v>
      </c>
      <c r="C2063" s="75">
        <v>64080.9</v>
      </c>
    </row>
    <row r="2064" spans="2:3">
      <c r="B2064" s="108">
        <v>45233</v>
      </c>
      <c r="C2064" s="75">
        <v>64363.78</v>
      </c>
    </row>
    <row r="2065" spans="2:3">
      <c r="B2065" s="108">
        <v>45236</v>
      </c>
      <c r="C2065" s="75">
        <v>64958.69</v>
      </c>
    </row>
    <row r="2066" spans="2:3">
      <c r="B2066" s="108">
        <v>45237</v>
      </c>
      <c r="C2066" s="75">
        <v>64942.400000000001</v>
      </c>
    </row>
    <row r="2067" spans="2:3">
      <c r="B2067" s="108">
        <v>45238</v>
      </c>
      <c r="C2067" s="75">
        <v>64975.61</v>
      </c>
    </row>
    <row r="2068" spans="2:3">
      <c r="B2068" s="108">
        <v>45239</v>
      </c>
      <c r="C2068" s="75">
        <v>64832.2</v>
      </c>
    </row>
    <row r="2069" spans="2:3">
      <c r="B2069" s="108">
        <v>45240</v>
      </c>
      <c r="C2069" s="75">
        <v>64904.68</v>
      </c>
    </row>
    <row r="2070" spans="2:3">
      <c r="B2070" s="108">
        <v>45242</v>
      </c>
      <c r="C2070" s="75">
        <v>65259.45</v>
      </c>
    </row>
    <row r="2071" spans="2:3">
      <c r="B2071" s="108">
        <v>45243</v>
      </c>
      <c r="C2071" s="75">
        <v>64933.87</v>
      </c>
    </row>
    <row r="2072" spans="2:3">
      <c r="B2072" s="108">
        <v>45245</v>
      </c>
      <c r="C2072" s="75">
        <v>65675.929999999993</v>
      </c>
    </row>
    <row r="2073" spans="2:3">
      <c r="B2073" s="108">
        <v>45246</v>
      </c>
      <c r="C2073" s="75">
        <v>65982.48</v>
      </c>
    </row>
    <row r="2074" spans="2:3">
      <c r="B2074" s="108">
        <v>45247</v>
      </c>
      <c r="C2074" s="75">
        <v>65794.73</v>
      </c>
    </row>
    <row r="2075" spans="2:3">
      <c r="B2075" s="108">
        <v>45250</v>
      </c>
      <c r="C2075" s="75">
        <v>65655.149999999994</v>
      </c>
    </row>
    <row r="2076" spans="2:3">
      <c r="B2076" s="108">
        <v>45251</v>
      </c>
      <c r="C2076" s="75">
        <v>65930.77</v>
      </c>
    </row>
    <row r="2077" spans="2:3">
      <c r="B2077" s="108">
        <v>45252</v>
      </c>
      <c r="C2077" s="75">
        <v>66023.240000000005</v>
      </c>
    </row>
    <row r="2078" spans="2:3">
      <c r="B2078" s="108">
        <v>45253</v>
      </c>
      <c r="C2078" s="75">
        <v>66017.81</v>
      </c>
    </row>
    <row r="2079" spans="2:3">
      <c r="B2079" s="108">
        <v>45254</v>
      </c>
      <c r="C2079" s="75">
        <v>65970.039999999994</v>
      </c>
    </row>
    <row r="2080" spans="2:3">
      <c r="B2080" s="108">
        <v>45258</v>
      </c>
      <c r="C2080" s="75">
        <v>66174.2</v>
      </c>
    </row>
    <row r="2081" spans="2:3">
      <c r="B2081" s="108">
        <v>45259</v>
      </c>
      <c r="C2081" s="75">
        <v>66901.91</v>
      </c>
    </row>
    <row r="2082" spans="2:3">
      <c r="B2082" s="108">
        <v>45260</v>
      </c>
      <c r="C2082" s="75">
        <v>66988.44</v>
      </c>
    </row>
    <row r="2083" spans="2:3">
      <c r="B2083" s="108">
        <v>45261</v>
      </c>
      <c r="C2083" s="75">
        <v>67481.19</v>
      </c>
    </row>
    <row r="2084" spans="2:3">
      <c r="B2084" s="108">
        <v>45264</v>
      </c>
      <c r="C2084" s="75">
        <v>68865.119999999995</v>
      </c>
    </row>
    <row r="2085" spans="2:3">
      <c r="B2085" s="108">
        <v>45265</v>
      </c>
      <c r="C2085" s="75">
        <v>69296.14</v>
      </c>
    </row>
    <row r="2086" spans="2:3">
      <c r="B2086" s="108">
        <v>45266</v>
      </c>
      <c r="C2086" s="75">
        <v>69653.73</v>
      </c>
    </row>
    <row r="2087" spans="2:3">
      <c r="B2087" s="108">
        <v>45267</v>
      </c>
      <c r="C2087" s="75">
        <v>69521.69</v>
      </c>
    </row>
    <row r="2088" spans="2:3">
      <c r="B2088" s="108">
        <v>45268</v>
      </c>
      <c r="C2088" s="75">
        <v>69825.600000000006</v>
      </c>
    </row>
    <row r="2089" spans="2:3">
      <c r="B2089" s="108">
        <v>45271</v>
      </c>
      <c r="C2089" s="75">
        <v>69928.53</v>
      </c>
    </row>
    <row r="2090" spans="2:3">
      <c r="B2090" s="108">
        <v>45272</v>
      </c>
      <c r="C2090" s="75">
        <v>69551.03</v>
      </c>
    </row>
    <row r="2091" spans="2:3">
      <c r="B2091" s="108">
        <v>45273</v>
      </c>
      <c r="C2091" s="75">
        <v>69584.600000000006</v>
      </c>
    </row>
    <row r="2092" spans="2:3">
      <c r="B2092" s="108">
        <v>45274</v>
      </c>
      <c r="C2092" s="75">
        <v>70514.2</v>
      </c>
    </row>
    <row r="2093" spans="2:3">
      <c r="B2093" s="108">
        <v>45275</v>
      </c>
      <c r="C2093" s="75">
        <v>71483.75</v>
      </c>
    </row>
    <row r="2094" spans="2:3">
      <c r="B2094" s="108">
        <v>45278</v>
      </c>
      <c r="C2094" s="75">
        <v>71315.09</v>
      </c>
    </row>
    <row r="2095" spans="2:3">
      <c r="B2095" s="108">
        <v>45279</v>
      </c>
      <c r="C2095" s="75">
        <v>71437.19</v>
      </c>
    </row>
    <row r="2096" spans="2:3">
      <c r="B2096" s="108">
        <v>45280</v>
      </c>
      <c r="C2096" s="75">
        <v>70506.31</v>
      </c>
    </row>
    <row r="2097" spans="2:3">
      <c r="B2097" s="108">
        <v>45281</v>
      </c>
      <c r="C2097" s="75">
        <v>70865.100000000006</v>
      </c>
    </row>
    <row r="2098" spans="2:3">
      <c r="B2098" s="108">
        <v>45282</v>
      </c>
      <c r="C2098" s="75">
        <v>71106.960000000006</v>
      </c>
    </row>
    <row r="2099" spans="2:3">
      <c r="B2099" s="108">
        <v>45286</v>
      </c>
      <c r="C2099" s="75">
        <v>71336.800000000003</v>
      </c>
    </row>
    <row r="2100" spans="2:3">
      <c r="B2100" s="108">
        <v>45287</v>
      </c>
      <c r="C2100" s="75">
        <v>72038.429999999993</v>
      </c>
    </row>
    <row r="2101" spans="2:3">
      <c r="B2101" s="108">
        <v>45288</v>
      </c>
      <c r="C2101" s="75">
        <v>72410.38</v>
      </c>
    </row>
    <row r="2102" spans="2:3">
      <c r="B2102" s="108">
        <v>45289</v>
      </c>
      <c r="C2102" s="75">
        <v>72240.259999999995</v>
      </c>
    </row>
    <row r="2103" spans="2:3">
      <c r="B2103" s="108">
        <v>45292</v>
      </c>
      <c r="C2103" s="75">
        <v>72271.94</v>
      </c>
    </row>
    <row r="2104" spans="2:3">
      <c r="B2104" s="108">
        <v>45293</v>
      </c>
      <c r="C2104" s="75">
        <v>71892.479999999996</v>
      </c>
    </row>
    <row r="2105" spans="2:3">
      <c r="B2105" s="108">
        <v>45294</v>
      </c>
      <c r="C2105" s="75">
        <v>71356.600000000006</v>
      </c>
    </row>
    <row r="2106" spans="2:3">
      <c r="B2106" s="108">
        <v>45295</v>
      </c>
      <c r="C2106" s="75">
        <v>71847.570000000007</v>
      </c>
    </row>
    <row r="2107" spans="2:3">
      <c r="B2107" s="108">
        <v>45296</v>
      </c>
      <c r="C2107" s="75">
        <v>72026.149999999994</v>
      </c>
    </row>
    <row r="2108" spans="2:3">
      <c r="B2108" s="108">
        <v>45299</v>
      </c>
      <c r="C2108" s="75">
        <v>71355.22</v>
      </c>
    </row>
    <row r="2109" spans="2:3">
      <c r="B2109" s="108">
        <v>45300</v>
      </c>
      <c r="C2109" s="75">
        <v>71386.210000000006</v>
      </c>
    </row>
    <row r="2110" spans="2:3">
      <c r="B2110" s="108">
        <v>45301</v>
      </c>
      <c r="C2110" s="75">
        <v>71657.710000000006</v>
      </c>
    </row>
    <row r="2111" spans="2:3">
      <c r="B2111" s="108">
        <v>45302</v>
      </c>
      <c r="C2111" s="75">
        <v>71721.179999999993</v>
      </c>
    </row>
    <row r="2112" spans="2:3">
      <c r="B2112" s="108">
        <v>45303</v>
      </c>
      <c r="C2112" s="75">
        <v>72568.45</v>
      </c>
    </row>
    <row r="2113" spans="2:3">
      <c r="B2113" s="108">
        <v>45306</v>
      </c>
      <c r="C2113" s="75">
        <v>73327.94</v>
      </c>
    </row>
    <row r="2114" spans="2:3">
      <c r="B2114" s="108">
        <v>45307</v>
      </c>
      <c r="C2114" s="75">
        <v>73128.77</v>
      </c>
    </row>
    <row r="2115" spans="2:3">
      <c r="B2115" s="108">
        <v>45308</v>
      </c>
      <c r="C2115" s="75">
        <v>71500.759999999995</v>
      </c>
    </row>
    <row r="2116" spans="2:3">
      <c r="B2116" s="108">
        <v>45309</v>
      </c>
      <c r="C2116" s="75">
        <v>71186.86</v>
      </c>
    </row>
    <row r="2117" spans="2:3">
      <c r="B2117" s="108">
        <v>45310</v>
      </c>
      <c r="C2117" s="75">
        <v>71683.23</v>
      </c>
    </row>
    <row r="2118" spans="2:3">
      <c r="B2118" s="108">
        <v>45311</v>
      </c>
      <c r="C2118" s="75">
        <v>71423.649999999994</v>
      </c>
    </row>
    <row r="2119" spans="2:3">
      <c r="B2119" s="108">
        <v>45314</v>
      </c>
      <c r="C2119" s="75">
        <v>70370.55</v>
      </c>
    </row>
    <row r="2120" spans="2:3">
      <c r="B2120" s="108">
        <v>45315</v>
      </c>
      <c r="C2120" s="75">
        <v>71060.31</v>
      </c>
    </row>
    <row r="2121" spans="2:3">
      <c r="B2121" s="108">
        <v>45316</v>
      </c>
      <c r="C2121" s="75">
        <v>70700.67</v>
      </c>
    </row>
    <row r="2122" spans="2:3">
      <c r="B2122" s="108">
        <v>45320</v>
      </c>
      <c r="C2122" s="75">
        <v>71941.570000000007</v>
      </c>
    </row>
    <row r="2123" spans="2:3">
      <c r="B2123" s="108">
        <v>45321</v>
      </c>
      <c r="C2123" s="75">
        <v>71139.899999999994</v>
      </c>
    </row>
    <row r="2124" spans="2:3">
      <c r="B2124" s="108">
        <v>45322</v>
      </c>
      <c r="C2124" s="75">
        <v>71752.11</v>
      </c>
    </row>
    <row r="2125" spans="2:3">
      <c r="B2125" s="108">
        <v>45323</v>
      </c>
      <c r="C2125" s="75">
        <v>71645.3</v>
      </c>
    </row>
    <row r="2126" spans="2:3">
      <c r="B2126" s="108">
        <v>45324</v>
      </c>
      <c r="C2126" s="75">
        <v>72085.63</v>
      </c>
    </row>
    <row r="2127" spans="2:3">
      <c r="B2127" s="108">
        <v>45327</v>
      </c>
      <c r="C2127" s="75">
        <v>71731.42</v>
      </c>
    </row>
    <row r="2128" spans="2:3">
      <c r="B2128" s="108">
        <v>45328</v>
      </c>
      <c r="C2128" s="75">
        <v>72186.09</v>
      </c>
    </row>
    <row r="2129" spans="2:3">
      <c r="B2129" s="108">
        <v>45329</v>
      </c>
      <c r="C2129" s="75">
        <v>72152</v>
      </c>
    </row>
    <row r="2130" spans="2:3">
      <c r="B2130" s="108">
        <v>45330</v>
      </c>
      <c r="C2130" s="75">
        <v>71428.429999999993</v>
      </c>
    </row>
    <row r="2131" spans="2:3">
      <c r="B2131" s="108">
        <v>45331</v>
      </c>
      <c r="C2131" s="75">
        <v>71595.490000000005</v>
      </c>
    </row>
    <row r="2132" spans="2:3">
      <c r="B2132" s="108">
        <v>45334</v>
      </c>
      <c r="C2132" s="75">
        <v>71072.490000000005</v>
      </c>
    </row>
    <row r="2133" spans="2:3">
      <c r="B2133" s="108">
        <v>45335</v>
      </c>
      <c r="C2133" s="75">
        <v>71555.19</v>
      </c>
    </row>
    <row r="2134" spans="2:3">
      <c r="B2134" s="108">
        <v>45336</v>
      </c>
      <c r="C2134" s="75">
        <v>71822.83</v>
      </c>
    </row>
    <row r="2135" spans="2:3">
      <c r="B2135" s="108">
        <v>45337</v>
      </c>
      <c r="C2135" s="75">
        <v>72050.38</v>
      </c>
    </row>
    <row r="2136" spans="2:3">
      <c r="B2136" s="108">
        <v>45338</v>
      </c>
      <c r="C2136" s="75">
        <v>72426.64</v>
      </c>
    </row>
    <row r="2137" spans="2:3">
      <c r="B2137" s="108">
        <v>45341</v>
      </c>
      <c r="C2137" s="75">
        <v>72708.160000000003</v>
      </c>
    </row>
    <row r="2138" spans="2:3">
      <c r="B2138" s="108">
        <v>45342</v>
      </c>
      <c r="C2138" s="75">
        <v>73057.399999999994</v>
      </c>
    </row>
    <row r="2139" spans="2:3">
      <c r="B2139" s="108">
        <v>45343</v>
      </c>
      <c r="C2139" s="75">
        <v>72623.09</v>
      </c>
    </row>
    <row r="2140" spans="2:3">
      <c r="B2140" s="108">
        <v>45344</v>
      </c>
      <c r="C2140" s="75">
        <v>73158.240000000005</v>
      </c>
    </row>
    <row r="2141" spans="2:3">
      <c r="B2141" s="108">
        <v>45345</v>
      </c>
      <c r="C2141" s="75">
        <v>73142.8</v>
      </c>
    </row>
    <row r="2142" spans="2:3">
      <c r="B2142" s="108">
        <v>45348</v>
      </c>
      <c r="C2142" s="75">
        <v>72790.13</v>
      </c>
    </row>
    <row r="2143" spans="2:3">
      <c r="B2143" s="108">
        <v>45349</v>
      </c>
      <c r="C2143" s="75">
        <v>73095.22</v>
      </c>
    </row>
    <row r="2144" spans="2:3">
      <c r="B2144" s="108">
        <v>45350</v>
      </c>
      <c r="C2144" s="75">
        <v>72304.88</v>
      </c>
    </row>
    <row r="2145" spans="2:3">
      <c r="B2145" s="108">
        <v>45351</v>
      </c>
      <c r="C2145" s="75">
        <v>72500.3</v>
      </c>
    </row>
    <row r="2146" spans="2:3">
      <c r="B2146" s="108">
        <v>45352</v>
      </c>
      <c r="C2146" s="75">
        <v>73745.350000000006</v>
      </c>
    </row>
    <row r="2147" spans="2:3">
      <c r="B2147" s="108">
        <v>45353</v>
      </c>
      <c r="C2147" s="75">
        <v>73806.149999999994</v>
      </c>
    </row>
    <row r="2148" spans="2:3">
      <c r="B2148" s="108">
        <v>45355</v>
      </c>
      <c r="C2148" s="75">
        <v>73872.289999999994</v>
      </c>
    </row>
    <row r="2149" spans="2:3">
      <c r="B2149" s="108">
        <v>45356</v>
      </c>
      <c r="C2149" s="75">
        <v>73677.13</v>
      </c>
    </row>
    <row r="2150" spans="2:3">
      <c r="B2150" s="108">
        <v>45357</v>
      </c>
      <c r="C2150" s="75">
        <v>74085.990000000005</v>
      </c>
    </row>
    <row r="2151" spans="2:3">
      <c r="B2151" s="108">
        <v>45358</v>
      </c>
      <c r="C2151" s="75">
        <v>74119.39</v>
      </c>
    </row>
    <row r="2152" spans="2:3">
      <c r="B2152" s="108">
        <v>45362</v>
      </c>
      <c r="C2152" s="75">
        <v>73502.64</v>
      </c>
    </row>
    <row r="2153" spans="2:3">
      <c r="B2153" s="108">
        <v>45363</v>
      </c>
      <c r="C2153" s="75">
        <v>73667.960000000006</v>
      </c>
    </row>
    <row r="2154" spans="2:3">
      <c r="B2154" s="108">
        <v>45364</v>
      </c>
      <c r="C2154" s="75">
        <v>72761.89</v>
      </c>
    </row>
    <row r="2155" spans="2:3">
      <c r="B2155" s="108">
        <v>45365</v>
      </c>
      <c r="C2155" s="75">
        <v>73097.279999999999</v>
      </c>
    </row>
    <row r="2156" spans="2:3">
      <c r="B2156" s="108">
        <v>45366</v>
      </c>
      <c r="C2156" s="75">
        <v>72643.429999999993</v>
      </c>
    </row>
    <row r="2157" spans="2:3">
      <c r="B2157" s="108">
        <v>45369</v>
      </c>
      <c r="C2157" s="75">
        <v>72748.42</v>
      </c>
    </row>
    <row r="2158" spans="2:3">
      <c r="B2158" s="108">
        <v>45370</v>
      </c>
      <c r="C2158" s="75">
        <v>72012.05</v>
      </c>
    </row>
    <row r="2159" spans="2:3">
      <c r="B2159" s="108">
        <v>45371</v>
      </c>
      <c r="C2159" s="75">
        <v>72101.69</v>
      </c>
    </row>
    <row r="2160" spans="2:3">
      <c r="B2160" s="108">
        <v>45372</v>
      </c>
      <c r="C2160" s="75">
        <v>72641.19</v>
      </c>
    </row>
    <row r="2161" spans="2:3">
      <c r="B2161" s="108">
        <v>45373</v>
      </c>
      <c r="C2161" s="75">
        <v>72831.94</v>
      </c>
    </row>
    <row r="2162" spans="2:3">
      <c r="B2162" s="108">
        <v>45377</v>
      </c>
      <c r="C2162" s="75">
        <v>72470.3</v>
      </c>
    </row>
    <row r="2163" spans="2:3">
      <c r="B2163" s="108">
        <v>45378</v>
      </c>
      <c r="C2163" s="75">
        <v>72996.31</v>
      </c>
    </row>
    <row r="2164" spans="2:3">
      <c r="B2164" s="108">
        <v>45379</v>
      </c>
      <c r="C2164" s="75">
        <v>73651.350000000006</v>
      </c>
    </row>
    <row r="2165" spans="2:3">
      <c r="B2165" s="108">
        <v>45383</v>
      </c>
      <c r="C2165" s="75">
        <v>74014.55</v>
      </c>
    </row>
    <row r="2166" spans="2:3">
      <c r="B2166" s="108">
        <v>45384</v>
      </c>
      <c r="C2166" s="75">
        <v>73903.91</v>
      </c>
    </row>
    <row r="2167" spans="2:3">
      <c r="B2167" s="108">
        <v>45385</v>
      </c>
      <c r="C2167" s="75">
        <v>73876.820000000007</v>
      </c>
    </row>
    <row r="2168" spans="2:3">
      <c r="B2168" s="108">
        <v>45386</v>
      </c>
      <c r="C2168" s="75">
        <v>74227.63</v>
      </c>
    </row>
    <row r="2169" spans="2:3">
      <c r="B2169" s="108">
        <v>45387</v>
      </c>
      <c r="C2169" s="75">
        <v>74248.22</v>
      </c>
    </row>
    <row r="2170" spans="2:3">
      <c r="B2170" s="108">
        <v>45390</v>
      </c>
      <c r="C2170" s="75">
        <v>74742.5</v>
      </c>
    </row>
    <row r="2171" spans="2:3">
      <c r="B2171" s="108">
        <v>45391</v>
      </c>
      <c r="C2171" s="75">
        <v>74683.7</v>
      </c>
    </row>
    <row r="2172" spans="2:3">
      <c r="B2172" s="108">
        <v>45392</v>
      </c>
      <c r="C2172" s="75">
        <v>75038.149999999994</v>
      </c>
    </row>
    <row r="2173" spans="2:3">
      <c r="B2173" s="108">
        <v>45394</v>
      </c>
      <c r="C2173" s="75">
        <v>74244.899999999994</v>
      </c>
    </row>
    <row r="2174" spans="2:3">
      <c r="B2174" s="108">
        <v>45397</v>
      </c>
      <c r="C2174" s="75">
        <v>73399.78</v>
      </c>
    </row>
    <row r="2175" spans="2:3">
      <c r="B2175" s="108">
        <v>45398</v>
      </c>
      <c r="C2175" s="75">
        <v>72943.679999999993</v>
      </c>
    </row>
    <row r="2176" spans="2:3">
      <c r="B2176" s="108">
        <v>45400</v>
      </c>
      <c r="C2176" s="75">
        <v>72488.990000000005</v>
      </c>
    </row>
    <row r="2177" spans="2:3">
      <c r="B2177" s="108">
        <v>45401</v>
      </c>
      <c r="C2177" s="75">
        <v>73088.33</v>
      </c>
    </row>
    <row r="2178" spans="2:3">
      <c r="B2178" s="108">
        <v>45404</v>
      </c>
      <c r="C2178" s="75">
        <v>73648.62</v>
      </c>
    </row>
    <row r="2179" spans="2:3">
      <c r="B2179" s="108">
        <v>45405</v>
      </c>
      <c r="C2179" s="75">
        <v>73738.45</v>
      </c>
    </row>
    <row r="2180" spans="2:3">
      <c r="B2180" s="108">
        <v>45406</v>
      </c>
      <c r="C2180" s="75">
        <v>73852.94</v>
      </c>
    </row>
    <row r="2181" spans="2:3">
      <c r="B2181" s="108">
        <v>45407</v>
      </c>
      <c r="C2181" s="75">
        <v>74339.44</v>
      </c>
    </row>
    <row r="2182" spans="2:3">
      <c r="B2182" s="108">
        <v>45408</v>
      </c>
      <c r="C2182" s="75">
        <v>73730.16</v>
      </c>
    </row>
    <row r="2183" spans="2:3">
      <c r="B2183" s="108">
        <v>45411</v>
      </c>
      <c r="C2183" s="75">
        <v>74671.28</v>
      </c>
    </row>
    <row r="2184" spans="2:3">
      <c r="B2184" s="108">
        <v>45412</v>
      </c>
      <c r="C2184" s="75">
        <v>74482.78</v>
      </c>
    </row>
    <row r="2185" spans="2:3">
      <c r="B2185" s="108">
        <v>45414</v>
      </c>
      <c r="C2185" s="75">
        <v>74611.11</v>
      </c>
    </row>
    <row r="2186" spans="2:3">
      <c r="B2186" s="108">
        <v>45415</v>
      </c>
      <c r="C2186" s="75">
        <v>73878.149999999994</v>
      </c>
    </row>
    <row r="2187" spans="2:3">
      <c r="B2187" s="108">
        <v>45418</v>
      </c>
      <c r="C2187" s="75">
        <v>73895.539999999994</v>
      </c>
    </row>
    <row r="2188" spans="2:3">
      <c r="B2188" s="108">
        <v>45419</v>
      </c>
      <c r="C2188" s="75">
        <v>73511.850000000006</v>
      </c>
    </row>
    <row r="2189" spans="2:3">
      <c r="B2189" s="108">
        <v>45420</v>
      </c>
      <c r="C2189" s="75">
        <v>73466.39</v>
      </c>
    </row>
    <row r="2190" spans="2:3">
      <c r="B2190" s="108">
        <v>45421</v>
      </c>
      <c r="C2190" s="75">
        <v>72404.17</v>
      </c>
    </row>
    <row r="2191" spans="2:3">
      <c r="B2191" s="108">
        <v>45422</v>
      </c>
      <c r="C2191" s="75">
        <v>72664.47</v>
      </c>
    </row>
    <row r="2192" spans="2:3">
      <c r="B2192" s="108">
        <v>45425</v>
      </c>
      <c r="C2192" s="75">
        <v>72776.13</v>
      </c>
    </row>
    <row r="2193" spans="2:3">
      <c r="B2193" s="108">
        <v>45426</v>
      </c>
      <c r="C2193" s="75">
        <v>73104.61</v>
      </c>
    </row>
    <row r="2194" spans="2:3">
      <c r="B2194" s="108">
        <v>45427</v>
      </c>
      <c r="C2194" s="75">
        <v>72987.03</v>
      </c>
    </row>
    <row r="2195" spans="2:3">
      <c r="B2195" s="108">
        <v>45428</v>
      </c>
      <c r="C2195" s="75">
        <v>73663.72</v>
      </c>
    </row>
    <row r="2196" spans="2:3">
      <c r="B2196" s="108">
        <v>45429</v>
      </c>
      <c r="C2196" s="75">
        <v>73917.03</v>
      </c>
    </row>
    <row r="2197" spans="2:3">
      <c r="B2197" s="108">
        <v>45430</v>
      </c>
      <c r="C2197" s="75">
        <v>74005.94</v>
      </c>
    </row>
    <row r="2198" spans="2:3">
      <c r="B2198" s="108">
        <v>45433</v>
      </c>
      <c r="C2198" s="75">
        <v>73953.31</v>
      </c>
    </row>
    <row r="2199" spans="2:3">
      <c r="B2199" s="108">
        <v>45434</v>
      </c>
      <c r="C2199" s="75">
        <v>74221.06</v>
      </c>
    </row>
    <row r="2200" spans="2:3">
      <c r="B2200" s="108">
        <v>45435</v>
      </c>
      <c r="C2200" s="75">
        <v>75418.039999999994</v>
      </c>
    </row>
    <row r="2201" spans="2:3">
      <c r="B2201" s="108">
        <v>45436</v>
      </c>
      <c r="C2201" s="75">
        <v>75410.39</v>
      </c>
    </row>
    <row r="2202" spans="2:3">
      <c r="B2202" s="108">
        <v>45439</v>
      </c>
      <c r="C2202" s="75">
        <v>75390.5</v>
      </c>
    </row>
    <row r="2203" spans="2:3">
      <c r="B2203" s="108">
        <v>45440</v>
      </c>
      <c r="C2203" s="75">
        <v>75170.45</v>
      </c>
    </row>
    <row r="2204" spans="2:3">
      <c r="B2204" s="108">
        <v>45441</v>
      </c>
      <c r="C2204" s="75">
        <v>74502.899999999994</v>
      </c>
    </row>
    <row r="2205" spans="2:3">
      <c r="B2205" s="108">
        <v>45442</v>
      </c>
      <c r="C2205" s="75">
        <v>73885.600000000006</v>
      </c>
    </row>
    <row r="2206" spans="2:3">
      <c r="B2206" s="108">
        <v>45443</v>
      </c>
      <c r="C2206" s="75">
        <v>73961.31</v>
      </c>
    </row>
    <row r="2207" spans="2:3">
      <c r="B2207" s="108">
        <v>45446</v>
      </c>
      <c r="C2207" s="75">
        <v>76468.78</v>
      </c>
    </row>
    <row r="2208" spans="2:3">
      <c r="B2208" s="108">
        <v>45447</v>
      </c>
      <c r="C2208" s="75">
        <v>72079.05</v>
      </c>
    </row>
    <row r="2209" spans="2:3">
      <c r="B2209" s="108">
        <v>45448</v>
      </c>
      <c r="C2209" s="75">
        <v>74382.240000000005</v>
      </c>
    </row>
    <row r="2210" spans="2:3">
      <c r="B2210" s="108">
        <v>45449</v>
      </c>
      <c r="C2210" s="75">
        <v>75074.509999999995</v>
      </c>
    </row>
    <row r="2211" spans="2:3">
      <c r="B2211" s="108">
        <v>45450</v>
      </c>
      <c r="C2211" s="75">
        <v>76693.36</v>
      </c>
    </row>
    <row r="2212" spans="2:3">
      <c r="B2212" s="108">
        <v>45453</v>
      </c>
      <c r="C2212" s="75">
        <v>76490.080000000002</v>
      </c>
    </row>
    <row r="2213" spans="2:3">
      <c r="B2213" s="108">
        <v>45454</v>
      </c>
      <c r="C2213" s="75">
        <v>76456.59</v>
      </c>
    </row>
    <row r="2214" spans="2:3">
      <c r="B2214" s="108">
        <v>45455</v>
      </c>
      <c r="C2214" s="75">
        <v>76606.570000000007</v>
      </c>
    </row>
    <row r="2215" spans="2:3">
      <c r="B2215" s="108">
        <v>45456</v>
      </c>
      <c r="C2215" s="75">
        <v>76810.899999999994</v>
      </c>
    </row>
    <row r="2216" spans="2:3">
      <c r="B2216" s="108">
        <v>45457</v>
      </c>
      <c r="C2216" s="75">
        <v>76992.77</v>
      </c>
    </row>
    <row r="2217" spans="2:3">
      <c r="B2217" s="108">
        <v>45461</v>
      </c>
      <c r="C2217" s="75">
        <v>77301.14</v>
      </c>
    </row>
    <row r="2218" spans="2:3">
      <c r="B2218" s="108">
        <v>45462</v>
      </c>
      <c r="C2218" s="75">
        <v>77337.59</v>
      </c>
    </row>
    <row r="2219" spans="2:3">
      <c r="B2219" s="108">
        <v>45463</v>
      </c>
      <c r="C2219" s="75">
        <v>77478.929999999993</v>
      </c>
    </row>
    <row r="2220" spans="2:3">
      <c r="B2220" s="108">
        <v>45464</v>
      </c>
      <c r="C2220" s="75">
        <v>77209.899999999994</v>
      </c>
    </row>
    <row r="2221" spans="2:3">
      <c r="B2221" s="108">
        <v>45467</v>
      </c>
      <c r="C2221" s="75">
        <v>77341.08</v>
      </c>
    </row>
    <row r="2222" spans="2:3">
      <c r="B2222" s="108">
        <v>45468</v>
      </c>
      <c r="C2222" s="75">
        <v>78053.52</v>
      </c>
    </row>
    <row r="2223" spans="2:3">
      <c r="B2223" s="108">
        <v>45469</v>
      </c>
      <c r="C2223" s="75">
        <v>78674.25</v>
      </c>
    </row>
    <row r="2224" spans="2:3">
      <c r="B2224" s="108">
        <v>45470</v>
      </c>
      <c r="C2224" s="75">
        <v>79243.179999999993</v>
      </c>
    </row>
    <row r="2225" spans="2:3">
      <c r="B2225" s="108">
        <v>45471</v>
      </c>
      <c r="C2225" s="75">
        <v>79032.73</v>
      </c>
    </row>
    <row r="2226" spans="2:3">
      <c r="B2226" s="108">
        <v>45474</v>
      </c>
      <c r="C2226" s="75">
        <v>79476.19</v>
      </c>
    </row>
    <row r="2227" spans="2:3">
      <c r="B2227" s="108">
        <v>45475</v>
      </c>
      <c r="C2227" s="75">
        <v>79441.45</v>
      </c>
    </row>
    <row r="2228" spans="2:3">
      <c r="B2228" s="108">
        <v>45476</v>
      </c>
      <c r="C2228" s="75">
        <v>79986.8</v>
      </c>
    </row>
    <row r="2229" spans="2:3">
      <c r="B2229" s="108">
        <v>45477</v>
      </c>
      <c r="C2229" s="75">
        <v>80049.67</v>
      </c>
    </row>
    <row r="2230" spans="2:3">
      <c r="B2230" s="108">
        <v>45478</v>
      </c>
      <c r="C2230" s="75">
        <v>79996.600000000006</v>
      </c>
    </row>
    <row r="2231" spans="2:3">
      <c r="B2231" s="108">
        <v>45481</v>
      </c>
      <c r="C2231" s="75">
        <v>79960.38</v>
      </c>
    </row>
    <row r="2232" spans="2:3">
      <c r="B2232" s="108">
        <v>45482</v>
      </c>
      <c r="C2232" s="75">
        <v>80351.64</v>
      </c>
    </row>
    <row r="2233" spans="2:3">
      <c r="B2233" s="108">
        <v>45483</v>
      </c>
      <c r="C2233" s="75">
        <v>79924.77</v>
      </c>
    </row>
    <row r="2234" spans="2:3">
      <c r="B2234" s="108">
        <v>45484</v>
      </c>
      <c r="C2234" s="75">
        <v>79897.34</v>
      </c>
    </row>
    <row r="2235" spans="2:3">
      <c r="B2235" s="108">
        <v>45485</v>
      </c>
      <c r="C2235" s="75">
        <v>80519.34</v>
      </c>
    </row>
    <row r="2236" spans="2:3">
      <c r="B2236" s="108">
        <v>45488</v>
      </c>
      <c r="C2236" s="75">
        <v>80664.86</v>
      </c>
    </row>
    <row r="2237" spans="2:3">
      <c r="B2237" s="108">
        <v>45489</v>
      </c>
      <c r="C2237" s="75">
        <v>80716.55</v>
      </c>
    </row>
    <row r="2238" spans="2:3">
      <c r="B2238" s="108">
        <v>45491</v>
      </c>
      <c r="C2238" s="75">
        <v>81343.460000000006</v>
      </c>
    </row>
    <row r="2239" spans="2:3">
      <c r="B2239" s="108">
        <v>45492</v>
      </c>
      <c r="C2239" s="75">
        <v>80604.649999999994</v>
      </c>
    </row>
    <row r="2240" spans="2:3">
      <c r="B2240" s="108">
        <v>45495</v>
      </c>
      <c r="C2240" s="75">
        <v>80502.080000000002</v>
      </c>
    </row>
    <row r="2241" spans="2:3">
      <c r="B2241" s="108">
        <v>45496</v>
      </c>
      <c r="C2241" s="75">
        <v>80429.039999999994</v>
      </c>
    </row>
    <row r="2242" spans="2:3">
      <c r="B2242" s="108">
        <v>45497</v>
      </c>
      <c r="C2242" s="75">
        <v>80148.88</v>
      </c>
    </row>
    <row r="2243" spans="2:3">
      <c r="B2243" s="108">
        <v>45498</v>
      </c>
      <c r="C2243" s="75">
        <v>80039.8</v>
      </c>
    </row>
    <row r="2244" spans="2:3">
      <c r="B2244" s="108">
        <v>45499</v>
      </c>
      <c r="C2244" s="75">
        <v>81332.72</v>
      </c>
    </row>
    <row r="2245" spans="2:3">
      <c r="B2245" s="108">
        <v>45502</v>
      </c>
      <c r="C2245" s="75">
        <v>81355.839999999997</v>
      </c>
    </row>
    <row r="2246" spans="2:3">
      <c r="B2246" s="108">
        <v>45503</v>
      </c>
      <c r="C2246" s="75">
        <v>81455.399999999994</v>
      </c>
    </row>
    <row r="2247" spans="2:3">
      <c r="B2247" s="108">
        <v>45504</v>
      </c>
      <c r="C2247" s="75">
        <v>81741.34</v>
      </c>
    </row>
    <row r="2248" spans="2:3">
      <c r="B2248" s="108">
        <v>45505</v>
      </c>
      <c r="C2248" s="75">
        <v>81867.55</v>
      </c>
    </row>
    <row r="2249" spans="2:3">
      <c r="B2249" s="108">
        <v>45506</v>
      </c>
      <c r="C2249" s="75">
        <v>80981.95</v>
      </c>
    </row>
    <row r="2250" spans="2:3">
      <c r="B2250" s="108">
        <v>45509</v>
      </c>
      <c r="C2250" s="75">
        <v>78759.399999999994</v>
      </c>
    </row>
    <row r="2251" spans="2:3">
      <c r="B2251" s="108">
        <v>45510</v>
      </c>
      <c r="C2251" s="75">
        <v>78593.070000000007</v>
      </c>
    </row>
    <row r="2252" spans="2:3">
      <c r="B2252" s="108">
        <v>45511</v>
      </c>
      <c r="C2252" s="75">
        <v>79468.009999999995</v>
      </c>
    </row>
    <row r="2253" spans="2:3">
      <c r="B2253" s="108">
        <v>45512</v>
      </c>
      <c r="C2253" s="75">
        <v>78886.22</v>
      </c>
    </row>
    <row r="2254" spans="2:3">
      <c r="B2254" s="108">
        <v>45513</v>
      </c>
      <c r="C2254" s="75">
        <v>79705.91</v>
      </c>
    </row>
    <row r="2255" spans="2:3">
      <c r="B2255" s="108">
        <v>45516</v>
      </c>
      <c r="C2255" s="75">
        <v>79648.92</v>
      </c>
    </row>
    <row r="2256" spans="2:3">
      <c r="B2256" s="108">
        <v>45517</v>
      </c>
      <c r="C2256" s="75">
        <v>78956.03</v>
      </c>
    </row>
    <row r="2257" spans="2:3">
      <c r="B2257" s="108">
        <v>45518</v>
      </c>
      <c r="C2257" s="75">
        <v>79105.88</v>
      </c>
    </row>
    <row r="2258" spans="2:3">
      <c r="B2258" s="108">
        <v>45520</v>
      </c>
      <c r="C2258" s="75">
        <v>80436.84</v>
      </c>
    </row>
    <row r="2259" spans="2:3">
      <c r="B2259" s="108">
        <v>45523</v>
      </c>
      <c r="C2259" s="75">
        <v>80424.679999999993</v>
      </c>
    </row>
    <row r="2260" spans="2:3">
      <c r="B2260" s="108">
        <v>45524</v>
      </c>
      <c r="C2260" s="75">
        <v>80802.86</v>
      </c>
    </row>
    <row r="2261" spans="2:3">
      <c r="B2261" s="108">
        <v>45525</v>
      </c>
      <c r="C2261" s="75">
        <v>80905.3</v>
      </c>
    </row>
    <row r="2262" spans="2:3">
      <c r="B2262" s="108">
        <v>45526</v>
      </c>
      <c r="C2262" s="75">
        <v>81053.19</v>
      </c>
    </row>
    <row r="2263" spans="2:3">
      <c r="B2263" s="108">
        <v>45527</v>
      </c>
      <c r="C2263" s="75">
        <v>81086.210000000006</v>
      </c>
    </row>
    <row r="2264" spans="2:3">
      <c r="B2264" s="108">
        <v>45530</v>
      </c>
      <c r="C2264" s="75">
        <v>81698.11</v>
      </c>
    </row>
    <row r="2265" spans="2:3">
      <c r="B2265" s="108">
        <v>45531</v>
      </c>
      <c r="C2265" s="75">
        <v>81711.759999999995</v>
      </c>
    </row>
    <row r="2266" spans="2:3">
      <c r="B2266" s="108">
        <v>45532</v>
      </c>
      <c r="C2266" s="75">
        <v>81785.56</v>
      </c>
    </row>
    <row r="2267" spans="2:3">
      <c r="B2267" s="108">
        <v>45533</v>
      </c>
      <c r="C2267" s="75">
        <v>82134.61</v>
      </c>
    </row>
    <row r="2268" spans="2:3">
      <c r="B2268" s="108">
        <v>45534</v>
      </c>
      <c r="C2268" s="75">
        <v>82365.77</v>
      </c>
    </row>
    <row r="2269" spans="2:3">
      <c r="B2269" s="108">
        <v>45537</v>
      </c>
      <c r="C2269" s="75">
        <v>82559.839999999997</v>
      </c>
    </row>
    <row r="2270" spans="2:3">
      <c r="B2270" s="108">
        <v>45538</v>
      </c>
      <c r="C2270" s="75">
        <v>82555.44</v>
      </c>
    </row>
    <row r="2271" spans="2:3">
      <c r="B2271" s="108">
        <v>45539</v>
      </c>
      <c r="C2271" s="75">
        <v>82352.639999999999</v>
      </c>
    </row>
    <row r="2272" spans="2:3">
      <c r="B2272" s="108">
        <v>45540</v>
      </c>
      <c r="C2272" s="75">
        <v>82201.16</v>
      </c>
    </row>
    <row r="2273" spans="2:3">
      <c r="B2273" s="108">
        <v>45541</v>
      </c>
      <c r="C2273" s="75">
        <v>81183.929999999993</v>
      </c>
    </row>
    <row r="2274" spans="2:3">
      <c r="B2274" s="108">
        <v>45544</v>
      </c>
      <c r="C2274" s="75">
        <v>81559.539999999994</v>
      </c>
    </row>
    <row r="2275" spans="2:3">
      <c r="B2275" s="108">
        <v>45545</v>
      </c>
      <c r="C2275" s="75">
        <v>81921.289999999994</v>
      </c>
    </row>
    <row r="2276" spans="2:3">
      <c r="B2276" s="108">
        <v>45546</v>
      </c>
      <c r="C2276" s="75">
        <v>81523.16</v>
      </c>
    </row>
    <row r="2277" spans="2:3">
      <c r="B2277" s="108">
        <v>45547</v>
      </c>
      <c r="C2277" s="75">
        <v>82962.710000000006</v>
      </c>
    </row>
    <row r="2278" spans="2:3">
      <c r="B2278" s="108">
        <v>45548</v>
      </c>
      <c r="C2278" s="75">
        <v>82890.94</v>
      </c>
    </row>
    <row r="2279" spans="2:3">
      <c r="B2279" s="108">
        <v>45551</v>
      </c>
      <c r="C2279" s="75">
        <v>82988.78</v>
      </c>
    </row>
    <row r="2280" spans="2:3">
      <c r="B2280" s="108">
        <v>45552</v>
      </c>
      <c r="C2280" s="75">
        <v>83079.66</v>
      </c>
    </row>
    <row r="2281" spans="2:3">
      <c r="B2281" s="108">
        <v>45553</v>
      </c>
      <c r="C2281" s="75">
        <v>82948.23</v>
      </c>
    </row>
    <row r="2282" spans="2:3">
      <c r="B2282" s="108">
        <v>45554</v>
      </c>
      <c r="C2282" s="75">
        <v>83184.800000000003</v>
      </c>
    </row>
    <row r="2283" spans="2:3">
      <c r="B2283" s="108">
        <v>45555</v>
      </c>
      <c r="C2283" s="75">
        <v>84544.31</v>
      </c>
    </row>
    <row r="2284" spans="2:3">
      <c r="B2284" s="108">
        <v>45558</v>
      </c>
      <c r="C2284" s="75">
        <v>84928.61</v>
      </c>
    </row>
    <row r="2285" spans="2:3">
      <c r="B2285" s="108">
        <v>45559</v>
      </c>
      <c r="C2285" s="75">
        <v>84914.04</v>
      </c>
    </row>
    <row r="2286" spans="2:3">
      <c r="B2286" s="108">
        <v>45560</v>
      </c>
      <c r="C2286" s="75">
        <v>85169.87</v>
      </c>
    </row>
    <row r="2287" spans="2:3">
      <c r="B2287" s="108">
        <v>45561</v>
      </c>
      <c r="C2287" s="75">
        <v>85836.12</v>
      </c>
    </row>
    <row r="2288" spans="2:3">
      <c r="B2288" s="108">
        <v>45562</v>
      </c>
      <c r="C2288" s="75">
        <v>85571.85</v>
      </c>
    </row>
    <row r="2289" spans="2:3">
      <c r="B2289" s="108">
        <v>45565</v>
      </c>
      <c r="C2289" s="75">
        <v>84299.78</v>
      </c>
    </row>
    <row r="2290" spans="2:3">
      <c r="B2290" s="108">
        <v>45566</v>
      </c>
      <c r="C2290" s="75">
        <v>84266.29</v>
      </c>
    </row>
    <row r="2291" spans="2:3">
      <c r="B2291" s="108">
        <v>45568</v>
      </c>
      <c r="C2291" s="75">
        <v>82497.100000000006</v>
      </c>
    </row>
    <row r="2292" spans="2:3">
      <c r="B2292" s="108">
        <v>45569</v>
      </c>
      <c r="C2292" s="75">
        <v>81688.45</v>
      </c>
    </row>
    <row r="2293" spans="2:3">
      <c r="B2293" s="108">
        <v>45572</v>
      </c>
      <c r="C2293" s="75">
        <v>81050</v>
      </c>
    </row>
    <row r="2294" spans="2:3">
      <c r="B2294" s="108">
        <v>45573</v>
      </c>
      <c r="C2294" s="75">
        <v>81634.81</v>
      </c>
    </row>
    <row r="2295" spans="2:3">
      <c r="B2295" s="108">
        <v>45574</v>
      </c>
      <c r="C2295" s="75">
        <v>81467.100000000006</v>
      </c>
    </row>
    <row r="2296" spans="2:3">
      <c r="B2296" s="108">
        <v>45575</v>
      </c>
      <c r="C2296" s="75">
        <v>81611.41</v>
      </c>
    </row>
    <row r="2297" spans="2:3">
      <c r="B2297" s="108">
        <v>45576</v>
      </c>
      <c r="C2297" s="75">
        <v>81381.36</v>
      </c>
    </row>
    <row r="2298" spans="2:3">
      <c r="B2298" s="108">
        <v>45579</v>
      </c>
      <c r="C2298" s="75">
        <v>81973.05</v>
      </c>
    </row>
    <row r="2299" spans="2:3">
      <c r="B2299" s="108">
        <v>45580</v>
      </c>
      <c r="C2299" s="75">
        <v>81820.12</v>
      </c>
    </row>
    <row r="2300" spans="2:3">
      <c r="B2300" s="108">
        <v>45581</v>
      </c>
      <c r="C2300" s="75">
        <v>81501.36</v>
      </c>
    </row>
    <row r="2301" spans="2:3">
      <c r="B2301" s="108">
        <v>45582</v>
      </c>
      <c r="C2301" s="75">
        <v>81006.61</v>
      </c>
    </row>
    <row r="2302" spans="2:3">
      <c r="B2302" s="108">
        <v>45583</v>
      </c>
      <c r="C2302" s="75">
        <v>81224.75</v>
      </c>
    </row>
    <row r="2303" spans="2:3">
      <c r="B2303" s="108">
        <v>45586</v>
      </c>
      <c r="C2303" s="75">
        <v>81151.27</v>
      </c>
    </row>
    <row r="2304" spans="2:3">
      <c r="B2304" s="108">
        <v>45587</v>
      </c>
      <c r="C2304" s="75">
        <v>80220.72</v>
      </c>
    </row>
    <row r="2305" spans="2:3">
      <c r="B2305" s="108">
        <v>45588</v>
      </c>
      <c r="C2305" s="75">
        <v>80081.98</v>
      </c>
    </row>
    <row r="2306" spans="2:3">
      <c r="B2306" s="108">
        <v>45589</v>
      </c>
      <c r="C2306" s="75">
        <v>80065.16</v>
      </c>
    </row>
    <row r="2307" spans="2:3">
      <c r="B2307" s="108">
        <v>45590</v>
      </c>
      <c r="C2307" s="75">
        <v>79402.289999999994</v>
      </c>
    </row>
    <row r="2308" spans="2:3">
      <c r="B2308" s="108">
        <v>45593</v>
      </c>
      <c r="C2308" s="75">
        <v>80005.039999999994</v>
      </c>
    </row>
    <row r="2309" spans="2:3">
      <c r="B2309" s="108">
        <v>45594</v>
      </c>
      <c r="C2309" s="75">
        <v>80369.03</v>
      </c>
    </row>
    <row r="2310" spans="2:3">
      <c r="B2310" s="108">
        <v>45595</v>
      </c>
      <c r="C2310" s="75">
        <v>79942.179999999993</v>
      </c>
    </row>
    <row r="2311" spans="2:3">
      <c r="B2311" s="108">
        <v>45596</v>
      </c>
      <c r="C2311" s="75">
        <v>79389.06</v>
      </c>
    </row>
    <row r="2312" spans="2:3">
      <c r="B2312" s="108">
        <v>45597</v>
      </c>
      <c r="C2312" s="75">
        <v>79724.12</v>
      </c>
    </row>
    <row r="2313" spans="2:3">
      <c r="B2313" s="108">
        <v>45600</v>
      </c>
      <c r="C2313" s="75">
        <v>78782.240000000005</v>
      </c>
    </row>
    <row r="2314" spans="2:3">
      <c r="B2314" s="108">
        <v>45601</v>
      </c>
      <c r="C2314" s="75">
        <v>79476.63</v>
      </c>
    </row>
    <row r="2315" spans="2:3">
      <c r="B2315" s="108">
        <v>45602</v>
      </c>
      <c r="C2315" s="75">
        <v>80378.13</v>
      </c>
    </row>
    <row r="2316" spans="2:3">
      <c r="B2316" s="108">
        <v>45603</v>
      </c>
      <c r="C2316" s="75">
        <v>79541.789999999994</v>
      </c>
    </row>
    <row r="2317" spans="2:3">
      <c r="B2317" s="108">
        <v>45604</v>
      </c>
      <c r="C2317" s="75">
        <v>79486.320000000007</v>
      </c>
    </row>
    <row r="2318" spans="2:3">
      <c r="B2318" s="108">
        <v>45607</v>
      </c>
      <c r="C2318" s="75">
        <v>79496.149999999994</v>
      </c>
    </row>
    <row r="2319" spans="2:3">
      <c r="B2319" s="108">
        <v>45608</v>
      </c>
      <c r="C2319" s="75">
        <v>78675.179999999993</v>
      </c>
    </row>
    <row r="2320" spans="2:3">
      <c r="B2320" s="108">
        <v>45609</v>
      </c>
      <c r="C2320" s="75">
        <v>77690.95</v>
      </c>
    </row>
    <row r="2321" spans="2:3">
      <c r="B2321" s="108">
        <v>45610</v>
      </c>
      <c r="C2321" s="75">
        <v>77580.31</v>
      </c>
    </row>
    <row r="2322" spans="2:3">
      <c r="B2322" s="108">
        <v>45614</v>
      </c>
      <c r="C2322" s="75">
        <v>77339.009999999995</v>
      </c>
    </row>
    <row r="2323" spans="2:3">
      <c r="B2323" s="108">
        <v>45615</v>
      </c>
      <c r="C2323" s="75">
        <v>77578.38</v>
      </c>
    </row>
    <row r="2324" spans="2:3">
      <c r="B2324" s="108">
        <v>45617</v>
      </c>
      <c r="C2324" s="75">
        <v>77155.789999999994</v>
      </c>
    </row>
    <row r="2325" spans="2:3">
      <c r="B2325" s="108">
        <v>45618</v>
      </c>
      <c r="C2325" s="75">
        <v>79117.11</v>
      </c>
    </row>
    <row r="2326" spans="2:3">
      <c r="B2326" s="108">
        <v>45621</v>
      </c>
      <c r="C2326" s="75">
        <v>80109.850000000006</v>
      </c>
    </row>
    <row r="2327" spans="2:3">
      <c r="B2327" s="108">
        <v>45622</v>
      </c>
      <c r="C2327" s="75">
        <v>80004.06</v>
      </c>
    </row>
    <row r="2328" spans="2:3">
      <c r="B2328" s="108">
        <v>45623</v>
      </c>
      <c r="C2328" s="75">
        <v>80234.080000000002</v>
      </c>
    </row>
    <row r="2329" spans="2:3">
      <c r="B2329" s="108">
        <v>45624</v>
      </c>
      <c r="C2329" s="75">
        <v>79043.740000000005</v>
      </c>
    </row>
    <row r="2330" spans="2:3">
      <c r="B2330" s="108">
        <v>45625</v>
      </c>
      <c r="C2330" s="75">
        <v>79802.789999999994</v>
      </c>
    </row>
    <row r="2331" spans="2:3">
      <c r="B2331" s="108">
        <v>45628</v>
      </c>
      <c r="C2331" s="75">
        <v>80248.08</v>
      </c>
    </row>
    <row r="2332" spans="2:3">
      <c r="B2332" s="108">
        <v>45629</v>
      </c>
      <c r="C2332" s="75">
        <v>80845.75</v>
      </c>
    </row>
    <row r="2333" spans="2:3">
      <c r="B2333" s="108">
        <v>45630</v>
      </c>
      <c r="C2333" s="75">
        <v>80956.33</v>
      </c>
    </row>
    <row r="2334" spans="2:3">
      <c r="B2334" s="108">
        <v>45631</v>
      </c>
      <c r="C2334" s="75">
        <v>81765.86</v>
      </c>
    </row>
    <row r="2335" spans="2:3">
      <c r="B2335" s="108">
        <v>45632</v>
      </c>
      <c r="C2335" s="75">
        <v>81709.119999999995</v>
      </c>
    </row>
    <row r="2336" spans="2:3">
      <c r="B2336" s="108">
        <v>45635</v>
      </c>
      <c r="C2336" s="75">
        <v>81508.460000000006</v>
      </c>
    </row>
    <row r="2337" spans="2:3">
      <c r="B2337" s="108">
        <v>45636</v>
      </c>
      <c r="C2337" s="75">
        <v>81510.05</v>
      </c>
    </row>
    <row r="2338" spans="2:3">
      <c r="B2338" s="108">
        <v>45637</v>
      </c>
      <c r="C2338" s="75">
        <v>81526.14</v>
      </c>
    </row>
    <row r="2339" spans="2:3">
      <c r="B2339" s="108">
        <v>45638</v>
      </c>
      <c r="C2339" s="75">
        <v>81289.960000000006</v>
      </c>
    </row>
    <row r="2340" spans="2:3">
      <c r="B2340" s="108">
        <v>45639</v>
      </c>
      <c r="C2340" s="75">
        <v>82133.119999999995</v>
      </c>
    </row>
    <row r="2341" spans="2:3">
      <c r="B2341" s="108">
        <v>45642</v>
      </c>
      <c r="C2341" s="75">
        <v>81748.570000000007</v>
      </c>
    </row>
    <row r="2342" spans="2:3">
      <c r="B2342" s="108">
        <v>45643</v>
      </c>
      <c r="C2342" s="75">
        <v>80684.45</v>
      </c>
    </row>
    <row r="2343" spans="2:3">
      <c r="B2343" s="108">
        <v>45644</v>
      </c>
      <c r="C2343" s="75">
        <v>80182.2</v>
      </c>
    </row>
    <row r="2344" spans="2:3">
      <c r="B2344" s="108">
        <v>45645</v>
      </c>
      <c r="C2344" s="75">
        <v>79218.05</v>
      </c>
    </row>
    <row r="2345" spans="2:3">
      <c r="B2345" s="108">
        <v>45646</v>
      </c>
      <c r="C2345" s="75">
        <v>78041.59</v>
      </c>
    </row>
    <row r="2346" spans="2:3">
      <c r="B2346" s="108">
        <v>45649</v>
      </c>
      <c r="C2346" s="75">
        <v>78540.17</v>
      </c>
    </row>
    <row r="2347" spans="2:3">
      <c r="B2347" s="108">
        <v>45650</v>
      </c>
      <c r="C2347" s="75">
        <v>78472.87</v>
      </c>
    </row>
    <row r="2348" spans="2:3">
      <c r="B2348" s="108">
        <v>45652</v>
      </c>
      <c r="C2348" s="75">
        <v>78472.479999999996</v>
      </c>
    </row>
    <row r="2349" spans="2:3">
      <c r="B2349" s="108">
        <v>45653</v>
      </c>
      <c r="C2349" s="75">
        <v>78699.070000000007</v>
      </c>
    </row>
    <row r="2350" spans="2:3">
      <c r="B2350" s="108">
        <v>45656</v>
      </c>
      <c r="C2350" s="75">
        <v>78248.13</v>
      </c>
    </row>
    <row r="2351" spans="2:3">
      <c r="B2351" s="108">
        <v>45657</v>
      </c>
      <c r="C2351" s="75">
        <v>78139.009999999995</v>
      </c>
    </row>
    <row r="2352" spans="2:3">
      <c r="B2352" s="108">
        <v>45658</v>
      </c>
      <c r="C2352" s="75">
        <v>78507.41</v>
      </c>
    </row>
    <row r="2353" spans="2:3">
      <c r="B2353" s="108">
        <v>45659</v>
      </c>
      <c r="C2353" s="75">
        <v>79943.710000000006</v>
      </c>
    </row>
    <row r="2354" spans="2:3">
      <c r="B2354" s="108">
        <v>45660</v>
      </c>
      <c r="C2354" s="75">
        <v>79223.11</v>
      </c>
    </row>
    <row r="2355" spans="2:3">
      <c r="B2355" s="108">
        <v>45663</v>
      </c>
      <c r="C2355" s="75">
        <v>77964.990000000005</v>
      </c>
    </row>
    <row r="2356" spans="2:3">
      <c r="B2356" s="108">
        <v>45664</v>
      </c>
      <c r="C2356" s="75">
        <v>78199.11</v>
      </c>
    </row>
    <row r="2357" spans="2:3">
      <c r="B2357" s="108">
        <v>45665</v>
      </c>
      <c r="C2357" s="75">
        <v>78148.490000000005</v>
      </c>
    </row>
    <row r="2358" spans="2:3">
      <c r="B2358" s="108">
        <v>45666</v>
      </c>
      <c r="C2358" s="75">
        <v>77620.210000000006</v>
      </c>
    </row>
    <row r="2359" spans="2:3">
      <c r="B2359" s="108">
        <v>45667</v>
      </c>
      <c r="C2359" s="75">
        <v>77378.91</v>
      </c>
    </row>
    <row r="2360" spans="2:3">
      <c r="B2360" s="108">
        <v>45670</v>
      </c>
      <c r="C2360" s="75">
        <v>76330.009999999995</v>
      </c>
    </row>
    <row r="2361" spans="2:3">
      <c r="B2361" s="108">
        <v>45671</v>
      </c>
      <c r="C2361" s="75">
        <v>76499.63</v>
      </c>
    </row>
    <row r="2362" spans="2:3">
      <c r="B2362" s="108">
        <v>45672</v>
      </c>
      <c r="C2362" s="75">
        <v>76724.08</v>
      </c>
    </row>
    <row r="2363" spans="2:3">
      <c r="B2363" s="108">
        <v>45673</v>
      </c>
      <c r="C2363" s="75">
        <v>77042.820000000007</v>
      </c>
    </row>
    <row r="2364" spans="2:3">
      <c r="B2364" s="108">
        <v>45674</v>
      </c>
      <c r="C2364" s="75">
        <v>76619.33</v>
      </c>
    </row>
    <row r="2365" spans="2:3">
      <c r="B2365" s="108">
        <v>45677</v>
      </c>
      <c r="C2365" s="75">
        <v>77073.440000000002</v>
      </c>
    </row>
    <row r="2366" spans="2:3">
      <c r="B2366" s="108">
        <v>45678</v>
      </c>
      <c r="C2366" s="75">
        <v>75838.36</v>
      </c>
    </row>
    <row r="2367" spans="2:3">
      <c r="B2367" s="108">
        <v>45679</v>
      </c>
      <c r="C2367" s="75">
        <v>76404.990000000005</v>
      </c>
    </row>
    <row r="2368" spans="2:3">
      <c r="B2368" s="108">
        <v>45680</v>
      </c>
      <c r="C2368" s="75">
        <v>76520.38</v>
      </c>
    </row>
    <row r="2369" spans="2:3">
      <c r="B2369" s="108">
        <v>45681</v>
      </c>
      <c r="C2369" s="75">
        <v>76190.460000000006</v>
      </c>
    </row>
    <row r="2370" spans="2:3">
      <c r="B2370" s="108">
        <v>45684</v>
      </c>
      <c r="C2370" s="75">
        <v>75366.17</v>
      </c>
    </row>
    <row r="2371" spans="2:3">
      <c r="B2371" s="108">
        <v>45685</v>
      </c>
      <c r="C2371" s="75">
        <v>75901.41</v>
      </c>
    </row>
    <row r="2372" spans="2:3">
      <c r="B2372" s="108">
        <v>45686</v>
      </c>
      <c r="C2372" s="75">
        <v>76532.960000000006</v>
      </c>
    </row>
    <row r="2373" spans="2:3">
      <c r="B2373" s="108">
        <v>45687</v>
      </c>
      <c r="C2373" s="75">
        <v>76759.81</v>
      </c>
    </row>
    <row r="2374" spans="2:3">
      <c r="B2374" s="108">
        <v>45688</v>
      </c>
      <c r="C2374" s="75">
        <v>77500.570000000007</v>
      </c>
    </row>
    <row r="2375" spans="2:3">
      <c r="B2375" s="108">
        <v>45689</v>
      </c>
      <c r="C2375" s="75">
        <v>77505.960000000006</v>
      </c>
    </row>
    <row r="2376" spans="2:3">
      <c r="B2376" s="108">
        <v>45691</v>
      </c>
      <c r="C2376" s="75">
        <v>77186.740000000005</v>
      </c>
    </row>
    <row r="2377" spans="2:3">
      <c r="B2377" s="108">
        <v>45692</v>
      </c>
      <c r="C2377" s="75">
        <v>78583.81</v>
      </c>
    </row>
    <row r="2378" spans="2:3">
      <c r="B2378" s="108">
        <v>45693</v>
      </c>
      <c r="C2378" s="75">
        <v>78271.28</v>
      </c>
    </row>
    <row r="2379" spans="2:3">
      <c r="B2379" s="108">
        <v>45694</v>
      </c>
      <c r="C2379" s="75">
        <v>78058.16</v>
      </c>
    </row>
    <row r="2380" spans="2:3">
      <c r="B2380" s="108">
        <v>45695</v>
      </c>
      <c r="C2380" s="75">
        <v>77860.19</v>
      </c>
    </row>
    <row r="2381" spans="2:3">
      <c r="B2381" s="108">
        <v>45698</v>
      </c>
      <c r="C2381" s="75">
        <v>77311.8</v>
      </c>
    </row>
    <row r="2382" spans="2:3">
      <c r="B2382" s="108">
        <v>45699</v>
      </c>
      <c r="C2382" s="75">
        <v>76293.600000000006</v>
      </c>
    </row>
    <row r="2383" spans="2:3">
      <c r="B2383" s="108">
        <v>45700</v>
      </c>
      <c r="C2383" s="75">
        <v>76171.08</v>
      </c>
    </row>
    <row r="2384" spans="2:3">
      <c r="B2384" s="108">
        <v>45701</v>
      </c>
      <c r="C2384" s="75">
        <v>76138.97</v>
      </c>
    </row>
    <row r="2385" spans="2:3">
      <c r="B2385" s="108">
        <v>45702</v>
      </c>
      <c r="C2385" s="75">
        <v>75939.210000000006</v>
      </c>
    </row>
    <row r="2386" spans="2:3">
      <c r="B2386" s="108">
        <v>45705</v>
      </c>
      <c r="C2386" s="75">
        <v>75996.86</v>
      </c>
    </row>
    <row r="2387" spans="2:3">
      <c r="B2387" s="108">
        <v>45706</v>
      </c>
      <c r="C2387" s="75">
        <v>75967.39</v>
      </c>
    </row>
    <row r="2388" spans="2:3">
      <c r="B2388" s="108">
        <v>45707</v>
      </c>
      <c r="C2388" s="75">
        <v>75939.179999999993</v>
      </c>
    </row>
    <row r="2389" spans="2:3">
      <c r="B2389" s="108">
        <v>45708</v>
      </c>
      <c r="C2389" s="75">
        <v>75735.960000000006</v>
      </c>
    </row>
    <row r="2390" spans="2:3">
      <c r="B2390" s="108">
        <v>45709</v>
      </c>
      <c r="C2390" s="75">
        <v>75311.06</v>
      </c>
    </row>
    <row r="2391" spans="2:3">
      <c r="B2391" s="108">
        <v>45712</v>
      </c>
      <c r="C2391" s="75">
        <v>74454.41</v>
      </c>
    </row>
    <row r="2392" spans="2:3">
      <c r="B2392" s="108">
        <v>45713</v>
      </c>
      <c r="C2392" s="75">
        <v>74602.12</v>
      </c>
    </row>
    <row r="2393" spans="2:3">
      <c r="B2393" s="108">
        <v>45715</v>
      </c>
      <c r="C2393" s="75">
        <v>74612.429999999993</v>
      </c>
    </row>
    <row r="2394" spans="2:3">
      <c r="B2394" s="108">
        <v>45716</v>
      </c>
      <c r="C2394" s="75">
        <v>73198.100000000006</v>
      </c>
    </row>
    <row r="2395" spans="2:3">
      <c r="B2395" s="108">
        <v>45719</v>
      </c>
      <c r="C2395" s="75">
        <v>73085.94</v>
      </c>
    </row>
    <row r="2396" spans="2:3">
      <c r="B2396" s="108">
        <v>45720</v>
      </c>
      <c r="C2396" s="75">
        <v>72989.929999999993</v>
      </c>
    </row>
    <row r="2397" spans="2:3">
      <c r="B2397" s="108">
        <v>45721</v>
      </c>
      <c r="C2397" s="75">
        <v>73730.23</v>
      </c>
    </row>
    <row r="2398" spans="2:3">
      <c r="B2398" s="108">
        <v>45722</v>
      </c>
      <c r="C2398" s="75">
        <v>74340.09</v>
      </c>
    </row>
    <row r="2399" spans="2:3">
      <c r="B2399" s="108">
        <v>45723</v>
      </c>
      <c r="C2399" s="75">
        <v>74332.58</v>
      </c>
    </row>
    <row r="2400" spans="2:3">
      <c r="B2400" s="108">
        <v>45726</v>
      </c>
      <c r="C2400" s="75">
        <v>74115.17</v>
      </c>
    </row>
    <row r="2401" spans="2:3">
      <c r="B2401" s="108">
        <v>45727</v>
      </c>
      <c r="C2401" s="75">
        <v>74102.320000000007</v>
      </c>
    </row>
    <row r="2402" spans="2:3">
      <c r="B2402" s="108">
        <v>45728</v>
      </c>
      <c r="C2402" s="75">
        <v>74029.759999999995</v>
      </c>
    </row>
    <row r="2403" spans="2:3">
      <c r="B2403" s="108">
        <v>45729</v>
      </c>
      <c r="C2403" s="75">
        <v>73828.91</v>
      </c>
    </row>
    <row r="2404" spans="2:3">
      <c r="B2404" s="108">
        <v>45733</v>
      </c>
      <c r="C2404" s="75">
        <v>74169.95</v>
      </c>
    </row>
    <row r="2405" spans="2:3">
      <c r="B2405" s="108">
        <v>45734</v>
      </c>
      <c r="C2405" s="75">
        <v>75301.259999999995</v>
      </c>
    </row>
    <row r="2406" spans="2:3">
      <c r="B2406" s="108">
        <v>45735</v>
      </c>
      <c r="C2406" s="75">
        <v>75449.05</v>
      </c>
    </row>
    <row r="2407" spans="2:3">
      <c r="B2407" s="108">
        <v>45736</v>
      </c>
      <c r="C2407" s="75">
        <v>76348.06</v>
      </c>
    </row>
    <row r="2408" spans="2:3">
      <c r="B2408" s="108">
        <v>45737</v>
      </c>
      <c r="C2408" s="75">
        <v>76905.509999999995</v>
      </c>
    </row>
    <row r="2409" spans="2:3">
      <c r="B2409" s="108">
        <v>45740</v>
      </c>
      <c r="C2409" s="75">
        <v>77984.38</v>
      </c>
    </row>
    <row r="2410" spans="2:3">
      <c r="B2410" s="108">
        <v>45741</v>
      </c>
      <c r="C2410" s="75">
        <v>78017.19</v>
      </c>
    </row>
    <row r="2411" spans="2:3">
      <c r="B2411" s="108">
        <v>45742</v>
      </c>
      <c r="C2411" s="75">
        <v>77288.5</v>
      </c>
    </row>
    <row r="2412" spans="2:3">
      <c r="B2412" s="108">
        <v>45743</v>
      </c>
      <c r="C2412" s="75">
        <v>77606.429999999993</v>
      </c>
    </row>
    <row r="2413" spans="2:3">
      <c r="B2413" s="108">
        <v>45744</v>
      </c>
      <c r="C2413" s="75">
        <v>77414.92</v>
      </c>
    </row>
    <row r="2414" spans="2:3">
      <c r="B2414" s="108">
        <v>45748</v>
      </c>
      <c r="C2414" s="75">
        <v>76024.509999999995</v>
      </c>
    </row>
    <row r="2415" spans="2:3">
      <c r="B2415" s="108">
        <v>45749</v>
      </c>
      <c r="C2415" s="75">
        <v>76617.440000000002</v>
      </c>
    </row>
    <row r="2416" spans="2:3">
      <c r="B2416" s="108">
        <v>45750</v>
      </c>
      <c r="C2416" s="75">
        <v>76295.360000000001</v>
      </c>
    </row>
    <row r="2417" spans="2:3">
      <c r="B2417" s="108">
        <v>45751</v>
      </c>
      <c r="C2417" s="75">
        <v>75364.69</v>
      </c>
    </row>
    <row r="2418" spans="2:3">
      <c r="B2418" s="108">
        <v>45754</v>
      </c>
      <c r="C2418" s="75">
        <v>73137.899999999994</v>
      </c>
    </row>
    <row r="2419" spans="2:3">
      <c r="B2419" s="108">
        <v>45755</v>
      </c>
      <c r="C2419" s="75">
        <v>74227.08</v>
      </c>
    </row>
    <row r="2420" spans="2:3">
      <c r="B2420" s="108">
        <v>45756</v>
      </c>
      <c r="C2420" s="75">
        <v>73847.149999999994</v>
      </c>
    </row>
    <row r="2421" spans="2:3">
      <c r="B2421" s="108">
        <v>45758</v>
      </c>
      <c r="C2421" s="75">
        <v>75157.259999999995</v>
      </c>
    </row>
    <row r="2422" spans="2:3">
      <c r="B2422" s="108">
        <v>45762</v>
      </c>
      <c r="C2422" s="75">
        <v>76734.89</v>
      </c>
    </row>
    <row r="2423" spans="2:3">
      <c r="B2423" s="108">
        <v>45763</v>
      </c>
      <c r="C2423" s="75">
        <v>77044.289999999994</v>
      </c>
    </row>
    <row r="2424" spans="2:3">
      <c r="B2424" s="108">
        <v>45764</v>
      </c>
      <c r="C2424" s="75">
        <v>78553.2</v>
      </c>
    </row>
    <row r="2425" spans="2:3">
      <c r="B2425" s="108">
        <v>45768</v>
      </c>
      <c r="C2425" s="75">
        <v>79408.5</v>
      </c>
    </row>
    <row r="2426" spans="2:3">
      <c r="B2426" s="108">
        <v>45769</v>
      </c>
      <c r="C2426" s="75">
        <v>79595.59</v>
      </c>
    </row>
    <row r="2427" spans="2:3">
      <c r="B2427" s="108">
        <v>45770</v>
      </c>
      <c r="C2427" s="75">
        <v>80116.490000000005</v>
      </c>
    </row>
    <row r="2428" spans="2:3">
      <c r="B2428" s="108">
        <v>45771</v>
      </c>
      <c r="C2428" s="75">
        <v>79801.429999999993</v>
      </c>
    </row>
    <row r="2429" spans="2:3">
      <c r="B2429" s="108">
        <v>45772</v>
      </c>
      <c r="C2429" s="75">
        <v>79212.53</v>
      </c>
    </row>
    <row r="2430" spans="2:3">
      <c r="B2430" s="108">
        <v>45775</v>
      </c>
      <c r="C2430" s="75">
        <v>80218.37</v>
      </c>
    </row>
    <row r="2431" spans="2:3">
      <c r="B2431" s="108">
        <v>45776</v>
      </c>
      <c r="C2431" s="75">
        <v>80288.38</v>
      </c>
    </row>
    <row r="2432" spans="2:3">
      <c r="B2432" s="108">
        <v>45777</v>
      </c>
      <c r="C2432" s="75">
        <v>80242.240000000005</v>
      </c>
    </row>
    <row r="2433" spans="2:3">
      <c r="B2433" s="108">
        <v>45779</v>
      </c>
      <c r="C2433" s="75">
        <v>80501.990000000005</v>
      </c>
    </row>
    <row r="2434" spans="2:3">
      <c r="B2434" s="108">
        <v>45782</v>
      </c>
      <c r="C2434" s="75">
        <v>80796.84</v>
      </c>
    </row>
    <row r="2435" spans="2:3">
      <c r="B2435" s="108">
        <v>45783</v>
      </c>
      <c r="C2435" s="75">
        <v>80641.070000000007</v>
      </c>
    </row>
    <row r="2436" spans="2:3">
      <c r="B2436" s="108">
        <v>45784</v>
      </c>
      <c r="C2436" s="75">
        <v>80746.78</v>
      </c>
    </row>
    <row r="2437" spans="2:3">
      <c r="B2437" s="108">
        <v>45785</v>
      </c>
      <c r="C2437" s="75">
        <v>80334.81</v>
      </c>
    </row>
    <row r="2438" spans="2:3">
      <c r="B2438" s="108">
        <v>45786</v>
      </c>
      <c r="C2438" s="75">
        <v>79454.47</v>
      </c>
    </row>
    <row r="2439" spans="2:3">
      <c r="B2439" s="108">
        <v>45789</v>
      </c>
      <c r="C2439" s="75">
        <v>82429.899999999994</v>
      </c>
    </row>
    <row r="2440" spans="2:3">
      <c r="B2440" s="108">
        <v>45790</v>
      </c>
      <c r="C2440" s="75">
        <v>81148.22</v>
      </c>
    </row>
    <row r="2441" spans="2:3">
      <c r="B2441" s="108">
        <v>45791</v>
      </c>
      <c r="C2441" s="75">
        <v>81330.559999999998</v>
      </c>
    </row>
    <row r="2442" spans="2:3">
      <c r="B2442" s="108">
        <v>45792</v>
      </c>
      <c r="C2442" s="75">
        <v>82530.740000000005</v>
      </c>
    </row>
    <row r="2443" spans="2:3">
      <c r="B2443" s="108">
        <v>45793</v>
      </c>
      <c r="C2443" s="75">
        <v>82330.59</v>
      </c>
    </row>
    <row r="2444" spans="2:3">
      <c r="B2444" s="108">
        <v>45796</v>
      </c>
      <c r="C2444" s="75">
        <v>82059.42</v>
      </c>
    </row>
    <row r="2445" spans="2:3">
      <c r="B2445" s="108">
        <v>45797</v>
      </c>
      <c r="C2445" s="75">
        <v>81186.44</v>
      </c>
    </row>
    <row r="2446" spans="2:3">
      <c r="B2446" s="108">
        <v>45798</v>
      </c>
      <c r="C2446" s="75">
        <v>81596.63</v>
      </c>
    </row>
    <row r="2447" spans="2:3">
      <c r="B2447" s="108">
        <v>45799</v>
      </c>
      <c r="C2447" s="75">
        <v>80951.990000000005</v>
      </c>
    </row>
    <row r="2448" spans="2:3">
      <c r="B2448" s="108">
        <v>45800</v>
      </c>
      <c r="C2448" s="75">
        <v>81721.08</v>
      </c>
    </row>
    <row r="2449" spans="2:3">
      <c r="B2449" s="108">
        <v>45803</v>
      </c>
      <c r="C2449" s="75">
        <v>82176.45</v>
      </c>
    </row>
    <row r="2450" spans="2:3">
      <c r="B2450" s="108">
        <v>45804</v>
      </c>
      <c r="C2450" s="75">
        <v>81551.63</v>
      </c>
    </row>
    <row r="2451" spans="2:3">
      <c r="B2451" s="108">
        <v>45805</v>
      </c>
      <c r="C2451" s="75">
        <v>81312.320000000007</v>
      </c>
    </row>
    <row r="2452" spans="2:3">
      <c r="B2452" s="108">
        <v>45806</v>
      </c>
      <c r="C2452" s="75">
        <v>81633.02</v>
      </c>
    </row>
    <row r="2453" spans="2:3">
      <c r="B2453" s="108">
        <v>45807</v>
      </c>
      <c r="C2453" s="75">
        <v>81451.009999999995</v>
      </c>
    </row>
    <row r="2454" spans="2:3">
      <c r="B2454" s="108">
        <v>45810</v>
      </c>
      <c r="C2454" s="75">
        <v>81373.75</v>
      </c>
    </row>
    <row r="2455" spans="2:3">
      <c r="B2455" s="108">
        <v>45811</v>
      </c>
      <c r="C2455" s="75">
        <v>80737.509999999995</v>
      </c>
    </row>
    <row r="2456" spans="2:3">
      <c r="B2456" s="108">
        <v>45812</v>
      </c>
      <c r="C2456" s="75">
        <v>80998.25</v>
      </c>
    </row>
    <row r="2457" spans="2:3">
      <c r="B2457" s="108">
        <v>45813</v>
      </c>
      <c r="C2457" s="75">
        <v>81442.039999999994</v>
      </c>
    </row>
    <row r="2458" spans="2:3">
      <c r="B2458" s="108">
        <v>45814</v>
      </c>
      <c r="C2458" s="75">
        <v>82188.990000000005</v>
      </c>
    </row>
    <row r="2459" spans="2:3">
      <c r="B2459" s="108">
        <v>45817</v>
      </c>
      <c r="C2459" s="75">
        <v>82445.210000000006</v>
      </c>
    </row>
    <row r="2460" spans="2:3">
      <c r="B2460" s="108">
        <v>45818</v>
      </c>
      <c r="C2460" s="75">
        <v>82391.72</v>
      </c>
    </row>
    <row r="2461" spans="2:3">
      <c r="B2461" s="108">
        <v>45819</v>
      </c>
      <c r="C2461" s="75">
        <v>82515.14</v>
      </c>
    </row>
    <row r="2462" spans="2:3">
      <c r="B2462" s="108">
        <v>45820</v>
      </c>
      <c r="C2462" s="75">
        <v>81691.98</v>
      </c>
    </row>
    <row r="2463" spans="2:3">
      <c r="B2463" s="108">
        <v>45821</v>
      </c>
      <c r="C2463" s="75">
        <v>81118.600000000006</v>
      </c>
    </row>
    <row r="2464" spans="2:3">
      <c r="B2464" s="108">
        <v>45824</v>
      </c>
      <c r="C2464" s="75">
        <v>81796.149999999994</v>
      </c>
    </row>
    <row r="2465" spans="2:3">
      <c r="B2465" s="108">
        <v>45825</v>
      </c>
      <c r="C2465" s="75">
        <v>81583.3</v>
      </c>
    </row>
    <row r="2466" spans="2:3">
      <c r="B2466" s="108">
        <v>45826</v>
      </c>
      <c r="C2466" s="75">
        <v>81444.66</v>
      </c>
    </row>
    <row r="2467" spans="2:3">
      <c r="B2467" s="108">
        <v>45827</v>
      </c>
      <c r="C2467" s="75">
        <v>81361.87</v>
      </c>
    </row>
    <row r="2468" spans="2:3">
      <c r="B2468" s="108">
        <v>45828</v>
      </c>
      <c r="C2468" s="75">
        <v>82408.17</v>
      </c>
    </row>
    <row r="2469" spans="2:3">
      <c r="B2469" s="108">
        <v>45831</v>
      </c>
      <c r="C2469" s="75">
        <v>81896.789999999994</v>
      </c>
    </row>
    <row r="2470" spans="2:3">
      <c r="B2470" s="108">
        <v>45832</v>
      </c>
      <c r="C2470" s="75">
        <v>82055.11</v>
      </c>
    </row>
    <row r="2471" spans="2:3">
      <c r="B2471" s="108">
        <v>45833</v>
      </c>
      <c r="C2471" s="75">
        <v>82755.509999999995</v>
      </c>
    </row>
    <row r="2472" spans="2:3">
      <c r="B2472" s="108">
        <v>45834</v>
      </c>
      <c r="C2472" s="75">
        <v>83755.87</v>
      </c>
    </row>
    <row r="2473" spans="2:3">
      <c r="B2473" s="108">
        <v>45835</v>
      </c>
      <c r="C2473" s="75">
        <v>84058.9</v>
      </c>
    </row>
    <row r="2474" spans="2:3">
      <c r="B2474" s="108">
        <v>45838</v>
      </c>
      <c r="C2474" s="75">
        <v>83606.460000000006</v>
      </c>
    </row>
    <row r="2475" spans="2:3">
      <c r="B2475" s="108">
        <v>45839</v>
      </c>
      <c r="C2475" s="75">
        <v>83697.289999999994</v>
      </c>
    </row>
    <row r="2476" spans="2:3">
      <c r="B2476" s="108">
        <v>45840</v>
      </c>
      <c r="C2476" s="75">
        <v>83409.69</v>
      </c>
    </row>
    <row r="2477" spans="2:3">
      <c r="B2477" s="108">
        <v>45841</v>
      </c>
      <c r="C2477" s="75">
        <v>83239.47</v>
      </c>
    </row>
    <row r="2478" spans="2:3">
      <c r="B2478" s="108">
        <v>45842</v>
      </c>
      <c r="C2478" s="75">
        <v>83432.89</v>
      </c>
    </row>
    <row r="2479" spans="2:3">
      <c r="B2479" s="108">
        <v>45845</v>
      </c>
      <c r="C2479" s="75">
        <v>83442.5</v>
      </c>
    </row>
    <row r="2480" spans="2:3">
      <c r="B2480" s="108">
        <v>45846</v>
      </c>
      <c r="C2480" s="75">
        <v>83712.509999999995</v>
      </c>
    </row>
    <row r="2481" spans="2:7">
      <c r="B2481" s="108">
        <v>45847</v>
      </c>
      <c r="C2481" s="75">
        <v>83536.08</v>
      </c>
    </row>
    <row r="2482" spans="2:7">
      <c r="B2482" s="108">
        <v>45848</v>
      </c>
      <c r="C2482" s="75">
        <v>83190.28</v>
      </c>
    </row>
    <row r="2483" spans="2:7">
      <c r="B2483" s="108">
        <v>45849</v>
      </c>
      <c r="C2483" s="75">
        <v>82500.47</v>
      </c>
    </row>
    <row r="2484" spans="2:7">
      <c r="B2484" s="108">
        <v>45852</v>
      </c>
      <c r="C2484" s="75">
        <v>82253.460000000006</v>
      </c>
    </row>
    <row r="2485" spans="2:7">
      <c r="B2485" s="108">
        <v>45853</v>
      </c>
      <c r="C2485" s="75">
        <v>82570.91</v>
      </c>
    </row>
    <row r="2486" spans="2:7">
      <c r="B2486" s="108">
        <v>45854</v>
      </c>
      <c r="C2486" s="75">
        <v>82634.48</v>
      </c>
    </row>
    <row r="2487" spans="2:7">
      <c r="B2487" s="108">
        <v>45855</v>
      </c>
      <c r="C2487" s="75">
        <v>82259.240000000005</v>
      </c>
    </row>
    <row r="2488" spans="2:7">
      <c r="B2488" s="108">
        <v>45856</v>
      </c>
      <c r="C2488" s="75">
        <v>81757.73</v>
      </c>
    </row>
    <row r="2491" spans="2:7">
      <c r="B2491" s="129"/>
      <c r="C2491" s="129"/>
      <c r="D2491" s="129"/>
      <c r="E2491" s="129"/>
      <c r="F2491" s="129"/>
      <c r="G2491" s="129"/>
    </row>
  </sheetData>
  <mergeCells count="1">
    <mergeCell ref="B8:C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1:S135"/>
  <sheetViews>
    <sheetView showGridLines="0" topLeftCell="A13" workbookViewId="0">
      <selection activeCell="B13" sqref="B13"/>
    </sheetView>
  </sheetViews>
  <sheetFormatPr defaultRowHeight="15"/>
  <cols>
    <col min="1" max="1" width="1.85546875" customWidth="1"/>
    <col min="2" max="2" width="10.42578125" bestFit="1" customWidth="1"/>
    <col min="3" max="3" width="12.5703125" customWidth="1"/>
    <col min="4" max="4" width="11.28515625" customWidth="1"/>
    <col min="5" max="5" width="12.5703125" customWidth="1"/>
    <col min="6" max="6" width="11.42578125" customWidth="1"/>
    <col min="8" max="8" width="18" bestFit="1" customWidth="1"/>
    <col min="9" max="9" width="12" bestFit="1" customWidth="1"/>
    <col min="15" max="15" width="12.7109375" bestFit="1" customWidth="1"/>
    <col min="16" max="16" width="12.5703125" bestFit="1" customWidth="1"/>
  </cols>
  <sheetData>
    <row r="11" spans="2:9" ht="15.75" thickBot="1">
      <c r="B11" s="337" t="s">
        <v>244</v>
      </c>
      <c r="C11" s="339" t="s">
        <v>246</v>
      </c>
      <c r="D11" s="339" t="s">
        <v>247</v>
      </c>
      <c r="E11" s="339" t="s">
        <v>245</v>
      </c>
      <c r="F11" s="339" t="s">
        <v>247</v>
      </c>
    </row>
    <row r="12" spans="2:9" ht="15.75" thickBot="1">
      <c r="B12" s="338"/>
      <c r="C12" s="340"/>
      <c r="D12" s="340"/>
      <c r="E12" s="340"/>
      <c r="F12" s="340"/>
      <c r="H12" s="335" t="s">
        <v>275</v>
      </c>
      <c r="I12" s="336"/>
    </row>
    <row r="13" spans="2:9">
      <c r="B13" s="74">
        <v>42186</v>
      </c>
      <c r="C13" s="75">
        <v>28114.560000000001</v>
      </c>
      <c r="D13" s="72"/>
      <c r="E13" s="75">
        <v>317.60000000000002</v>
      </c>
      <c r="F13" s="72"/>
      <c r="H13" s="92" t="s">
        <v>242</v>
      </c>
      <c r="I13" s="93">
        <f>YEARFRAC(B13,B133)</f>
        <v>10</v>
      </c>
    </row>
    <row r="14" spans="2:9">
      <c r="B14" s="74">
        <v>42217</v>
      </c>
      <c r="C14" s="75">
        <v>26283.09</v>
      </c>
      <c r="D14" s="73">
        <f>C14/C13-1</f>
        <v>-6.5143114457419937E-2</v>
      </c>
      <c r="E14" s="75">
        <v>273.35000000000002</v>
      </c>
      <c r="F14" s="73">
        <f>E14/E13-1</f>
        <v>-0.1393261964735516</v>
      </c>
      <c r="H14" s="94" t="s">
        <v>273</v>
      </c>
      <c r="I14" s="99">
        <f>_xlfn.RRI(I13,E13,E133)</f>
        <v>0.15785680547956127</v>
      </c>
    </row>
    <row r="15" spans="2:9" ht="15.75" thickBot="1">
      <c r="B15" s="74">
        <v>42248</v>
      </c>
      <c r="C15" s="75">
        <v>26154.83</v>
      </c>
      <c r="D15" s="73">
        <f t="shared" ref="D15:F78" si="0">C15/C14-1</f>
        <v>-4.8799437204680718E-3</v>
      </c>
      <c r="E15" s="75">
        <v>268.3</v>
      </c>
      <c r="F15" s="73">
        <f t="shared" si="0"/>
        <v>-1.8474483263215657E-2</v>
      </c>
      <c r="H15" s="95" t="s">
        <v>274</v>
      </c>
      <c r="I15" s="100">
        <f>_xlfn.RRI(I13,C13,C133)</f>
        <v>0.11265302596365068</v>
      </c>
    </row>
    <row r="16" spans="2:9" ht="15.75" thickBot="1">
      <c r="B16" s="74">
        <v>42278</v>
      </c>
      <c r="C16" s="75">
        <v>26656.83</v>
      </c>
      <c r="D16" s="73">
        <f t="shared" si="0"/>
        <v>1.9193395636675881E-2</v>
      </c>
      <c r="E16" s="75">
        <v>283.10000000000002</v>
      </c>
      <c r="F16" s="73">
        <f t="shared" si="0"/>
        <v>5.5162131941856263E-2</v>
      </c>
      <c r="H16" s="101"/>
      <c r="I16" s="102"/>
    </row>
    <row r="17" spans="2:16" ht="15.75" thickBot="1">
      <c r="B17" s="74">
        <v>42309</v>
      </c>
      <c r="C17" s="75">
        <v>26145.67</v>
      </c>
      <c r="D17" s="73">
        <f t="shared" si="0"/>
        <v>-1.9175573389634271E-2</v>
      </c>
      <c r="E17" s="75">
        <v>288.5</v>
      </c>
      <c r="F17" s="73">
        <f t="shared" si="0"/>
        <v>1.9074531967502528E-2</v>
      </c>
      <c r="H17" s="335" t="s">
        <v>276</v>
      </c>
      <c r="I17" s="336"/>
    </row>
    <row r="18" spans="2:16">
      <c r="B18" s="74">
        <v>42339</v>
      </c>
      <c r="C18" s="75">
        <v>26117.54</v>
      </c>
      <c r="D18" s="73">
        <f t="shared" si="0"/>
        <v>-1.0758951673449646E-3</v>
      </c>
      <c r="E18" s="75">
        <v>323.7</v>
      </c>
      <c r="F18" s="73">
        <f t="shared" si="0"/>
        <v>0.12201039861351815</v>
      </c>
      <c r="H18" s="92" t="s">
        <v>248</v>
      </c>
      <c r="I18" s="96">
        <f>SLOPE(F14:F133,D14:D133)</f>
        <v>1.0530922276210355</v>
      </c>
    </row>
    <row r="19" spans="2:16">
      <c r="B19" s="74">
        <v>42370</v>
      </c>
      <c r="C19" s="75">
        <v>24870.69</v>
      </c>
      <c r="D19" s="73">
        <f t="shared" si="0"/>
        <v>-4.7739947943029937E-2</v>
      </c>
      <c r="E19" s="75">
        <v>286.25</v>
      </c>
      <c r="F19" s="73">
        <f t="shared" si="0"/>
        <v>-0.11569354340438676</v>
      </c>
      <c r="H19" s="94" t="s">
        <v>248</v>
      </c>
      <c r="I19" s="97">
        <f>_xlfn.COVARIANCE.S(F14:F133,D14:D133)/_xlfn.VAR.S(D14:D133)</f>
        <v>1.0530922276210355</v>
      </c>
    </row>
    <row r="20" spans="2:16" ht="15.75" thickBot="1">
      <c r="B20" s="74">
        <v>42401</v>
      </c>
      <c r="C20" s="75">
        <v>23002</v>
      </c>
      <c r="D20" s="73">
        <f t="shared" si="0"/>
        <v>-7.5136234660156176E-2</v>
      </c>
      <c r="E20" s="75">
        <v>222.55</v>
      </c>
      <c r="F20" s="73">
        <f t="shared" si="0"/>
        <v>-0.22253275109170301</v>
      </c>
      <c r="H20" s="95" t="s">
        <v>248</v>
      </c>
      <c r="I20" s="98">
        <f>I39</f>
        <v>1.0530922276210364</v>
      </c>
    </row>
    <row r="21" spans="2:16" ht="15.75" thickBot="1">
      <c r="B21" s="74">
        <v>42430</v>
      </c>
      <c r="C21" s="75">
        <v>25341.86</v>
      </c>
      <c r="D21" s="73">
        <f t="shared" si="0"/>
        <v>0.1017241978958352</v>
      </c>
      <c r="E21" s="75">
        <v>276.95</v>
      </c>
      <c r="F21" s="73">
        <f t="shared" si="0"/>
        <v>0.24443945180858218</v>
      </c>
    </row>
    <row r="22" spans="2:16">
      <c r="B22" s="74">
        <v>42461</v>
      </c>
      <c r="C22" s="75">
        <v>25606.62</v>
      </c>
      <c r="D22" s="73">
        <f t="shared" si="0"/>
        <v>1.0447536210838493E-2</v>
      </c>
      <c r="E22" s="75">
        <v>293.2</v>
      </c>
      <c r="F22" s="73">
        <f t="shared" si="0"/>
        <v>5.8674851056147226E-2</v>
      </c>
      <c r="H22" s="80" t="s">
        <v>249</v>
      </c>
      <c r="I22" s="81"/>
      <c r="J22" s="81"/>
      <c r="K22" s="81"/>
      <c r="L22" s="81"/>
      <c r="M22" s="81"/>
      <c r="N22" s="81"/>
      <c r="O22" s="81"/>
      <c r="P22" s="82"/>
    </row>
    <row r="23" spans="2:16" ht="15.75" thickBot="1">
      <c r="B23" s="74">
        <v>42491</v>
      </c>
      <c r="C23" s="75">
        <v>26667.96</v>
      </c>
      <c r="D23" s="73">
        <f t="shared" si="0"/>
        <v>4.1447875588422001E-2</v>
      </c>
      <c r="E23" s="75">
        <v>335.9</v>
      </c>
      <c r="F23" s="73">
        <f t="shared" si="0"/>
        <v>0.14563437926330147</v>
      </c>
      <c r="H23" s="83"/>
      <c r="I23" s="7"/>
      <c r="J23" s="7"/>
      <c r="K23" s="7"/>
      <c r="L23" s="7"/>
      <c r="M23" s="7"/>
      <c r="N23" s="7"/>
      <c r="O23" s="7"/>
      <c r="P23" s="84"/>
    </row>
    <row r="24" spans="2:16">
      <c r="B24" s="74">
        <v>42522</v>
      </c>
      <c r="C24" s="75">
        <v>26999.72</v>
      </c>
      <c r="D24" s="73">
        <f t="shared" si="0"/>
        <v>1.2440396640762907E-2</v>
      </c>
      <c r="E24" s="75">
        <v>321.3</v>
      </c>
      <c r="F24" s="73">
        <f t="shared" si="0"/>
        <v>-4.3465317058648312E-2</v>
      </c>
      <c r="H24" s="85" t="s">
        <v>250</v>
      </c>
      <c r="I24" s="79"/>
      <c r="J24" s="7"/>
      <c r="K24" s="7"/>
      <c r="L24" s="7"/>
      <c r="M24" s="7"/>
      <c r="N24" s="7"/>
      <c r="O24" s="7"/>
      <c r="P24" s="84"/>
    </row>
    <row r="25" spans="2:16">
      <c r="B25" s="74">
        <v>42552</v>
      </c>
      <c r="C25" s="75">
        <v>28051.86</v>
      </c>
      <c r="D25" s="73">
        <f t="shared" si="0"/>
        <v>3.8968552266468004E-2</v>
      </c>
      <c r="E25" s="75">
        <v>349.75</v>
      </c>
      <c r="F25" s="73">
        <f t="shared" si="0"/>
        <v>8.8546529723000367E-2</v>
      </c>
      <c r="H25" s="86" t="s">
        <v>251</v>
      </c>
      <c r="I25" s="76">
        <v>0.50162493876814673</v>
      </c>
      <c r="J25" s="7"/>
      <c r="K25" s="7"/>
      <c r="L25" s="7"/>
      <c r="M25" s="7"/>
      <c r="N25" s="7"/>
      <c r="O25" s="7"/>
      <c r="P25" s="84"/>
    </row>
    <row r="26" spans="2:16">
      <c r="B26" s="74">
        <v>42583</v>
      </c>
      <c r="C26" s="75">
        <v>28452.17</v>
      </c>
      <c r="D26" s="73">
        <f t="shared" si="0"/>
        <v>1.4270354978243693E-2</v>
      </c>
      <c r="E26" s="75">
        <v>390.6</v>
      </c>
      <c r="F26" s="73">
        <f t="shared" si="0"/>
        <v>0.1167977126518942</v>
      </c>
      <c r="H26" s="86" t="s">
        <v>252</v>
      </c>
      <c r="I26" s="76">
        <v>0.25162757919414691</v>
      </c>
      <c r="J26" s="7"/>
      <c r="K26" s="7"/>
      <c r="L26" s="7"/>
      <c r="M26" s="7"/>
      <c r="N26" s="7"/>
      <c r="O26" s="7"/>
      <c r="P26" s="84"/>
    </row>
    <row r="27" spans="2:16">
      <c r="B27" s="74">
        <v>42614</v>
      </c>
      <c r="C27" s="75">
        <v>27865.96</v>
      </c>
      <c r="D27" s="73">
        <f t="shared" si="0"/>
        <v>-2.0603349410607263E-2</v>
      </c>
      <c r="E27" s="75">
        <v>379.5</v>
      </c>
      <c r="F27" s="73">
        <f t="shared" si="0"/>
        <v>-2.8417818740399392E-2</v>
      </c>
      <c r="H27" s="86" t="s">
        <v>253</v>
      </c>
      <c r="I27" s="76">
        <v>0.24528544003477529</v>
      </c>
      <c r="J27" s="7"/>
      <c r="K27" s="7"/>
      <c r="L27" s="7"/>
      <c r="M27" s="7"/>
      <c r="N27" s="7"/>
      <c r="O27" s="7"/>
      <c r="P27" s="84"/>
    </row>
    <row r="28" spans="2:16">
      <c r="B28" s="74">
        <v>42644</v>
      </c>
      <c r="C28" s="75">
        <v>27930.21</v>
      </c>
      <c r="D28" s="73">
        <f t="shared" si="0"/>
        <v>2.3056804789787222E-3</v>
      </c>
      <c r="E28" s="75">
        <v>387.15</v>
      </c>
      <c r="F28" s="73">
        <f t="shared" si="0"/>
        <v>2.0158102766798303E-2</v>
      </c>
      <c r="H28" s="86" t="s">
        <v>254</v>
      </c>
      <c r="I28" s="76">
        <v>8.5102076586722933E-2</v>
      </c>
      <c r="J28" s="7"/>
      <c r="K28" s="7"/>
      <c r="L28" s="7"/>
      <c r="M28" s="7"/>
      <c r="N28" s="7"/>
      <c r="O28" s="7"/>
      <c r="P28" s="84"/>
    </row>
    <row r="29" spans="2:16" ht="15.75" thickBot="1">
      <c r="B29" s="74">
        <v>42675</v>
      </c>
      <c r="C29" s="75">
        <v>26652.81</v>
      </c>
      <c r="D29" s="73">
        <f t="shared" si="0"/>
        <v>-4.5735424116037704E-2</v>
      </c>
      <c r="E29" s="75">
        <v>314.5</v>
      </c>
      <c r="F29" s="73">
        <f t="shared" si="0"/>
        <v>-0.18765336432907143</v>
      </c>
      <c r="H29" s="87" t="s">
        <v>255</v>
      </c>
      <c r="I29" s="77">
        <v>120</v>
      </c>
      <c r="J29" s="7"/>
      <c r="K29" s="7"/>
      <c r="L29" s="7"/>
      <c r="M29" s="7"/>
      <c r="N29" s="7"/>
      <c r="O29" s="7"/>
      <c r="P29" s="84"/>
    </row>
    <row r="30" spans="2:16">
      <c r="B30" s="74">
        <v>42705</v>
      </c>
      <c r="C30" s="75">
        <v>26626.46</v>
      </c>
      <c r="D30" s="73">
        <f t="shared" si="0"/>
        <v>-9.8863872139565157E-4</v>
      </c>
      <c r="E30" s="75">
        <v>328.25</v>
      </c>
      <c r="F30" s="73">
        <f t="shared" si="0"/>
        <v>4.3720190779014345E-2</v>
      </c>
      <c r="H30" s="83"/>
      <c r="I30" s="7"/>
      <c r="J30" s="7"/>
      <c r="K30" s="7"/>
      <c r="L30" s="7"/>
      <c r="M30" s="7"/>
      <c r="N30" s="7"/>
      <c r="O30" s="7"/>
      <c r="P30" s="84"/>
    </row>
    <row r="31" spans="2:16" ht="15.75" thickBot="1">
      <c r="B31" s="74">
        <v>42736</v>
      </c>
      <c r="C31" s="75">
        <v>27655.96</v>
      </c>
      <c r="D31" s="73">
        <f t="shared" si="0"/>
        <v>3.8664546469939998E-2</v>
      </c>
      <c r="E31" s="75">
        <v>327.5</v>
      </c>
      <c r="F31" s="73">
        <f t="shared" si="0"/>
        <v>-2.2848438690022954E-3</v>
      </c>
      <c r="H31" s="83" t="s">
        <v>256</v>
      </c>
      <c r="I31" s="7"/>
      <c r="J31" s="7"/>
      <c r="K31" s="7"/>
      <c r="L31" s="7"/>
      <c r="M31" s="7"/>
      <c r="N31" s="7"/>
      <c r="O31" s="7"/>
      <c r="P31" s="84"/>
    </row>
    <row r="32" spans="2:16">
      <c r="B32" s="74">
        <v>42767</v>
      </c>
      <c r="C32" s="75">
        <v>28743.32</v>
      </c>
      <c r="D32" s="73">
        <f t="shared" si="0"/>
        <v>3.931738402861451E-2</v>
      </c>
      <c r="E32" s="75">
        <v>372</v>
      </c>
      <c r="F32" s="73">
        <f t="shared" si="0"/>
        <v>0.13587786259541978</v>
      </c>
      <c r="H32" s="88"/>
      <c r="I32" s="78" t="s">
        <v>260</v>
      </c>
      <c r="J32" s="78" t="s">
        <v>261</v>
      </c>
      <c r="K32" s="78" t="s">
        <v>262</v>
      </c>
      <c r="L32" s="78" t="s">
        <v>263</v>
      </c>
      <c r="M32" s="78" t="s">
        <v>264</v>
      </c>
      <c r="N32" s="7"/>
      <c r="O32" s="7"/>
      <c r="P32" s="84"/>
    </row>
    <row r="33" spans="2:16">
      <c r="B33" s="74">
        <v>42795</v>
      </c>
      <c r="C33" s="75">
        <v>29620.5</v>
      </c>
      <c r="D33" s="73">
        <f t="shared" si="0"/>
        <v>3.0517699416768851E-2</v>
      </c>
      <c r="E33" s="75">
        <v>412.15</v>
      </c>
      <c r="F33" s="73">
        <f t="shared" si="0"/>
        <v>0.1079301075268817</v>
      </c>
      <c r="H33" s="86" t="s">
        <v>257</v>
      </c>
      <c r="I33" s="76">
        <v>1</v>
      </c>
      <c r="J33" s="76">
        <v>0.28734443286388622</v>
      </c>
      <c r="K33" s="76">
        <v>0.28734443286388622</v>
      </c>
      <c r="L33" s="76">
        <v>39.67550583028796</v>
      </c>
      <c r="M33" s="76">
        <v>5.3391518071929668E-9</v>
      </c>
      <c r="N33" s="7"/>
      <c r="O33" s="7"/>
      <c r="P33" s="84"/>
    </row>
    <row r="34" spans="2:16">
      <c r="B34" s="74">
        <v>42826</v>
      </c>
      <c r="C34" s="75">
        <v>29918.400000000001</v>
      </c>
      <c r="D34" s="73">
        <f t="shared" si="0"/>
        <v>1.0057223882108834E-2</v>
      </c>
      <c r="E34" s="75">
        <v>410.45</v>
      </c>
      <c r="F34" s="73">
        <f t="shared" si="0"/>
        <v>-4.1247118767439028E-3</v>
      </c>
      <c r="H34" s="86" t="s">
        <v>258</v>
      </c>
      <c r="I34" s="76">
        <v>118</v>
      </c>
      <c r="J34" s="76">
        <v>0.85459888584594979</v>
      </c>
      <c r="K34" s="76">
        <v>7.2423634393724559E-3</v>
      </c>
      <c r="L34" s="76"/>
      <c r="M34" s="76"/>
      <c r="N34" s="7"/>
      <c r="O34" s="7"/>
      <c r="P34" s="84"/>
    </row>
    <row r="35" spans="2:16" ht="15.75" thickBot="1">
      <c r="B35" s="74">
        <v>42856</v>
      </c>
      <c r="C35" s="75">
        <v>31145.8</v>
      </c>
      <c r="D35" s="73">
        <f t="shared" si="0"/>
        <v>4.1024921118776314E-2</v>
      </c>
      <c r="E35" s="75">
        <v>486.4</v>
      </c>
      <c r="F35" s="73">
        <f t="shared" si="0"/>
        <v>0.18504080886831531</v>
      </c>
      <c r="H35" s="87" t="s">
        <v>185</v>
      </c>
      <c r="I35" s="77">
        <v>119</v>
      </c>
      <c r="J35" s="77">
        <v>1.141943318709836</v>
      </c>
      <c r="K35" s="77"/>
      <c r="L35" s="77"/>
      <c r="M35" s="77"/>
      <c r="N35" s="7"/>
      <c r="O35" s="7"/>
      <c r="P35" s="84"/>
    </row>
    <row r="36" spans="2:16" ht="15.75" thickBot="1">
      <c r="B36" s="74">
        <v>42887</v>
      </c>
      <c r="C36" s="75">
        <v>30921.61</v>
      </c>
      <c r="D36" s="73">
        <f t="shared" si="0"/>
        <v>-7.1980812822274309E-3</v>
      </c>
      <c r="E36" s="75">
        <v>457.85</v>
      </c>
      <c r="F36" s="73">
        <f t="shared" si="0"/>
        <v>-5.8696546052631526E-2</v>
      </c>
      <c r="H36" s="83"/>
      <c r="I36" s="7"/>
      <c r="J36" s="7"/>
      <c r="K36" s="7"/>
      <c r="L36" s="7"/>
      <c r="M36" s="7"/>
      <c r="N36" s="7"/>
      <c r="O36" s="7"/>
      <c r="P36" s="84"/>
    </row>
    <row r="37" spans="2:16">
      <c r="B37" s="74">
        <v>42917</v>
      </c>
      <c r="C37" s="75">
        <v>32514.94</v>
      </c>
      <c r="D37" s="73">
        <f t="shared" si="0"/>
        <v>5.1528041392411295E-2</v>
      </c>
      <c r="E37" s="75">
        <v>503.75</v>
      </c>
      <c r="F37" s="73">
        <f t="shared" si="0"/>
        <v>0.1002511739652725</v>
      </c>
      <c r="H37" s="88"/>
      <c r="I37" s="78" t="s">
        <v>265</v>
      </c>
      <c r="J37" s="78" t="s">
        <v>254</v>
      </c>
      <c r="K37" s="78" t="s">
        <v>266</v>
      </c>
      <c r="L37" s="78" t="s">
        <v>267</v>
      </c>
      <c r="M37" s="78" t="s">
        <v>268</v>
      </c>
      <c r="N37" s="78" t="s">
        <v>269</v>
      </c>
      <c r="O37" s="78" t="s">
        <v>270</v>
      </c>
      <c r="P37" s="89" t="s">
        <v>271</v>
      </c>
    </row>
    <row r="38" spans="2:16">
      <c r="B38" s="74">
        <v>42948</v>
      </c>
      <c r="C38" s="75">
        <v>31730.49</v>
      </c>
      <c r="D38" s="73">
        <f t="shared" si="0"/>
        <v>-2.4125832617252208E-2</v>
      </c>
      <c r="E38" s="75">
        <v>524.35</v>
      </c>
      <c r="F38" s="73">
        <f t="shared" si="0"/>
        <v>4.0893300248139086E-2</v>
      </c>
      <c r="H38" s="86" t="s">
        <v>259</v>
      </c>
      <c r="I38" s="76">
        <v>6.5925969751129583E-3</v>
      </c>
      <c r="J38" s="76">
        <v>7.9480190506524759E-3</v>
      </c>
      <c r="K38" s="76">
        <v>0.82946416372413612</v>
      </c>
      <c r="L38" s="76">
        <v>0.40851663757804124</v>
      </c>
      <c r="M38" s="76">
        <v>-9.1466445875870474E-3</v>
      </c>
      <c r="N38" s="76">
        <v>2.2331838537812964E-2</v>
      </c>
      <c r="O38" s="76">
        <v>-9.1466445875870474E-3</v>
      </c>
      <c r="P38" s="90">
        <v>2.2331838537812964E-2</v>
      </c>
    </row>
    <row r="39" spans="2:16" ht="15.75" thickBot="1">
      <c r="B39" s="74">
        <v>42979</v>
      </c>
      <c r="C39" s="75">
        <v>31283.72</v>
      </c>
      <c r="D39" s="73">
        <f t="shared" si="0"/>
        <v>-1.4080148147727956E-2</v>
      </c>
      <c r="E39" s="75">
        <v>504.7</v>
      </c>
      <c r="F39" s="73">
        <f t="shared" si="0"/>
        <v>-3.7474969009249626E-2</v>
      </c>
      <c r="H39" s="87" t="s">
        <v>272</v>
      </c>
      <c r="I39" s="77">
        <v>1.0530922276210364</v>
      </c>
      <c r="J39" s="77">
        <v>0.16718802646672132</v>
      </c>
      <c r="K39" s="77">
        <v>6.2988495640305544</v>
      </c>
      <c r="L39" s="77">
        <v>5.3391518071930446E-9</v>
      </c>
      <c r="M39" s="77">
        <v>0.72201441839827307</v>
      </c>
      <c r="N39" s="77">
        <v>1.3841700368437997</v>
      </c>
      <c r="O39" s="77">
        <v>0.72201441839827307</v>
      </c>
      <c r="P39" s="91">
        <v>1.3841700368437997</v>
      </c>
    </row>
    <row r="40" spans="2:16">
      <c r="B40" s="74">
        <v>43009</v>
      </c>
      <c r="C40" s="75">
        <v>33213.129999999997</v>
      </c>
      <c r="D40" s="73">
        <f t="shared" si="0"/>
        <v>6.1674570671262696E-2</v>
      </c>
      <c r="E40" s="75">
        <v>568.35</v>
      </c>
      <c r="F40" s="73">
        <f t="shared" si="0"/>
        <v>0.12611452347929464</v>
      </c>
    </row>
    <row r="41" spans="2:16">
      <c r="B41" s="74">
        <v>43040</v>
      </c>
      <c r="C41" s="75">
        <v>33149.35</v>
      </c>
      <c r="D41" s="73">
        <f t="shared" si="0"/>
        <v>-1.9203248835625297E-3</v>
      </c>
      <c r="E41" s="75">
        <v>636.70000000000005</v>
      </c>
      <c r="F41" s="73">
        <f t="shared" si="0"/>
        <v>0.12026040292073548</v>
      </c>
    </row>
    <row r="42" spans="2:16">
      <c r="B42" s="74">
        <v>43070</v>
      </c>
      <c r="C42" s="75">
        <v>34056.83</v>
      </c>
      <c r="D42" s="73">
        <f t="shared" si="0"/>
        <v>2.7375499067100906E-2</v>
      </c>
      <c r="E42" s="75">
        <v>655.7</v>
      </c>
      <c r="F42" s="73">
        <f t="shared" si="0"/>
        <v>2.9841369561802944E-2</v>
      </c>
    </row>
    <row r="43" spans="2:16">
      <c r="B43" s="74">
        <v>43101</v>
      </c>
      <c r="C43" s="75">
        <v>35965.019999999997</v>
      </c>
      <c r="D43" s="73">
        <f t="shared" si="0"/>
        <v>5.6029583493237389E-2</v>
      </c>
      <c r="E43" s="75">
        <v>604.4</v>
      </c>
      <c r="F43" s="73">
        <f t="shared" si="0"/>
        <v>-7.8236998627421173E-2</v>
      </c>
    </row>
    <row r="44" spans="2:16">
      <c r="B44" s="74">
        <v>43132</v>
      </c>
      <c r="C44" s="75">
        <v>34184.04</v>
      </c>
      <c r="D44" s="73">
        <f t="shared" si="0"/>
        <v>-4.9519783389526673E-2</v>
      </c>
      <c r="E44" s="75">
        <v>608.75</v>
      </c>
      <c r="F44" s="73">
        <f t="shared" si="0"/>
        <v>7.1972203838517324E-3</v>
      </c>
    </row>
    <row r="45" spans="2:16">
      <c r="B45" s="74">
        <v>43160</v>
      </c>
      <c r="C45" s="75">
        <v>32968.68</v>
      </c>
      <c r="D45" s="73">
        <f t="shared" si="0"/>
        <v>-3.5553433707660065E-2</v>
      </c>
      <c r="E45" s="75">
        <v>620.6</v>
      </c>
      <c r="F45" s="73">
        <f t="shared" si="0"/>
        <v>1.9466119096509304E-2</v>
      </c>
    </row>
    <row r="46" spans="2:16">
      <c r="B46" s="74">
        <v>43191</v>
      </c>
      <c r="C46" s="75">
        <v>35160.36</v>
      </c>
      <c r="D46" s="73">
        <f t="shared" si="0"/>
        <v>6.6477638777166614E-2</v>
      </c>
      <c r="E46" s="75">
        <v>643.6</v>
      </c>
      <c r="F46" s="73">
        <f t="shared" si="0"/>
        <v>3.7060908797937442E-2</v>
      </c>
    </row>
    <row r="47" spans="2:16">
      <c r="B47" s="74">
        <v>43221</v>
      </c>
      <c r="C47" s="75">
        <v>35322.379999999997</v>
      </c>
      <c r="D47" s="73">
        <f t="shared" si="0"/>
        <v>4.6080301794406697E-3</v>
      </c>
      <c r="E47" s="75">
        <v>540.20000000000005</v>
      </c>
      <c r="F47" s="73">
        <f t="shared" si="0"/>
        <v>-0.16065879428216279</v>
      </c>
    </row>
    <row r="48" spans="2:16">
      <c r="B48" s="74">
        <v>43252</v>
      </c>
      <c r="C48" s="75">
        <v>35423.480000000003</v>
      </c>
      <c r="D48" s="73">
        <f t="shared" si="0"/>
        <v>2.8622080392093352E-3</v>
      </c>
      <c r="E48" s="75">
        <v>521.65</v>
      </c>
      <c r="F48" s="73">
        <f t="shared" si="0"/>
        <v>-3.433913365420227E-2</v>
      </c>
    </row>
    <row r="49" spans="2:6">
      <c r="B49" s="74">
        <v>43282</v>
      </c>
      <c r="C49" s="75">
        <v>37606.58</v>
      </c>
      <c r="D49" s="73">
        <f t="shared" si="0"/>
        <v>6.1628614692853301E-2</v>
      </c>
      <c r="E49" s="75">
        <v>568.20000000000005</v>
      </c>
      <c r="F49" s="73">
        <f t="shared" si="0"/>
        <v>8.923607782996279E-2</v>
      </c>
    </row>
    <row r="50" spans="2:6">
      <c r="B50" s="74">
        <v>43313</v>
      </c>
      <c r="C50" s="75">
        <v>38645.07</v>
      </c>
      <c r="D50" s="73">
        <f t="shared" si="0"/>
        <v>2.7614582341707106E-2</v>
      </c>
      <c r="E50" s="75">
        <v>616.6</v>
      </c>
      <c r="F50" s="73">
        <f t="shared" si="0"/>
        <v>8.5181274199225498E-2</v>
      </c>
    </row>
    <row r="51" spans="2:6">
      <c r="B51" s="74">
        <v>43344</v>
      </c>
      <c r="C51" s="75">
        <v>36227.14</v>
      </c>
      <c r="D51" s="73">
        <f t="shared" si="0"/>
        <v>-6.2567618586277685E-2</v>
      </c>
      <c r="E51" s="75">
        <v>529.15</v>
      </c>
      <c r="F51" s="73">
        <f t="shared" si="0"/>
        <v>-0.14182614336685051</v>
      </c>
    </row>
    <row r="52" spans="2:6">
      <c r="B52" s="74">
        <v>43374</v>
      </c>
      <c r="C52" s="75">
        <v>34442.050000000003</v>
      </c>
      <c r="D52" s="73">
        <f t="shared" si="0"/>
        <v>-4.9274935863002023E-2</v>
      </c>
      <c r="E52" s="75">
        <v>538.04999999999995</v>
      </c>
      <c r="F52" s="73">
        <f t="shared" si="0"/>
        <v>1.6819427383539587E-2</v>
      </c>
    </row>
    <row r="53" spans="2:6">
      <c r="B53" s="74">
        <v>43405</v>
      </c>
      <c r="C53" s="75">
        <v>36194.300000000003</v>
      </c>
      <c r="D53" s="73">
        <f t="shared" si="0"/>
        <v>5.0875310848221833E-2</v>
      </c>
      <c r="E53" s="75">
        <v>553.79999999999995</v>
      </c>
      <c r="F53" s="73">
        <f t="shared" si="0"/>
        <v>2.9272372456091489E-2</v>
      </c>
    </row>
    <row r="54" spans="2:6">
      <c r="B54" s="74">
        <v>43435</v>
      </c>
      <c r="C54" s="75">
        <v>36068.33</v>
      </c>
      <c r="D54" s="73">
        <f t="shared" si="0"/>
        <v>-3.4803822701364728E-3</v>
      </c>
      <c r="E54" s="75">
        <v>552.45000000000005</v>
      </c>
      <c r="F54" s="73">
        <f t="shared" si="0"/>
        <v>-2.4377031419283712E-3</v>
      </c>
    </row>
    <row r="55" spans="2:6">
      <c r="B55" s="74">
        <v>43466</v>
      </c>
      <c r="C55" s="75">
        <v>36256.69</v>
      </c>
      <c r="D55" s="73">
        <f t="shared" si="0"/>
        <v>5.2223099877370949E-3</v>
      </c>
      <c r="E55" s="75">
        <v>540.5</v>
      </c>
      <c r="F55" s="73">
        <f t="shared" si="0"/>
        <v>-2.1630916825052138E-2</v>
      </c>
    </row>
    <row r="56" spans="2:6">
      <c r="B56" s="74">
        <v>43497</v>
      </c>
      <c r="C56" s="75">
        <v>35867.440000000002</v>
      </c>
      <c r="D56" s="73">
        <f t="shared" si="0"/>
        <v>-1.0735949696455971E-2</v>
      </c>
      <c r="E56" s="75">
        <v>566.1</v>
      </c>
      <c r="F56" s="73">
        <f t="shared" si="0"/>
        <v>4.7363552266419973E-2</v>
      </c>
    </row>
    <row r="57" spans="2:6">
      <c r="B57" s="74">
        <v>43525</v>
      </c>
      <c r="C57" s="75">
        <v>38672.910000000003</v>
      </c>
      <c r="D57" s="73">
        <f t="shared" si="0"/>
        <v>7.8217737312727076E-2</v>
      </c>
      <c r="E57" s="75">
        <v>630.45000000000005</v>
      </c>
      <c r="F57" s="73">
        <f t="shared" si="0"/>
        <v>0.11367249602543716</v>
      </c>
    </row>
    <row r="58" spans="2:6">
      <c r="B58" s="74">
        <v>43556</v>
      </c>
      <c r="C58" s="75">
        <v>39031.550000000003</v>
      </c>
      <c r="D58" s="73">
        <f t="shared" si="0"/>
        <v>9.2736750350568276E-3</v>
      </c>
      <c r="E58" s="75">
        <v>602.85</v>
      </c>
      <c r="F58" s="73">
        <f t="shared" si="0"/>
        <v>-4.3778253628360742E-2</v>
      </c>
    </row>
    <row r="59" spans="2:6">
      <c r="B59" s="74">
        <v>43586</v>
      </c>
      <c r="C59" s="75">
        <v>39714.199999999997</v>
      </c>
      <c r="D59" s="73">
        <f t="shared" si="0"/>
        <v>1.7489697437073293E-2</v>
      </c>
      <c r="E59" s="75">
        <v>578.9</v>
      </c>
      <c r="F59" s="73">
        <f t="shared" si="0"/>
        <v>-3.9727958862071922E-2</v>
      </c>
    </row>
    <row r="60" spans="2:6">
      <c r="B60" s="74">
        <v>43617</v>
      </c>
      <c r="C60" s="75">
        <v>39394.639999999999</v>
      </c>
      <c r="D60" s="73">
        <f t="shared" si="0"/>
        <v>-8.0464921866737482E-3</v>
      </c>
      <c r="E60" s="75">
        <v>643.54999999999995</v>
      </c>
      <c r="F60" s="73">
        <f t="shared" si="0"/>
        <v>0.11167731905337708</v>
      </c>
    </row>
    <row r="61" spans="2:6">
      <c r="B61" s="74">
        <v>43647</v>
      </c>
      <c r="C61" s="75">
        <v>37481.120000000003</v>
      </c>
      <c r="D61" s="73">
        <f t="shared" si="0"/>
        <v>-4.8573105376771952E-2</v>
      </c>
      <c r="E61" s="75">
        <v>582.15</v>
      </c>
      <c r="F61" s="73">
        <f t="shared" si="0"/>
        <v>-9.5408282184756388E-2</v>
      </c>
    </row>
    <row r="62" spans="2:6">
      <c r="B62" s="74">
        <v>43678</v>
      </c>
      <c r="C62" s="75">
        <v>37332.79</v>
      </c>
      <c r="D62" s="73">
        <f t="shared" si="0"/>
        <v>-3.9574591154160066E-3</v>
      </c>
      <c r="E62" s="75">
        <v>640.85</v>
      </c>
      <c r="F62" s="73">
        <f t="shared" si="0"/>
        <v>0.10083311861204169</v>
      </c>
    </row>
    <row r="63" spans="2:6">
      <c r="B63" s="74">
        <v>43709</v>
      </c>
      <c r="C63" s="75">
        <v>38667.33</v>
      </c>
      <c r="D63" s="73">
        <f t="shared" si="0"/>
        <v>3.5747127391229094E-2</v>
      </c>
      <c r="E63" s="75">
        <v>679.85</v>
      </c>
      <c r="F63" s="73">
        <f t="shared" si="0"/>
        <v>6.0856674728875682E-2</v>
      </c>
    </row>
    <row r="64" spans="2:6">
      <c r="B64" s="74">
        <v>43739</v>
      </c>
      <c r="C64" s="75">
        <v>40129.050000000003</v>
      </c>
      <c r="D64" s="73">
        <f t="shared" si="0"/>
        <v>3.7802454940643715E-2</v>
      </c>
      <c r="E64" s="75">
        <v>708.3</v>
      </c>
      <c r="F64" s="73">
        <f t="shared" si="0"/>
        <v>4.1847466352871843E-2</v>
      </c>
    </row>
    <row r="65" spans="2:6">
      <c r="B65" s="74">
        <v>43770</v>
      </c>
      <c r="C65" s="75">
        <v>40793.81</v>
      </c>
      <c r="D65" s="73">
        <f t="shared" si="0"/>
        <v>1.6565555376965024E-2</v>
      </c>
      <c r="E65" s="75">
        <v>700.5</v>
      </c>
      <c r="F65" s="73">
        <f t="shared" si="0"/>
        <v>-1.1012282930961348E-2</v>
      </c>
    </row>
    <row r="66" spans="2:6">
      <c r="B66" s="74">
        <v>43800</v>
      </c>
      <c r="C66" s="75">
        <v>41253.74</v>
      </c>
      <c r="D66" s="73">
        <f t="shared" si="0"/>
        <v>1.127450463685542E-2</v>
      </c>
      <c r="E66" s="75">
        <v>659.3</v>
      </c>
      <c r="F66" s="73">
        <f t="shared" si="0"/>
        <v>-5.8815132048536833E-2</v>
      </c>
    </row>
    <row r="67" spans="2:6">
      <c r="B67" s="74">
        <v>43831</v>
      </c>
      <c r="C67" s="75">
        <v>40723.49</v>
      </c>
      <c r="D67" s="73">
        <f t="shared" si="0"/>
        <v>-1.285338008141812E-2</v>
      </c>
      <c r="E67" s="75">
        <v>695.05</v>
      </c>
      <c r="F67" s="73">
        <f t="shared" si="0"/>
        <v>5.4224177157591313E-2</v>
      </c>
    </row>
    <row r="68" spans="2:6">
      <c r="B68" s="74">
        <v>43862</v>
      </c>
      <c r="C68" s="75">
        <v>38297.29</v>
      </c>
      <c r="D68" s="73">
        <f t="shared" si="0"/>
        <v>-5.957740851778659E-2</v>
      </c>
      <c r="E68" s="75">
        <v>678.95</v>
      </c>
      <c r="F68" s="73">
        <f t="shared" si="0"/>
        <v>-2.3163801165383635E-2</v>
      </c>
    </row>
    <row r="69" spans="2:6">
      <c r="B69" s="74">
        <v>43891</v>
      </c>
      <c r="C69" s="75">
        <v>29468.49</v>
      </c>
      <c r="D69" s="73">
        <f t="shared" si="0"/>
        <v>-0.23053328316442234</v>
      </c>
      <c r="E69" s="75">
        <v>478.85</v>
      </c>
      <c r="F69" s="73">
        <f t="shared" si="0"/>
        <v>-0.29471978790779885</v>
      </c>
    </row>
    <row r="70" spans="2:6">
      <c r="B70" s="74">
        <v>43922</v>
      </c>
      <c r="C70" s="75">
        <v>33717.620000000003</v>
      </c>
      <c r="D70" s="73">
        <f t="shared" si="0"/>
        <v>0.14419232203618182</v>
      </c>
      <c r="E70" s="75">
        <v>505.8</v>
      </c>
      <c r="F70" s="73">
        <f t="shared" si="0"/>
        <v>5.628067244439805E-2</v>
      </c>
    </row>
    <row r="71" spans="2:6">
      <c r="B71" s="74">
        <v>43952</v>
      </c>
      <c r="C71" s="75">
        <v>32424.1</v>
      </c>
      <c r="D71" s="73">
        <f t="shared" si="0"/>
        <v>-3.8363324576289881E-2</v>
      </c>
      <c r="E71" s="75">
        <v>480</v>
      </c>
      <c r="F71" s="73">
        <f t="shared" si="0"/>
        <v>-5.1008303677342881E-2</v>
      </c>
    </row>
    <row r="72" spans="2:6">
      <c r="B72" s="74">
        <v>43983</v>
      </c>
      <c r="C72" s="75">
        <v>34915.800000000003</v>
      </c>
      <c r="D72" s="73">
        <f t="shared" si="0"/>
        <v>7.6847159982852409E-2</v>
      </c>
      <c r="E72" s="75">
        <v>546.15</v>
      </c>
      <c r="F72" s="73">
        <f t="shared" si="0"/>
        <v>0.13781249999999989</v>
      </c>
    </row>
    <row r="73" spans="2:6">
      <c r="B73" s="74">
        <v>44013</v>
      </c>
      <c r="C73" s="75">
        <v>37606.89</v>
      </c>
      <c r="D73" s="73">
        <f t="shared" si="0"/>
        <v>7.7073703022700224E-2</v>
      </c>
      <c r="E73" s="75">
        <v>597.35</v>
      </c>
      <c r="F73" s="73">
        <f t="shared" si="0"/>
        <v>9.3747139064359608E-2</v>
      </c>
    </row>
    <row r="74" spans="2:6">
      <c r="B74" s="74">
        <v>44044</v>
      </c>
      <c r="C74" s="75">
        <v>38628.29</v>
      </c>
      <c r="D74" s="73">
        <f t="shared" si="0"/>
        <v>2.7159916706752441E-2</v>
      </c>
      <c r="E74" s="75">
        <v>635.35</v>
      </c>
      <c r="F74" s="73">
        <f t="shared" si="0"/>
        <v>6.3614296476102838E-2</v>
      </c>
    </row>
    <row r="75" spans="2:6">
      <c r="B75" s="74">
        <v>44075</v>
      </c>
      <c r="C75" s="75">
        <v>38067.93</v>
      </c>
      <c r="D75" s="73">
        <f t="shared" si="0"/>
        <v>-1.4506466633651183E-2</v>
      </c>
      <c r="E75" s="75">
        <v>680.8</v>
      </c>
      <c r="F75" s="73">
        <f t="shared" si="0"/>
        <v>7.1535374203195001E-2</v>
      </c>
    </row>
    <row r="76" spans="2:6">
      <c r="B76" s="74">
        <v>44105</v>
      </c>
      <c r="C76" s="75">
        <v>39614.07</v>
      </c>
      <c r="D76" s="73">
        <f t="shared" si="0"/>
        <v>4.061528956263194E-2</v>
      </c>
      <c r="E76" s="75">
        <v>706.4</v>
      </c>
      <c r="F76" s="73">
        <f t="shared" si="0"/>
        <v>3.7602820211515953E-2</v>
      </c>
    </row>
    <row r="77" spans="2:6">
      <c r="B77" s="74">
        <v>44136</v>
      </c>
      <c r="C77" s="75">
        <v>44149.72</v>
      </c>
      <c r="D77" s="73">
        <f t="shared" si="0"/>
        <v>0.11449593540880798</v>
      </c>
      <c r="E77" s="75">
        <v>806.2</v>
      </c>
      <c r="F77" s="73">
        <f t="shared" si="0"/>
        <v>0.14127972819932055</v>
      </c>
    </row>
    <row r="78" spans="2:6">
      <c r="B78" s="74">
        <v>44166</v>
      </c>
      <c r="C78" s="75">
        <v>47751.33</v>
      </c>
      <c r="D78" s="73">
        <f t="shared" si="0"/>
        <v>8.15771878054945E-2</v>
      </c>
      <c r="E78" s="75">
        <v>826</v>
      </c>
      <c r="F78" s="73">
        <f t="shared" si="0"/>
        <v>2.4559662614735744E-2</v>
      </c>
    </row>
    <row r="79" spans="2:6">
      <c r="B79" s="74">
        <v>44197</v>
      </c>
      <c r="C79" s="75">
        <v>46285.77</v>
      </c>
      <c r="D79" s="73">
        <f t="shared" ref="D79:F133" si="1">C79/C78-1</f>
        <v>-3.0691501158187751E-2</v>
      </c>
      <c r="E79" s="75">
        <v>908.5</v>
      </c>
      <c r="F79" s="73">
        <f t="shared" si="1"/>
        <v>9.9878934624697324E-2</v>
      </c>
    </row>
    <row r="80" spans="2:6">
      <c r="B80" s="74">
        <v>44228</v>
      </c>
      <c r="C80" s="75">
        <v>49099.99</v>
      </c>
      <c r="D80" s="73">
        <f t="shared" si="1"/>
        <v>6.0800976196355938E-2</v>
      </c>
      <c r="E80" s="75">
        <v>1017.3</v>
      </c>
      <c r="F80" s="73">
        <f t="shared" si="1"/>
        <v>0.1197578425976884</v>
      </c>
    </row>
    <row r="81" spans="2:6">
      <c r="B81" s="74">
        <v>44256</v>
      </c>
      <c r="C81" s="75">
        <v>49509.15</v>
      </c>
      <c r="D81" s="73">
        <f t="shared" si="1"/>
        <v>8.3331992531974208E-3</v>
      </c>
      <c r="E81" s="75">
        <v>1001.85</v>
      </c>
      <c r="F81" s="73">
        <f t="shared" si="1"/>
        <v>-1.5187260395163604E-2</v>
      </c>
    </row>
    <row r="82" spans="2:6">
      <c r="B82" s="74">
        <v>44287</v>
      </c>
      <c r="C82" s="75">
        <v>48782.36</v>
      </c>
      <c r="D82" s="73">
        <f t="shared" si="1"/>
        <v>-1.4679912703005393E-2</v>
      </c>
      <c r="E82" s="75">
        <v>957.1</v>
      </c>
      <c r="F82" s="73">
        <f t="shared" si="1"/>
        <v>-4.4667365374058021E-2</v>
      </c>
    </row>
    <row r="83" spans="2:6">
      <c r="B83" s="74">
        <v>44317</v>
      </c>
      <c r="C83" s="75">
        <v>51937.440000000002</v>
      </c>
      <c r="D83" s="73">
        <f t="shared" si="1"/>
        <v>6.4676657709877183E-2</v>
      </c>
      <c r="E83" s="75">
        <v>1006.6</v>
      </c>
      <c r="F83" s="73">
        <f t="shared" si="1"/>
        <v>5.1718733674642081E-2</v>
      </c>
    </row>
    <row r="84" spans="2:6">
      <c r="B84" s="74">
        <v>44348</v>
      </c>
      <c r="C84" s="75">
        <v>52482.71</v>
      </c>
      <c r="D84" s="73">
        <f t="shared" si="1"/>
        <v>1.0498592152404784E-2</v>
      </c>
      <c r="E84" s="75">
        <v>1022.35</v>
      </c>
      <c r="F84" s="73">
        <f t="shared" si="1"/>
        <v>1.5646731571627326E-2</v>
      </c>
    </row>
    <row r="85" spans="2:6">
      <c r="B85" s="74">
        <v>44378</v>
      </c>
      <c r="C85" s="75">
        <v>52586.84</v>
      </c>
      <c r="D85" s="73">
        <f t="shared" si="1"/>
        <v>1.9840819957657185E-3</v>
      </c>
      <c r="E85" s="75">
        <v>1059.3499999999999</v>
      </c>
      <c r="F85" s="73">
        <f t="shared" si="1"/>
        <v>3.6191128282877516E-2</v>
      </c>
    </row>
    <row r="86" spans="2:6">
      <c r="B86" s="74">
        <v>44409</v>
      </c>
      <c r="C86" s="75">
        <v>57552.39</v>
      </c>
      <c r="D86" s="73">
        <f t="shared" si="1"/>
        <v>9.4425715635318763E-2</v>
      </c>
      <c r="E86" s="75">
        <v>995.3</v>
      </c>
      <c r="F86" s="73">
        <f t="shared" si="1"/>
        <v>-6.0461603813659281E-2</v>
      </c>
    </row>
    <row r="87" spans="2:6">
      <c r="B87" s="74">
        <v>44440</v>
      </c>
      <c r="C87" s="75">
        <v>59126.36</v>
      </c>
      <c r="D87" s="73">
        <f t="shared" si="1"/>
        <v>2.7348473277999386E-2</v>
      </c>
      <c r="E87" s="75">
        <v>1219.0999999999999</v>
      </c>
      <c r="F87" s="73">
        <f t="shared" si="1"/>
        <v>0.22485682708731036</v>
      </c>
    </row>
    <row r="88" spans="2:6">
      <c r="B88" s="74">
        <v>44470</v>
      </c>
      <c r="C88" s="75">
        <v>59306.93</v>
      </c>
      <c r="D88" s="73">
        <f t="shared" si="1"/>
        <v>3.0539678072520893E-3</v>
      </c>
      <c r="E88" s="75">
        <v>1204.5</v>
      </c>
      <c r="F88" s="73">
        <f t="shared" si="1"/>
        <v>-1.1976047904191489E-2</v>
      </c>
    </row>
    <row r="89" spans="2:6">
      <c r="B89" s="74">
        <v>44501</v>
      </c>
      <c r="C89" s="75">
        <v>57064.87</v>
      </c>
      <c r="D89" s="73">
        <f t="shared" si="1"/>
        <v>-3.7804351026094252E-2</v>
      </c>
      <c r="E89" s="75">
        <v>1201.3499999999999</v>
      </c>
      <c r="F89" s="73">
        <f t="shared" si="1"/>
        <v>-2.6151930261519851E-3</v>
      </c>
    </row>
    <row r="90" spans="2:6">
      <c r="B90" s="74">
        <v>44531</v>
      </c>
      <c r="C90" s="75">
        <v>58253.82</v>
      </c>
      <c r="D90" s="73">
        <f t="shared" si="1"/>
        <v>2.0835060169242414E-2</v>
      </c>
      <c r="E90" s="75">
        <v>1219.3499999999999</v>
      </c>
      <c r="F90" s="73">
        <f t="shared" si="1"/>
        <v>1.4983143963041679E-2</v>
      </c>
    </row>
    <row r="91" spans="2:6">
      <c r="B91" s="74">
        <v>44562</v>
      </c>
      <c r="C91" s="75">
        <v>58014.17</v>
      </c>
      <c r="D91" s="73">
        <f t="shared" si="1"/>
        <v>-4.113893303477778E-3</v>
      </c>
      <c r="E91" s="75">
        <v>1183.4000000000001</v>
      </c>
      <c r="F91" s="73">
        <f t="shared" si="1"/>
        <v>-2.9482921228523251E-2</v>
      </c>
    </row>
    <row r="92" spans="2:6">
      <c r="B92" s="74">
        <v>44593</v>
      </c>
      <c r="C92" s="75">
        <v>56247.28</v>
      </c>
      <c r="D92" s="73">
        <f t="shared" si="1"/>
        <v>-3.0456179929834404E-2</v>
      </c>
      <c r="E92" s="75">
        <v>1262.3</v>
      </c>
      <c r="F92" s="73">
        <f t="shared" si="1"/>
        <v>6.6672300152103903E-2</v>
      </c>
    </row>
    <row r="93" spans="2:6">
      <c r="B93" s="74">
        <v>44621</v>
      </c>
      <c r="C93" s="75">
        <v>58568.51</v>
      </c>
      <c r="D93" s="73">
        <f t="shared" si="1"/>
        <v>4.1268306663006626E-2</v>
      </c>
      <c r="E93" s="75">
        <v>1244.5</v>
      </c>
      <c r="F93" s="73">
        <f t="shared" si="1"/>
        <v>-1.4101243761387883E-2</v>
      </c>
    </row>
    <row r="94" spans="2:6">
      <c r="B94" s="74">
        <v>44652</v>
      </c>
      <c r="C94" s="75">
        <v>57060.87</v>
      </c>
      <c r="D94" s="73">
        <f t="shared" si="1"/>
        <v>-2.5741477800954815E-2</v>
      </c>
      <c r="E94" s="75">
        <v>1260.75</v>
      </c>
      <c r="F94" s="73">
        <f t="shared" si="1"/>
        <v>1.3057452792285984E-2</v>
      </c>
    </row>
    <row r="95" spans="2:6">
      <c r="B95" s="74">
        <v>44682</v>
      </c>
      <c r="C95" s="75">
        <v>55566.41</v>
      </c>
      <c r="D95" s="73">
        <f t="shared" si="1"/>
        <v>-2.6190627657797672E-2</v>
      </c>
      <c r="E95" s="75">
        <v>1019.4</v>
      </c>
      <c r="F95" s="73">
        <f t="shared" si="1"/>
        <v>-0.19143367043426529</v>
      </c>
    </row>
    <row r="96" spans="2:6">
      <c r="B96" s="74">
        <v>44713</v>
      </c>
      <c r="C96" s="75">
        <v>53018.94</v>
      </c>
      <c r="D96" s="73">
        <f t="shared" si="1"/>
        <v>-4.5845502705681329E-2</v>
      </c>
      <c r="E96" s="75">
        <v>972.85</v>
      </c>
      <c r="F96" s="73">
        <f t="shared" si="1"/>
        <v>-4.566411614675292E-2</v>
      </c>
    </row>
    <row r="97" spans="2:6">
      <c r="B97" s="74">
        <v>44743</v>
      </c>
      <c r="C97" s="75">
        <v>57570.25</v>
      </c>
      <c r="D97" s="73">
        <f t="shared" si="1"/>
        <v>8.5843096825398479E-2</v>
      </c>
      <c r="E97" s="75">
        <v>1004.6</v>
      </c>
      <c r="F97" s="73">
        <f t="shared" si="1"/>
        <v>3.2636069280978619E-2</v>
      </c>
    </row>
    <row r="98" spans="2:6">
      <c r="B98" s="74">
        <v>44774</v>
      </c>
      <c r="C98" s="75">
        <v>59537.07</v>
      </c>
      <c r="D98" s="73">
        <f t="shared" si="1"/>
        <v>3.4163825934401926E-2</v>
      </c>
      <c r="E98" s="75">
        <v>1000.8</v>
      </c>
      <c r="F98" s="73">
        <f t="shared" si="1"/>
        <v>-3.7826000398168969E-3</v>
      </c>
    </row>
    <row r="99" spans="2:6">
      <c r="B99" s="74">
        <v>44805</v>
      </c>
      <c r="C99" s="75">
        <v>57426.92</v>
      </c>
      <c r="D99" s="73">
        <f t="shared" si="1"/>
        <v>-3.5442624233943731E-2</v>
      </c>
      <c r="E99" s="75">
        <v>906.4</v>
      </c>
      <c r="F99" s="73">
        <f t="shared" si="1"/>
        <v>-9.4324540367705767E-2</v>
      </c>
    </row>
    <row r="100" spans="2:6">
      <c r="B100" s="74">
        <v>44835</v>
      </c>
      <c r="C100" s="75">
        <v>60746.59</v>
      </c>
      <c r="D100" s="73">
        <f t="shared" si="1"/>
        <v>5.7806861311733293E-2</v>
      </c>
      <c r="E100" s="75">
        <v>876.1</v>
      </c>
      <c r="F100" s="73">
        <f t="shared" si="1"/>
        <v>-3.3428949691085563E-2</v>
      </c>
    </row>
    <row r="101" spans="2:6">
      <c r="B101" s="74">
        <v>44866</v>
      </c>
      <c r="C101" s="75">
        <v>63099.65</v>
      </c>
      <c r="D101" s="73">
        <f t="shared" si="1"/>
        <v>3.8735672241026364E-2</v>
      </c>
      <c r="E101" s="75">
        <v>819.05</v>
      </c>
      <c r="F101" s="73">
        <f t="shared" si="1"/>
        <v>-6.5118137198949988E-2</v>
      </c>
    </row>
    <row r="102" spans="2:6">
      <c r="B102" s="74">
        <v>44896</v>
      </c>
      <c r="C102" s="75">
        <v>60840.74</v>
      </c>
      <c r="D102" s="73">
        <f t="shared" si="1"/>
        <v>-3.5799089218403024E-2</v>
      </c>
      <c r="E102" s="75">
        <v>803.4</v>
      </c>
      <c r="F102" s="73">
        <f t="shared" si="1"/>
        <v>-1.9107502594469139E-2</v>
      </c>
    </row>
    <row r="103" spans="2:6">
      <c r="B103" s="74">
        <v>44927</v>
      </c>
      <c r="C103" s="75">
        <v>59549.9</v>
      </c>
      <c r="D103" s="73">
        <f t="shared" si="1"/>
        <v>-2.1216704464804281E-2</v>
      </c>
      <c r="E103" s="75">
        <v>802.35</v>
      </c>
      <c r="F103" s="73">
        <f t="shared" si="1"/>
        <v>-1.3069454817027371E-3</v>
      </c>
    </row>
    <row r="104" spans="2:6">
      <c r="B104" s="74">
        <v>44958</v>
      </c>
      <c r="C104" s="75">
        <v>58962.12</v>
      </c>
      <c r="D104" s="73">
        <f t="shared" si="1"/>
        <v>-9.8703776160833367E-3</v>
      </c>
      <c r="E104" s="75">
        <v>891.95</v>
      </c>
      <c r="F104" s="73">
        <f t="shared" si="1"/>
        <v>0.11167196360690479</v>
      </c>
    </row>
    <row r="105" spans="2:6">
      <c r="B105" s="74">
        <v>44986</v>
      </c>
      <c r="C105" s="75">
        <v>58991.519999999997</v>
      </c>
      <c r="D105" s="73">
        <f t="shared" si="1"/>
        <v>4.9862521903887291E-4</v>
      </c>
      <c r="E105" s="75">
        <v>818.25</v>
      </c>
      <c r="F105" s="73">
        <f t="shared" si="1"/>
        <v>-8.2627949997197248E-2</v>
      </c>
    </row>
    <row r="106" spans="2:6">
      <c r="B106" s="74">
        <v>45017</v>
      </c>
      <c r="C106" s="75">
        <v>61112.44</v>
      </c>
      <c r="D106" s="73">
        <f t="shared" si="1"/>
        <v>3.5952964087041739E-2</v>
      </c>
      <c r="E106" s="75">
        <v>798.9</v>
      </c>
      <c r="F106" s="73">
        <f t="shared" si="1"/>
        <v>-2.3648029330889164E-2</v>
      </c>
    </row>
    <row r="107" spans="2:6">
      <c r="B107" s="74">
        <v>45047</v>
      </c>
      <c r="C107" s="75">
        <v>62622.239999999998</v>
      </c>
      <c r="D107" s="73">
        <f t="shared" si="1"/>
        <v>2.4705280954254061E-2</v>
      </c>
      <c r="E107" s="75">
        <v>821.85</v>
      </c>
      <c r="F107" s="73">
        <f t="shared" si="1"/>
        <v>2.8726999624483662E-2</v>
      </c>
    </row>
    <row r="108" spans="2:6">
      <c r="B108" s="74">
        <v>45078</v>
      </c>
      <c r="C108" s="75">
        <v>64718.559999999998</v>
      </c>
      <c r="D108" s="73">
        <f t="shared" si="1"/>
        <v>3.3475646990589913E-2</v>
      </c>
      <c r="E108" s="75">
        <v>759.8</v>
      </c>
      <c r="F108" s="73">
        <f t="shared" si="1"/>
        <v>-7.5500395449291324E-2</v>
      </c>
    </row>
    <row r="109" spans="2:6">
      <c r="B109" s="74">
        <v>45108</v>
      </c>
      <c r="C109" s="75">
        <v>66527.67</v>
      </c>
      <c r="D109" s="73">
        <f t="shared" si="1"/>
        <v>2.7953495875062684E-2</v>
      </c>
      <c r="E109" s="75">
        <v>779.8</v>
      </c>
      <c r="F109" s="73">
        <f t="shared" si="1"/>
        <v>2.6322716504343147E-2</v>
      </c>
    </row>
    <row r="110" spans="2:6">
      <c r="B110" s="74">
        <v>45139</v>
      </c>
      <c r="C110" s="75">
        <v>64831.41</v>
      </c>
      <c r="D110" s="73">
        <f t="shared" si="1"/>
        <v>-2.5497060095445945E-2</v>
      </c>
      <c r="E110" s="75">
        <v>869.9</v>
      </c>
      <c r="F110" s="73">
        <f t="shared" si="1"/>
        <v>0.11554244678122605</v>
      </c>
    </row>
    <row r="111" spans="2:6">
      <c r="B111" s="74">
        <v>45170</v>
      </c>
      <c r="C111" s="75">
        <v>65828.41</v>
      </c>
      <c r="D111" s="73">
        <f t="shared" si="1"/>
        <v>1.5378348242001794E-2</v>
      </c>
      <c r="E111" s="75">
        <v>863</v>
      </c>
      <c r="F111" s="73">
        <f t="shared" si="1"/>
        <v>-7.9319462007126917E-3</v>
      </c>
    </row>
    <row r="112" spans="2:6">
      <c r="B112" s="74">
        <v>45200</v>
      </c>
      <c r="C112" s="75">
        <v>63874.93</v>
      </c>
      <c r="D112" s="73">
        <f t="shared" si="1"/>
        <v>-2.9675333188208586E-2</v>
      </c>
      <c r="E112" s="75">
        <v>837.25</v>
      </c>
      <c r="F112" s="73">
        <f t="shared" si="1"/>
        <v>-2.983777520278097E-2</v>
      </c>
    </row>
    <row r="113" spans="2:6">
      <c r="B113" s="74">
        <v>45231</v>
      </c>
      <c r="C113" s="75">
        <v>66988.44</v>
      </c>
      <c r="D113" s="73">
        <f t="shared" si="1"/>
        <v>4.8743849895412916E-2</v>
      </c>
      <c r="E113" s="75">
        <v>826.95</v>
      </c>
      <c r="F113" s="73">
        <f t="shared" si="1"/>
        <v>-1.2302179755150688E-2</v>
      </c>
    </row>
    <row r="114" spans="2:6">
      <c r="B114" s="74">
        <v>45261</v>
      </c>
      <c r="C114" s="75">
        <v>72240.259999999995</v>
      </c>
      <c r="D114" s="73">
        <f t="shared" si="1"/>
        <v>7.8398899869887906E-2</v>
      </c>
      <c r="E114" s="75">
        <v>978.45</v>
      </c>
      <c r="F114" s="73">
        <f t="shared" si="1"/>
        <v>0.18320333756575358</v>
      </c>
    </row>
    <row r="115" spans="2:6">
      <c r="B115" s="74">
        <v>45292</v>
      </c>
      <c r="C115" s="75">
        <v>71752.11</v>
      </c>
      <c r="D115" s="73">
        <f t="shared" si="1"/>
        <v>-6.7573123352545617E-3</v>
      </c>
      <c r="E115" s="75">
        <v>1094.05</v>
      </c>
      <c r="F115" s="73">
        <f t="shared" si="1"/>
        <v>0.11814604731974021</v>
      </c>
    </row>
    <row r="116" spans="2:6">
      <c r="B116" s="74">
        <v>45323</v>
      </c>
      <c r="C116" s="75">
        <v>72500.3</v>
      </c>
      <c r="D116" s="73">
        <f t="shared" si="1"/>
        <v>1.0427428545306983E-2</v>
      </c>
      <c r="E116" s="75">
        <v>1108.7</v>
      </c>
      <c r="F116" s="73">
        <f t="shared" si="1"/>
        <v>1.3390612860472606E-2</v>
      </c>
    </row>
    <row r="117" spans="2:6">
      <c r="B117" s="74">
        <v>45352</v>
      </c>
      <c r="C117" s="75">
        <v>73651.350000000006</v>
      </c>
      <c r="D117" s="73">
        <f t="shared" si="1"/>
        <v>1.5876486028333803E-2</v>
      </c>
      <c r="E117" s="75">
        <v>1103.55</v>
      </c>
      <c r="F117" s="73">
        <f t="shared" si="1"/>
        <v>-4.6450798232164914E-3</v>
      </c>
    </row>
    <row r="118" spans="2:6">
      <c r="B118" s="74">
        <v>45383</v>
      </c>
      <c r="C118" s="75">
        <v>74482.78</v>
      </c>
      <c r="D118" s="73">
        <f t="shared" si="1"/>
        <v>1.1288727226316908E-2</v>
      </c>
      <c r="E118" s="75">
        <v>1475</v>
      </c>
      <c r="F118" s="73">
        <f t="shared" si="1"/>
        <v>0.33659553259933861</v>
      </c>
    </row>
    <row r="119" spans="2:6">
      <c r="B119" s="74">
        <v>45413</v>
      </c>
      <c r="C119" s="75">
        <v>73961.31</v>
      </c>
      <c r="D119" s="73">
        <f t="shared" si="1"/>
        <v>-7.0012155829843881E-3</v>
      </c>
      <c r="E119" s="75">
        <v>1359.6</v>
      </c>
      <c r="F119" s="73">
        <f t="shared" si="1"/>
        <v>-7.8237288135593275E-2</v>
      </c>
    </row>
    <row r="120" spans="2:6">
      <c r="B120" s="74">
        <v>45444</v>
      </c>
      <c r="C120" s="75">
        <v>79032.73</v>
      </c>
      <c r="D120" s="73">
        <f t="shared" si="1"/>
        <v>6.8568552936663751E-2</v>
      </c>
      <c r="E120" s="75">
        <v>1471.9</v>
      </c>
      <c r="F120" s="73">
        <f t="shared" si="1"/>
        <v>8.2597822889085126E-2</v>
      </c>
    </row>
    <row r="121" spans="2:6">
      <c r="B121" s="74">
        <v>45474</v>
      </c>
      <c r="C121" s="75">
        <v>81741.34</v>
      </c>
      <c r="D121" s="73">
        <f t="shared" si="1"/>
        <v>3.427200351044446E-2</v>
      </c>
      <c r="E121" s="75">
        <v>1536.9</v>
      </c>
      <c r="F121" s="73">
        <f t="shared" si="1"/>
        <v>4.4160608737006557E-2</v>
      </c>
    </row>
    <row r="122" spans="2:6">
      <c r="B122" s="74">
        <v>45505</v>
      </c>
      <c r="C122" s="75">
        <v>82365.77</v>
      </c>
      <c r="D122" s="73">
        <f t="shared" si="1"/>
        <v>7.6390966920778514E-3</v>
      </c>
      <c r="E122" s="75">
        <v>1744.9</v>
      </c>
      <c r="F122" s="73">
        <f t="shared" si="1"/>
        <v>0.13533736742793945</v>
      </c>
    </row>
    <row r="123" spans="2:6">
      <c r="B123" s="74">
        <v>45536</v>
      </c>
      <c r="C123" s="75">
        <v>84299.78</v>
      </c>
      <c r="D123" s="73">
        <f t="shared" si="1"/>
        <v>2.3480749345268004E-2</v>
      </c>
      <c r="E123" s="75">
        <v>1845.75</v>
      </c>
      <c r="F123" s="73">
        <f t="shared" si="1"/>
        <v>5.7797008424551599E-2</v>
      </c>
    </row>
    <row r="124" spans="2:6">
      <c r="B124" s="74">
        <v>45566</v>
      </c>
      <c r="C124" s="75">
        <v>79389.06</v>
      </c>
      <c r="D124" s="73">
        <f t="shared" si="1"/>
        <v>-5.8253058311658723E-2</v>
      </c>
      <c r="E124" s="75">
        <v>1650</v>
      </c>
      <c r="F124" s="73">
        <f t="shared" si="1"/>
        <v>-0.10605444941080866</v>
      </c>
    </row>
    <row r="125" spans="2:6">
      <c r="B125" s="74">
        <v>45597</v>
      </c>
      <c r="C125" s="75">
        <v>79802.789999999994</v>
      </c>
      <c r="D125" s="73">
        <f t="shared" si="1"/>
        <v>5.2114233371700625E-3</v>
      </c>
      <c r="E125" s="75">
        <v>1657.45</v>
      </c>
      <c r="F125" s="73">
        <f t="shared" si="1"/>
        <v>4.5151515151515831E-3</v>
      </c>
    </row>
    <row r="126" spans="2:6">
      <c r="B126" s="74">
        <v>45627</v>
      </c>
      <c r="C126" s="75">
        <v>78139.009999999995</v>
      </c>
      <c r="D126" s="73">
        <f t="shared" si="1"/>
        <v>-2.0848644514809611E-2</v>
      </c>
      <c r="E126" s="75">
        <v>1792.1</v>
      </c>
      <c r="F126" s="73">
        <f t="shared" si="1"/>
        <v>8.1239253069474104E-2</v>
      </c>
    </row>
    <row r="127" spans="2:6">
      <c r="B127" s="74">
        <v>45658</v>
      </c>
      <c r="C127" s="75">
        <v>77500.570000000007</v>
      </c>
      <c r="D127" s="73">
        <f t="shared" si="1"/>
        <v>-8.1705667885987321E-3</v>
      </c>
      <c r="E127" s="75">
        <v>1260.95</v>
      </c>
      <c r="F127" s="73">
        <f t="shared" si="1"/>
        <v>-0.29638413034986877</v>
      </c>
    </row>
    <row r="128" spans="2:6">
      <c r="B128" s="74">
        <v>45689</v>
      </c>
      <c r="C128" s="75">
        <v>73198.100000000006</v>
      </c>
      <c r="D128" s="73">
        <f t="shared" si="1"/>
        <v>-5.5515333629159169E-2</v>
      </c>
      <c r="E128" s="75">
        <v>1317.1</v>
      </c>
      <c r="F128" s="73">
        <f t="shared" si="1"/>
        <v>4.4529917919029272E-2</v>
      </c>
    </row>
    <row r="129" spans="2:19">
      <c r="B129" s="74">
        <v>45717</v>
      </c>
      <c r="C129" s="75">
        <v>77414.92</v>
      </c>
      <c r="D129" s="73">
        <f t="shared" si="1"/>
        <v>5.760832589916931E-2</v>
      </c>
      <c r="E129" s="75">
        <v>1458.5</v>
      </c>
      <c r="F129" s="73">
        <f t="shared" si="1"/>
        <v>0.10735707235593361</v>
      </c>
    </row>
    <row r="130" spans="2:19">
      <c r="B130" s="74">
        <v>45748</v>
      </c>
      <c r="C130" s="75">
        <v>80242.240000000005</v>
      </c>
      <c r="D130" s="73">
        <f t="shared" si="1"/>
        <v>3.652164208139741E-2</v>
      </c>
      <c r="E130" s="75">
        <v>1234.5</v>
      </c>
      <c r="F130" s="73">
        <f t="shared" si="1"/>
        <v>-0.15358244772026053</v>
      </c>
    </row>
    <row r="131" spans="2:19">
      <c r="B131" s="74">
        <v>45778</v>
      </c>
      <c r="C131" s="75">
        <v>81451.009999999995</v>
      </c>
      <c r="D131" s="73">
        <f t="shared" si="1"/>
        <v>1.5064011174164449E-2</v>
      </c>
      <c r="E131" s="75">
        <v>1263.8499999999999</v>
      </c>
      <c r="F131" s="73">
        <f t="shared" si="1"/>
        <v>2.3774807614418636E-2</v>
      </c>
    </row>
    <row r="132" spans="2:19">
      <c r="B132" s="74">
        <v>45809</v>
      </c>
      <c r="C132" s="75">
        <v>83606.460000000006</v>
      </c>
      <c r="D132" s="73">
        <f t="shared" si="1"/>
        <v>2.6463146374735125E-2</v>
      </c>
      <c r="E132" s="75">
        <v>1314.3</v>
      </c>
      <c r="F132" s="73">
        <f t="shared" si="1"/>
        <v>3.9917711753768348E-2</v>
      </c>
    </row>
    <row r="133" spans="2:19">
      <c r="B133" s="74">
        <v>45839</v>
      </c>
      <c r="C133" s="75">
        <v>81757.73</v>
      </c>
      <c r="D133" s="73">
        <f t="shared" si="1"/>
        <v>-2.2112286538624071E-2</v>
      </c>
      <c r="E133" s="75">
        <v>1375.4</v>
      </c>
      <c r="F133" s="73">
        <f t="shared" si="1"/>
        <v>4.6488625123640048E-2</v>
      </c>
    </row>
    <row r="135" spans="2:19">
      <c r="B135" s="129"/>
      <c r="C135" s="129"/>
      <c r="D135" s="129"/>
      <c r="E135" s="129"/>
      <c r="F135" s="129"/>
      <c r="G135" s="129"/>
      <c r="H135" s="129"/>
      <c r="I135" s="129"/>
      <c r="J135" s="129"/>
      <c r="K135" s="129"/>
      <c r="L135" s="129"/>
      <c r="M135" s="129"/>
      <c r="N135" s="129"/>
      <c r="O135" s="129"/>
      <c r="P135" s="129"/>
      <c r="Q135" s="129"/>
      <c r="R135" s="129"/>
      <c r="S135" s="129"/>
    </row>
  </sheetData>
  <mergeCells count="7">
    <mergeCell ref="H17:I17"/>
    <mergeCell ref="B11:B12"/>
    <mergeCell ref="C11:C12"/>
    <mergeCell ref="D11:D12"/>
    <mergeCell ref="E11:E12"/>
    <mergeCell ref="F11:F12"/>
    <mergeCell ref="H12:I12"/>
  </mergeCells>
  <conditionalFormatting sqref="D14:D133">
    <cfRule type="dataBar" priority="2">
      <dataBar>
        <cfvo type="min"/>
        <cfvo type="max"/>
        <color rgb="FF63C384"/>
      </dataBar>
      <extLst>
        <ext xmlns:x14="http://schemas.microsoft.com/office/spreadsheetml/2009/9/main" uri="{B025F937-C7B1-47D3-B67F-A62EFF666E3E}">
          <x14:id>{F7E20912-8C5D-4FAA-95DB-FF8B8C08A1CA}</x14:id>
        </ext>
      </extLst>
    </cfRule>
  </conditionalFormatting>
  <conditionalFormatting sqref="F14:F133">
    <cfRule type="dataBar" priority="1">
      <dataBar>
        <cfvo type="min"/>
        <cfvo type="max"/>
        <color rgb="FF63C384"/>
      </dataBar>
      <extLst>
        <ext xmlns:x14="http://schemas.microsoft.com/office/spreadsheetml/2009/9/main" uri="{B025F937-C7B1-47D3-B67F-A62EFF666E3E}">
          <x14:id>{BE220BAD-F236-482A-BE34-5472E2CF8F60}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7E20912-8C5D-4FAA-95DB-FF8B8C08A1CA}">
            <x14:dataBar minLength="0" maxLength="100" border="1" negativeBarBorderColorSameAsPositive="0">
              <x14:cfvo type="autoMin"/>
              <x14:cfvo type="autoMax"/>
              <x14:borderColor rgb="FF63C384"/>
              <x14:negativeFillColor rgb="FFFF0000"/>
              <x14:negativeBorderColor rgb="FFFF0000"/>
              <x14:axisColor rgb="FF000000"/>
            </x14:dataBar>
          </x14:cfRule>
          <xm:sqref>D14:D133</xm:sqref>
        </x14:conditionalFormatting>
        <x14:conditionalFormatting xmlns:xm="http://schemas.microsoft.com/office/excel/2006/main">
          <x14:cfRule type="dataBar" id="{BE220BAD-F236-482A-BE34-5472E2CF8F60}">
            <x14:dataBar minLength="0" maxLength="100" border="1" negativeBarBorderColorSameAsPositive="0">
              <x14:cfvo type="autoMin"/>
              <x14:cfvo type="autoMax"/>
              <x14:borderColor rgb="FF63C384"/>
              <x14:negativeFillColor rgb="FFFF0000"/>
              <x14:negativeBorderColor rgb="FFFF0000"/>
              <x14:axisColor rgb="FF000000"/>
            </x14:dataBar>
          </x14:cfRule>
          <xm:sqref>F14:F133</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C10:S22"/>
  <sheetViews>
    <sheetView showGridLines="0" topLeftCell="A3" workbookViewId="0">
      <selection activeCell="C22" sqref="C22:O22"/>
    </sheetView>
  </sheetViews>
  <sheetFormatPr defaultRowHeight="15"/>
  <cols>
    <col min="1" max="1" width="1.85546875" customWidth="1"/>
    <col min="2" max="2" width="1.42578125" customWidth="1"/>
    <col min="3" max="3" width="16.85546875" bestFit="1" customWidth="1"/>
    <col min="4" max="4" width="12.5703125" bestFit="1" customWidth="1"/>
    <col min="5" max="5" width="13.140625" bestFit="1" customWidth="1"/>
    <col min="6" max="6" width="6.85546875" customWidth="1"/>
    <col min="7" max="7" width="5.28515625" customWidth="1"/>
    <col min="8" max="8" width="5.140625" customWidth="1"/>
    <col min="9" max="9" width="10.140625" bestFit="1" customWidth="1"/>
    <col min="10" max="10" width="9" bestFit="1" customWidth="1"/>
    <col min="11" max="11" width="7.28515625" customWidth="1"/>
  </cols>
  <sheetData>
    <row r="10" spans="3:19" ht="15.75" thickBot="1">
      <c r="C10" s="28" t="s">
        <v>290</v>
      </c>
    </row>
    <row r="11" spans="3:19">
      <c r="C11" s="110" t="s">
        <v>284</v>
      </c>
      <c r="D11" s="111" t="s">
        <v>285</v>
      </c>
      <c r="E11" s="111" t="s">
        <v>286</v>
      </c>
      <c r="F11" s="111" t="s">
        <v>287</v>
      </c>
      <c r="G11" s="111" t="s">
        <v>211</v>
      </c>
      <c r="H11" s="111" t="s">
        <v>203</v>
      </c>
      <c r="I11" s="111" t="s">
        <v>288</v>
      </c>
      <c r="J11" s="111" t="s">
        <v>289</v>
      </c>
      <c r="K11" s="112" t="s">
        <v>156</v>
      </c>
      <c r="R11" s="109"/>
      <c r="S11" s="109"/>
    </row>
    <row r="12" spans="3:19">
      <c r="C12" s="119" t="s">
        <v>277</v>
      </c>
      <c r="D12" s="113" t="s">
        <v>291</v>
      </c>
      <c r="E12" s="114">
        <v>1377</v>
      </c>
      <c r="F12" s="114">
        <v>33.090000000000003</v>
      </c>
      <c r="G12" s="114">
        <v>891.97</v>
      </c>
      <c r="H12" s="114">
        <v>678.24</v>
      </c>
      <c r="I12" s="114">
        <v>834.28</v>
      </c>
      <c r="J12" s="114">
        <v>15412.79</v>
      </c>
      <c r="K12" s="115">
        <v>1116.1800000000012</v>
      </c>
      <c r="L12" s="148">
        <v>0.29899999999999999</v>
      </c>
      <c r="M12" s="129"/>
      <c r="R12" s="109">
        <v>1237.1600000000001</v>
      </c>
      <c r="S12" s="109">
        <v>61.78</v>
      </c>
    </row>
    <row r="13" spans="3:19">
      <c r="C13" s="119" t="s">
        <v>278</v>
      </c>
      <c r="D13" s="113" t="s">
        <v>292</v>
      </c>
      <c r="E13" s="114">
        <v>1845.3</v>
      </c>
      <c r="F13" s="114">
        <v>20.56</v>
      </c>
      <c r="G13" s="114">
        <v>381</v>
      </c>
      <c r="H13" s="114">
        <v>431.92</v>
      </c>
      <c r="I13" s="114">
        <v>591.28</v>
      </c>
      <c r="J13" s="114">
        <v>11967.65</v>
      </c>
      <c r="K13" s="115">
        <f>SUM(R13:S13)</f>
        <v>954.14</v>
      </c>
      <c r="L13" s="148">
        <v>0.247</v>
      </c>
      <c r="M13" s="149">
        <v>500067</v>
      </c>
      <c r="R13" s="109">
        <v>825.77</v>
      </c>
      <c r="S13" s="109">
        <v>128.37</v>
      </c>
    </row>
    <row r="14" spans="3:19">
      <c r="C14" s="119" t="s">
        <v>279</v>
      </c>
      <c r="D14" s="113" t="s">
        <v>293</v>
      </c>
      <c r="E14" s="114">
        <v>7603.5</v>
      </c>
      <c r="F14" s="114">
        <v>3.39</v>
      </c>
      <c r="G14" s="114">
        <v>2058.81</v>
      </c>
      <c r="H14" s="114">
        <v>726.77</v>
      </c>
      <c r="I14" s="114">
        <v>251.15</v>
      </c>
      <c r="J14" s="114">
        <v>9973.02</v>
      </c>
      <c r="K14" s="115">
        <f t="shared" ref="K14:K18" si="0">SUM(R14:S14)</f>
        <v>807</v>
      </c>
      <c r="L14" s="148">
        <v>0.27400000000000002</v>
      </c>
      <c r="M14" s="129"/>
      <c r="R14" s="109">
        <v>578.69000000000005</v>
      </c>
      <c r="S14" s="109">
        <v>228.31</v>
      </c>
    </row>
    <row r="15" spans="3:19">
      <c r="C15" s="119" t="s">
        <v>280</v>
      </c>
      <c r="D15" s="113" t="s">
        <v>294</v>
      </c>
      <c r="E15" s="114">
        <v>343.85</v>
      </c>
      <c r="F15" s="114">
        <v>64.39</v>
      </c>
      <c r="G15" s="114">
        <v>478.59</v>
      </c>
      <c r="H15" s="114">
        <v>353.04</v>
      </c>
      <c r="I15" s="114">
        <v>564.08000000000004</v>
      </c>
      <c r="J15" s="114">
        <v>7863.55</v>
      </c>
      <c r="K15" s="115">
        <f t="shared" si="0"/>
        <v>957.0200000000001</v>
      </c>
      <c r="L15" s="148">
        <v>0.254</v>
      </c>
      <c r="M15" s="129"/>
      <c r="R15" s="109">
        <v>804.19</v>
      </c>
      <c r="S15" s="109">
        <v>152.83000000000001</v>
      </c>
    </row>
    <row r="16" spans="3:19">
      <c r="C16" s="119" t="s">
        <v>281</v>
      </c>
      <c r="D16" s="113" t="s">
        <v>295</v>
      </c>
      <c r="E16" s="114">
        <v>1444.7</v>
      </c>
      <c r="F16" s="114">
        <v>12.69</v>
      </c>
      <c r="G16" s="114">
        <v>62.5</v>
      </c>
      <c r="H16" s="114">
        <v>2559.66</v>
      </c>
      <c r="I16" s="114">
        <v>362.78</v>
      </c>
      <c r="J16" s="114">
        <v>7919.37</v>
      </c>
      <c r="K16" s="115">
        <f t="shared" si="0"/>
        <v>741.11</v>
      </c>
      <c r="L16" s="148">
        <v>0.26</v>
      </c>
      <c r="M16" s="149">
        <v>500238</v>
      </c>
      <c r="R16" s="109">
        <v>527.94000000000005</v>
      </c>
      <c r="S16" s="109">
        <v>213.17</v>
      </c>
    </row>
    <row r="17" spans="3:19">
      <c r="C17" s="119" t="s">
        <v>282</v>
      </c>
      <c r="D17" s="113" t="s">
        <v>296</v>
      </c>
      <c r="E17" s="114">
        <v>405.05</v>
      </c>
      <c r="F17" s="114">
        <v>43.6</v>
      </c>
      <c r="G17" s="114">
        <v>133.52000000000001</v>
      </c>
      <c r="H17" s="114">
        <v>64.5</v>
      </c>
      <c r="I17" s="114">
        <v>313.72000000000003</v>
      </c>
      <c r="J17" s="114">
        <v>5577.82</v>
      </c>
      <c r="K17" s="115">
        <f t="shared" si="0"/>
        <v>529.15</v>
      </c>
      <c r="L17" s="148">
        <v>0.24199999999999999</v>
      </c>
      <c r="M17" s="149">
        <v>532953</v>
      </c>
      <c r="R17" s="109">
        <v>433.49</v>
      </c>
      <c r="S17" s="109">
        <v>95.66</v>
      </c>
    </row>
    <row r="18" spans="3:19" ht="15.75" thickBot="1">
      <c r="C18" s="120" t="s">
        <v>283</v>
      </c>
      <c r="D18" s="116" t="s">
        <v>297</v>
      </c>
      <c r="E18" s="117">
        <v>558.85</v>
      </c>
      <c r="F18" s="117">
        <v>19.34</v>
      </c>
      <c r="G18" s="117">
        <v>25.55</v>
      </c>
      <c r="H18" s="117">
        <v>225.45</v>
      </c>
      <c r="I18" s="117">
        <v>163.29</v>
      </c>
      <c r="J18" s="117">
        <v>2436.06</v>
      </c>
      <c r="K18" s="118">
        <f t="shared" si="0"/>
        <v>276.99</v>
      </c>
      <c r="L18" s="148">
        <v>0.255</v>
      </c>
      <c r="M18" s="149">
        <v>543482</v>
      </c>
      <c r="R18" s="109">
        <v>219.41</v>
      </c>
      <c r="S18" s="109">
        <v>57.58</v>
      </c>
    </row>
    <row r="22" spans="3:19">
      <c r="C22" s="129"/>
      <c r="D22" s="129"/>
      <c r="E22" s="129"/>
      <c r="F22" s="129"/>
      <c r="G22" s="129"/>
      <c r="H22" s="129"/>
      <c r="I22" s="129"/>
      <c r="J22" s="129"/>
      <c r="K22" s="129"/>
      <c r="L22" s="129"/>
      <c r="M22" s="129"/>
      <c r="N22" s="129"/>
      <c r="O22" s="129"/>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8:R35"/>
  <sheetViews>
    <sheetView showGridLines="0" tabSelected="1" topLeftCell="A9" zoomScale="90" zoomScaleNormal="90" workbookViewId="0">
      <selection activeCell="A8" sqref="A8"/>
    </sheetView>
  </sheetViews>
  <sheetFormatPr defaultRowHeight="15"/>
  <cols>
    <col min="1" max="1" width="1.85546875" customWidth="1"/>
    <col min="2" max="2" width="16.85546875" bestFit="1" customWidth="1"/>
    <col min="3" max="3" width="12.5703125" bestFit="1" customWidth="1"/>
    <col min="4" max="4" width="2.42578125" customWidth="1"/>
    <col min="7" max="7" width="15.42578125" bestFit="1" customWidth="1"/>
    <col min="8" max="8" width="18.28515625" bestFit="1" customWidth="1"/>
    <col min="9" max="9" width="11.5703125" bestFit="1" customWidth="1"/>
    <col min="11" max="11" width="3" customWidth="1"/>
    <col min="12" max="12" width="12.42578125" bestFit="1" customWidth="1"/>
    <col min="17" max="17" width="12.28515625" bestFit="1" customWidth="1"/>
  </cols>
  <sheetData>
    <row r="8" spans="2:18">
      <c r="B8" s="344" t="s">
        <v>435</v>
      </c>
      <c r="C8" s="344"/>
      <c r="D8" s="344"/>
      <c r="E8" s="344"/>
      <c r="F8" s="344"/>
      <c r="G8" s="344"/>
      <c r="H8" s="344"/>
      <c r="I8" s="344"/>
      <c r="J8" s="344"/>
      <c r="K8" s="344"/>
      <c r="L8" s="344"/>
      <c r="M8" s="344"/>
      <c r="N8" s="344"/>
      <c r="O8" s="344"/>
      <c r="P8" s="344"/>
      <c r="Q8" s="344"/>
      <c r="R8" s="344"/>
    </row>
    <row r="9" spans="2:18" ht="15.75" thickBot="1"/>
    <row r="10" spans="2:18" ht="15.75" thickBot="1">
      <c r="B10" s="341" t="s">
        <v>330</v>
      </c>
      <c r="C10" s="343"/>
      <c r="E10" s="341" t="s">
        <v>298</v>
      </c>
      <c r="F10" s="342"/>
      <c r="G10" s="342"/>
      <c r="H10" s="342"/>
      <c r="I10" s="342"/>
      <c r="J10" s="343"/>
      <c r="L10" s="341" t="s">
        <v>307</v>
      </c>
      <c r="M10" s="342"/>
      <c r="N10" s="343"/>
      <c r="P10" s="341" t="s">
        <v>308</v>
      </c>
      <c r="Q10" s="342"/>
      <c r="R10" s="343"/>
    </row>
    <row r="11" spans="2:18">
      <c r="B11" s="121"/>
      <c r="C11" s="122"/>
      <c r="E11" s="123" t="s">
        <v>299</v>
      </c>
      <c r="F11" s="124" t="s">
        <v>300</v>
      </c>
      <c r="G11" s="125" t="s">
        <v>301</v>
      </c>
      <c r="H11" s="125" t="s">
        <v>211</v>
      </c>
      <c r="I11" s="125" t="s">
        <v>302</v>
      </c>
      <c r="J11" s="125" t="s">
        <v>303</v>
      </c>
      <c r="L11" s="123" t="s">
        <v>289</v>
      </c>
      <c r="M11" s="124" t="s">
        <v>156</v>
      </c>
      <c r="N11" s="125" t="s">
        <v>309</v>
      </c>
      <c r="P11" s="125" t="s">
        <v>310</v>
      </c>
      <c r="Q11" s="125" t="s">
        <v>311</v>
      </c>
      <c r="R11" s="123" t="s">
        <v>312</v>
      </c>
    </row>
    <row r="12" spans="2:18">
      <c r="B12" s="127" t="s">
        <v>284</v>
      </c>
      <c r="C12" s="128" t="s">
        <v>285</v>
      </c>
      <c r="E12" s="126" t="s">
        <v>304</v>
      </c>
      <c r="F12" s="124" t="s">
        <v>305</v>
      </c>
      <c r="G12" s="125" t="s">
        <v>306</v>
      </c>
      <c r="H12" s="125" t="s">
        <v>306</v>
      </c>
      <c r="I12" s="125" t="s">
        <v>306</v>
      </c>
      <c r="J12" s="125" t="s">
        <v>306</v>
      </c>
      <c r="L12" s="125" t="s">
        <v>306</v>
      </c>
      <c r="M12" s="125" t="s">
        <v>306</v>
      </c>
      <c r="N12" s="125" t="s">
        <v>306</v>
      </c>
      <c r="P12" s="125" t="s">
        <v>313</v>
      </c>
      <c r="Q12" s="125" t="s">
        <v>313</v>
      </c>
      <c r="R12" s="126" t="s">
        <v>313</v>
      </c>
    </row>
    <row r="13" spans="2:18">
      <c r="B13" s="137" t="str">
        <f>'Comps Data'!C13</f>
        <v>Blue Star</v>
      </c>
      <c r="C13" s="137" t="str">
        <f>'Comps Data'!D13</f>
        <v>BLUESTARCO</v>
      </c>
      <c r="D13" s="67"/>
      <c r="E13" s="138">
        <f>'Comps Data'!E13</f>
        <v>1845.3</v>
      </c>
      <c r="F13" s="139">
        <f>'Comps Data'!F13</f>
        <v>20.56</v>
      </c>
      <c r="G13" s="132">
        <f>F13*E13</f>
        <v>37939.367999999995</v>
      </c>
      <c r="H13" s="138">
        <f>'Comps Data'!G13</f>
        <v>381</v>
      </c>
      <c r="I13" s="138">
        <f>'Comps Data'!H13</f>
        <v>431.92</v>
      </c>
      <c r="J13" s="132">
        <f>G13+H13-I13</f>
        <v>37888.447999999997</v>
      </c>
      <c r="K13" s="132"/>
      <c r="L13" s="138">
        <f>'Comps Data'!J13</f>
        <v>11967.65</v>
      </c>
      <c r="M13" s="138">
        <f>'Comps Data'!K13</f>
        <v>954.14</v>
      </c>
      <c r="N13" s="138">
        <f>'Comps Data'!I13</f>
        <v>591.28</v>
      </c>
      <c r="O13" s="67"/>
      <c r="P13" s="130">
        <f>J13/L13</f>
        <v>3.1659054200281589</v>
      </c>
      <c r="Q13" s="130">
        <f>J13/M13</f>
        <v>39.709526903808666</v>
      </c>
      <c r="R13" s="130">
        <f>G13/N13</f>
        <v>64.164808550940322</v>
      </c>
    </row>
    <row r="14" spans="2:18">
      <c r="B14" s="137" t="str">
        <f>'Comps Data'!C14</f>
        <v>Amber Enterp.</v>
      </c>
      <c r="C14" s="137" t="str">
        <f>'Comps Data'!D14</f>
        <v>AMBER</v>
      </c>
      <c r="D14" s="67"/>
      <c r="E14" s="138">
        <f>'Comps Data'!E14</f>
        <v>7603.5</v>
      </c>
      <c r="F14" s="139">
        <f>'Comps Data'!F14</f>
        <v>3.39</v>
      </c>
      <c r="G14" s="132">
        <f t="shared" ref="G14:G18" si="0">F14*E14</f>
        <v>25775.865000000002</v>
      </c>
      <c r="H14" s="138">
        <f>'Comps Data'!G14</f>
        <v>2058.81</v>
      </c>
      <c r="I14" s="138">
        <f>'Comps Data'!H14</f>
        <v>726.77</v>
      </c>
      <c r="J14" s="132">
        <f t="shared" ref="J14:J18" si="1">G14+H14-I14</f>
        <v>27107.905000000002</v>
      </c>
      <c r="K14" s="132"/>
      <c r="L14" s="138">
        <f>'Comps Data'!J14</f>
        <v>9973.02</v>
      </c>
      <c r="M14" s="138">
        <f>'Comps Data'!K14</f>
        <v>807</v>
      </c>
      <c r="N14" s="138">
        <f>'Comps Data'!I14</f>
        <v>251.15</v>
      </c>
      <c r="O14" s="67"/>
      <c r="P14" s="130">
        <f t="shared" ref="P14:P18" si="2">J14/L14</f>
        <v>2.7181239985480827</v>
      </c>
      <c r="Q14" s="130">
        <f t="shared" ref="Q14:Q18" si="3">J14/M14</f>
        <v>33.590960346964067</v>
      </c>
      <c r="R14" s="130">
        <f t="shared" ref="R14:R18" si="4">G14/N14</f>
        <v>102.63135576348796</v>
      </c>
    </row>
    <row r="15" spans="2:18">
      <c r="B15" s="137" t="str">
        <f>'Comps Data'!C15</f>
        <v>Crompton Gr. Con</v>
      </c>
      <c r="C15" s="137" t="str">
        <f>'Comps Data'!D15</f>
        <v>CROMPTON</v>
      </c>
      <c r="D15" s="67"/>
      <c r="E15" s="138">
        <f>'Comps Data'!E15</f>
        <v>343.85</v>
      </c>
      <c r="F15" s="139">
        <f>'Comps Data'!F15</f>
        <v>64.39</v>
      </c>
      <c r="G15" s="132">
        <f t="shared" si="0"/>
        <v>22140.501500000002</v>
      </c>
      <c r="H15" s="138">
        <f>'Comps Data'!G15</f>
        <v>478.59</v>
      </c>
      <c r="I15" s="138">
        <f>'Comps Data'!H15</f>
        <v>353.04</v>
      </c>
      <c r="J15" s="132">
        <f t="shared" si="1"/>
        <v>22266.051500000001</v>
      </c>
      <c r="K15" s="132"/>
      <c r="L15" s="138">
        <f>'Comps Data'!J15</f>
        <v>7863.55</v>
      </c>
      <c r="M15" s="138">
        <f>'Comps Data'!K15</f>
        <v>957.0200000000001</v>
      </c>
      <c r="N15" s="138">
        <f>'Comps Data'!I15</f>
        <v>564.08000000000004</v>
      </c>
      <c r="O15" s="67"/>
      <c r="P15" s="130">
        <f t="shared" si="2"/>
        <v>2.8315520979710183</v>
      </c>
      <c r="Q15" s="130">
        <f t="shared" si="3"/>
        <v>23.266025265929656</v>
      </c>
      <c r="R15" s="130">
        <f t="shared" si="4"/>
        <v>39.250640866543755</v>
      </c>
    </row>
    <row r="16" spans="2:18">
      <c r="B16" s="137" t="str">
        <f>'Comps Data'!C16</f>
        <v>Whirlpool India</v>
      </c>
      <c r="C16" s="137" t="str">
        <f>'Comps Data'!D16</f>
        <v>WHIRLPOOL</v>
      </c>
      <c r="D16" s="67"/>
      <c r="E16" s="138">
        <f>'Comps Data'!E16</f>
        <v>1444.7</v>
      </c>
      <c r="F16" s="139">
        <f>'Comps Data'!F16</f>
        <v>12.69</v>
      </c>
      <c r="G16" s="132">
        <f t="shared" si="0"/>
        <v>18333.242999999999</v>
      </c>
      <c r="H16" s="138">
        <f>'Comps Data'!G16</f>
        <v>62.5</v>
      </c>
      <c r="I16" s="138">
        <f>'Comps Data'!H16</f>
        <v>2559.66</v>
      </c>
      <c r="J16" s="132">
        <f t="shared" si="1"/>
        <v>15836.082999999999</v>
      </c>
      <c r="K16" s="132"/>
      <c r="L16" s="138">
        <f>'Comps Data'!J16</f>
        <v>7919.37</v>
      </c>
      <c r="M16" s="138">
        <f>'Comps Data'!K16</f>
        <v>741.11</v>
      </c>
      <c r="N16" s="138">
        <f>'Comps Data'!I16</f>
        <v>362.78</v>
      </c>
      <c r="O16" s="67"/>
      <c r="P16" s="130">
        <f t="shared" si="2"/>
        <v>1.9996644935140042</v>
      </c>
      <c r="Q16" s="130">
        <f t="shared" si="3"/>
        <v>21.368060072054078</v>
      </c>
      <c r="R16" s="130">
        <f t="shared" si="4"/>
        <v>50.535429185732397</v>
      </c>
    </row>
    <row r="17" spans="2:18">
      <c r="B17" s="137" t="str">
        <f>'Comps Data'!C17</f>
        <v>V-Guard Industri</v>
      </c>
      <c r="C17" s="137" t="str">
        <f>'Comps Data'!D17</f>
        <v>VGUARD</v>
      </c>
      <c r="D17" s="67"/>
      <c r="E17" s="138">
        <f>'Comps Data'!E17</f>
        <v>405.05</v>
      </c>
      <c r="F17" s="139">
        <f>'Comps Data'!F17</f>
        <v>43.6</v>
      </c>
      <c r="G17" s="132">
        <f t="shared" si="0"/>
        <v>17660.18</v>
      </c>
      <c r="H17" s="138">
        <f>'Comps Data'!G17</f>
        <v>133.52000000000001</v>
      </c>
      <c r="I17" s="138">
        <f>'Comps Data'!H17</f>
        <v>64.5</v>
      </c>
      <c r="J17" s="132">
        <f t="shared" si="1"/>
        <v>17729.2</v>
      </c>
      <c r="K17" s="132"/>
      <c r="L17" s="138">
        <f>'Comps Data'!J17</f>
        <v>5577.82</v>
      </c>
      <c r="M17" s="138">
        <f>'Comps Data'!K17</f>
        <v>529.15</v>
      </c>
      <c r="N17" s="138">
        <f>'Comps Data'!I17</f>
        <v>313.72000000000003</v>
      </c>
      <c r="O17" s="67"/>
      <c r="P17" s="130">
        <f t="shared" si="2"/>
        <v>3.1785177721762268</v>
      </c>
      <c r="Q17" s="130">
        <f t="shared" si="3"/>
        <v>33.505055277331572</v>
      </c>
      <c r="R17" s="130">
        <f t="shared" si="4"/>
        <v>56.292808874155291</v>
      </c>
    </row>
    <row r="18" spans="2:18">
      <c r="B18" s="137" t="str">
        <f>'Comps Data'!C18</f>
        <v>Eureka Forbes</v>
      </c>
      <c r="C18" s="137" t="str">
        <f>'Comps Data'!D18</f>
        <v>EUREKAFORB</v>
      </c>
      <c r="D18" s="67"/>
      <c r="E18" s="138">
        <f>'Comps Data'!E18</f>
        <v>558.85</v>
      </c>
      <c r="F18" s="139">
        <f>'Comps Data'!F18</f>
        <v>19.34</v>
      </c>
      <c r="G18" s="132">
        <f t="shared" si="0"/>
        <v>10808.159</v>
      </c>
      <c r="H18" s="138">
        <f>'Comps Data'!G18</f>
        <v>25.55</v>
      </c>
      <c r="I18" s="138">
        <f>'Comps Data'!H18</f>
        <v>225.45</v>
      </c>
      <c r="J18" s="132">
        <f t="shared" si="1"/>
        <v>10608.258999999998</v>
      </c>
      <c r="K18" s="132"/>
      <c r="L18" s="138">
        <f>'Comps Data'!J18</f>
        <v>2436.06</v>
      </c>
      <c r="M18" s="138">
        <f>'Comps Data'!K18</f>
        <v>276.99</v>
      </c>
      <c r="N18" s="138">
        <f>'Comps Data'!I18</f>
        <v>163.29</v>
      </c>
      <c r="O18" s="67"/>
      <c r="P18" s="130">
        <f t="shared" si="2"/>
        <v>4.3546788666945799</v>
      </c>
      <c r="Q18" s="130">
        <f t="shared" si="3"/>
        <v>38.298346510704349</v>
      </c>
      <c r="R18" s="130">
        <f t="shared" si="4"/>
        <v>66.189962643150224</v>
      </c>
    </row>
    <row r="20" spans="2:18">
      <c r="B20" s="133" t="s">
        <v>319</v>
      </c>
      <c r="C20" s="133"/>
      <c r="D20" s="133"/>
      <c r="E20" s="133"/>
      <c r="F20" s="133"/>
      <c r="G20" s="133"/>
      <c r="H20" s="133"/>
      <c r="I20" s="133"/>
      <c r="J20" s="133"/>
      <c r="K20" s="133"/>
      <c r="L20" s="133"/>
      <c r="M20" s="133"/>
      <c r="N20" s="133"/>
      <c r="O20" s="133"/>
      <c r="P20" s="134">
        <f>MAX(P13:P18)</f>
        <v>4.3546788666945799</v>
      </c>
      <c r="Q20" s="134">
        <f t="shared" ref="Q20:R20" si="5">MAX(Q13:Q18)</f>
        <v>39.709526903808666</v>
      </c>
      <c r="R20" s="134">
        <f t="shared" si="5"/>
        <v>102.63135576348796</v>
      </c>
    </row>
    <row r="21" spans="2:18">
      <c r="B21" s="133" t="s">
        <v>314</v>
      </c>
      <c r="C21" s="133"/>
      <c r="D21" s="133"/>
      <c r="E21" s="133"/>
      <c r="F21" s="133"/>
      <c r="G21" s="133"/>
      <c r="H21" s="133"/>
      <c r="I21" s="133"/>
      <c r="J21" s="133"/>
      <c r="K21" s="133"/>
      <c r="L21" s="133"/>
      <c r="M21" s="133"/>
      <c r="N21" s="133"/>
      <c r="O21" s="133"/>
      <c r="P21" s="134">
        <f>_xlfn.QUARTILE.EXC(P13:P18,3)</f>
        <v>3.472558045805815</v>
      </c>
      <c r="Q21" s="134">
        <f t="shared" ref="Q21:R21" si="6">_xlfn.QUARTILE.EXC(Q13:Q18,3)</f>
        <v>38.651141608980424</v>
      </c>
      <c r="R21" s="134">
        <f t="shared" si="6"/>
        <v>75.300310923234662</v>
      </c>
    </row>
    <row r="22" spans="2:18">
      <c r="B22" s="135" t="s">
        <v>315</v>
      </c>
      <c r="C22" s="135"/>
      <c r="D22" s="135"/>
      <c r="E22" s="135"/>
      <c r="F22" s="135"/>
      <c r="G22" s="135"/>
      <c r="H22" s="135"/>
      <c r="I22" s="135"/>
      <c r="J22" s="135"/>
      <c r="K22" s="135"/>
      <c r="L22" s="135"/>
      <c r="M22" s="135"/>
      <c r="N22" s="135"/>
      <c r="O22" s="135"/>
      <c r="P22" s="136">
        <f>AVERAGE(P13:P18)</f>
        <v>3.0414071081553451</v>
      </c>
      <c r="Q22" s="136">
        <f t="shared" ref="Q22:R22" si="7">AVERAGE(Q13:Q18)</f>
        <v>31.622995729465401</v>
      </c>
      <c r="R22" s="136">
        <f t="shared" si="7"/>
        <v>63.177500980668327</v>
      </c>
    </row>
    <row r="23" spans="2:18">
      <c r="B23" s="135" t="s">
        <v>316</v>
      </c>
      <c r="C23" s="135"/>
      <c r="D23" s="135"/>
      <c r="E23" s="135"/>
      <c r="F23" s="135"/>
      <c r="G23" s="135"/>
      <c r="H23" s="135"/>
      <c r="I23" s="135"/>
      <c r="J23" s="135"/>
      <c r="K23" s="135"/>
      <c r="L23" s="135"/>
      <c r="M23" s="135"/>
      <c r="N23" s="135"/>
      <c r="O23" s="135"/>
      <c r="P23" s="136">
        <f>MEDIAN(P13:P18)</f>
        <v>2.9987287589995884</v>
      </c>
      <c r="Q23" s="136">
        <f t="shared" ref="Q23:R23" si="8">MEDIAN(Q13:Q18)</f>
        <v>33.548007812147816</v>
      </c>
      <c r="R23" s="136">
        <f t="shared" si="8"/>
        <v>60.228808712547803</v>
      </c>
    </row>
    <row r="24" spans="2:18">
      <c r="B24" s="133" t="s">
        <v>317</v>
      </c>
      <c r="C24" s="133"/>
      <c r="D24" s="133"/>
      <c r="E24" s="133"/>
      <c r="F24" s="133"/>
      <c r="G24" s="133"/>
      <c r="H24" s="133"/>
      <c r="I24" s="133"/>
      <c r="J24" s="133"/>
      <c r="K24" s="133"/>
      <c r="L24" s="133"/>
      <c r="M24" s="133"/>
      <c r="N24" s="133"/>
      <c r="O24" s="133"/>
      <c r="P24" s="134">
        <f>_xlfn.QUARTILE.EXC(P13:P18,1)</f>
        <v>2.5385091222895628</v>
      </c>
      <c r="Q24" s="134">
        <f t="shared" ref="Q24:R24" si="9">_xlfn.QUARTILE.EXC(Q13:Q18,1)</f>
        <v>22.791533967460762</v>
      </c>
      <c r="R24" s="134">
        <f t="shared" si="9"/>
        <v>47.714232105935238</v>
      </c>
    </row>
    <row r="25" spans="2:18">
      <c r="B25" s="133" t="s">
        <v>318</v>
      </c>
      <c r="C25" s="133"/>
      <c r="D25" s="133"/>
      <c r="E25" s="133"/>
      <c r="F25" s="133"/>
      <c r="G25" s="133"/>
      <c r="H25" s="133"/>
      <c r="I25" s="133"/>
      <c r="J25" s="133"/>
      <c r="K25" s="133"/>
      <c r="L25" s="133"/>
      <c r="M25" s="133"/>
      <c r="N25" s="133"/>
      <c r="O25" s="133"/>
      <c r="P25" s="134">
        <f>MIN(P13:P18)</f>
        <v>1.9996644935140042</v>
      </c>
      <c r="Q25" s="134">
        <f t="shared" ref="Q25:R25" si="10">MIN(Q13:Q18)</f>
        <v>21.368060072054078</v>
      </c>
      <c r="R25" s="134">
        <f t="shared" si="10"/>
        <v>39.250640866543755</v>
      </c>
    </row>
    <row r="27" spans="2:18">
      <c r="B27" s="140" t="str">
        <f>'Comps Data'!C12</f>
        <v>Voltas</v>
      </c>
      <c r="C27" s="140" t="str">
        <f>'Comps Data'!D12</f>
        <v>VOLTAS</v>
      </c>
      <c r="D27" s="140"/>
      <c r="E27" s="141">
        <f>'Comps Data'!E12</f>
        <v>1377</v>
      </c>
      <c r="F27" s="143">
        <f>'Comps Data'!F12</f>
        <v>33.090000000000003</v>
      </c>
      <c r="G27" s="141">
        <f t="shared" ref="G27" si="11">F27*E27</f>
        <v>45564.930000000008</v>
      </c>
      <c r="H27" s="141">
        <f>'Comps Data'!G12</f>
        <v>891.97</v>
      </c>
      <c r="I27" s="141">
        <f>'Comps Data'!H12</f>
        <v>678.24</v>
      </c>
      <c r="J27" s="141">
        <f t="shared" ref="J27" si="12">G27+H27-I27</f>
        <v>45778.660000000011</v>
      </c>
      <c r="K27" s="141"/>
      <c r="L27" s="141">
        <f>'Comps Data'!J12</f>
        <v>15412.79</v>
      </c>
      <c r="M27" s="141">
        <f>'Comps Data'!K12</f>
        <v>1116.1800000000012</v>
      </c>
      <c r="N27" s="141">
        <f>'Comps Data'!I12</f>
        <v>834.28</v>
      </c>
      <c r="O27" s="140"/>
      <c r="P27" s="142">
        <f>J27/L27</f>
        <v>2.9701734728105689</v>
      </c>
      <c r="Q27" s="142">
        <f>J27/M27</f>
        <v>41.013689548280709</v>
      </c>
      <c r="R27" s="142">
        <f>G27/N27</f>
        <v>54.615872368988839</v>
      </c>
    </row>
    <row r="30" spans="2:18">
      <c r="B30" s="21" t="s">
        <v>320</v>
      </c>
      <c r="C30" s="21"/>
      <c r="D30" s="21"/>
      <c r="E30" s="21" t="s">
        <v>321</v>
      </c>
      <c r="F30" s="21" t="s">
        <v>326</v>
      </c>
      <c r="G30" s="21" t="s">
        <v>325</v>
      </c>
      <c r="H30" s="21" t="s">
        <v>327</v>
      </c>
      <c r="I30" s="21" t="s">
        <v>328</v>
      </c>
      <c r="J30" s="21" t="s">
        <v>323</v>
      </c>
      <c r="L30" s="21" t="s">
        <v>329</v>
      </c>
    </row>
    <row r="31" spans="2:18">
      <c r="B31" s="67" t="s">
        <v>324</v>
      </c>
      <c r="C31" s="67"/>
      <c r="D31" s="67"/>
      <c r="E31" s="130">
        <f>P23</f>
        <v>2.9987287589995884</v>
      </c>
      <c r="F31" s="132">
        <f>E31*L27</f>
        <v>46218.776629421271</v>
      </c>
      <c r="G31" s="132">
        <f>$H$27-$I$27</f>
        <v>213.73000000000002</v>
      </c>
      <c r="H31" s="132">
        <f>F31-G31</f>
        <v>46005.046629421267</v>
      </c>
      <c r="I31" s="131">
        <f>$F$27</f>
        <v>33.090000000000003</v>
      </c>
      <c r="J31" s="132">
        <f>H31/I31</f>
        <v>1390.3005932130934</v>
      </c>
      <c r="K31" s="67"/>
      <c r="L31" s="285" t="str">
        <f>IF(J31&gt;$E$27,"Undervalued","Overvalued")</f>
        <v>Undervalued</v>
      </c>
    </row>
    <row r="32" spans="2:18">
      <c r="B32" s="67" t="s">
        <v>311</v>
      </c>
      <c r="C32" s="67"/>
      <c r="D32" s="67"/>
      <c r="E32" s="130">
        <f>Q23</f>
        <v>33.548007812147816</v>
      </c>
      <c r="F32" s="132">
        <f>E32*M27</f>
        <v>37445.615359763193</v>
      </c>
      <c r="G32" s="132">
        <f t="shared" ref="G32:G33" si="13">$H$27-$I$27</f>
        <v>213.73000000000002</v>
      </c>
      <c r="H32" s="132">
        <f t="shared" ref="H32" si="14">F32-G32</f>
        <v>37231.88535976319</v>
      </c>
      <c r="I32" s="131">
        <f t="shared" ref="I32:I33" si="15">$F$27</f>
        <v>33.090000000000003</v>
      </c>
      <c r="J32" s="132">
        <f t="shared" ref="J32:J33" si="16">H32/I32</f>
        <v>1125.1703040121845</v>
      </c>
      <c r="K32" s="67"/>
      <c r="L32" s="286" t="str">
        <f t="shared" ref="L32:L33" si="17">IF(J32&gt;$E$27,"Undervalued","Overvalued")</f>
        <v>Overvalued</v>
      </c>
    </row>
    <row r="33" spans="2:18">
      <c r="B33" s="67" t="s">
        <v>312</v>
      </c>
      <c r="C33" s="67"/>
      <c r="D33" s="67"/>
      <c r="E33" s="130">
        <f>R23</f>
        <v>60.228808712547803</v>
      </c>
      <c r="F33" s="132">
        <f>H33+G33</f>
        <v>50461.420532704382</v>
      </c>
      <c r="G33" s="132">
        <f t="shared" si="13"/>
        <v>213.73000000000002</v>
      </c>
      <c r="H33" s="132">
        <f>E33*N27</f>
        <v>50247.690532704379</v>
      </c>
      <c r="I33" s="131">
        <f t="shared" si="15"/>
        <v>33.090000000000003</v>
      </c>
      <c r="J33" s="132">
        <f t="shared" si="16"/>
        <v>1518.5158819191408</v>
      </c>
      <c r="K33" s="67"/>
      <c r="L33" s="285" t="str">
        <f t="shared" si="17"/>
        <v>Undervalued</v>
      </c>
    </row>
    <row r="35" spans="2:18">
      <c r="B35" s="129"/>
      <c r="C35" s="129"/>
      <c r="D35" s="129"/>
      <c r="E35" s="129"/>
      <c r="F35" s="129"/>
      <c r="G35" s="129"/>
      <c r="H35" s="129"/>
      <c r="I35" s="129"/>
      <c r="J35" s="129"/>
      <c r="K35" s="129"/>
      <c r="L35" s="129"/>
      <c r="M35" s="129"/>
      <c r="N35" s="129"/>
      <c r="O35" s="129"/>
      <c r="P35" s="129"/>
      <c r="Q35" s="129"/>
      <c r="R35" s="129"/>
    </row>
  </sheetData>
  <mergeCells count="5">
    <mergeCell ref="L10:N10"/>
    <mergeCell ref="P10:R10"/>
    <mergeCell ref="E10:J10"/>
    <mergeCell ref="B10:C10"/>
    <mergeCell ref="B8:R8"/>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0:L55"/>
  <sheetViews>
    <sheetView showGridLines="0" topLeftCell="A33" workbookViewId="0">
      <selection activeCell="B10" sqref="B10:J10"/>
    </sheetView>
  </sheetViews>
  <sheetFormatPr defaultRowHeight="15"/>
  <cols>
    <col min="1" max="1" width="1.85546875" customWidth="1"/>
    <col min="2" max="2" width="27.85546875" bestFit="1" customWidth="1"/>
    <col min="3" max="3" width="8.140625" bestFit="1" customWidth="1"/>
    <col min="4" max="4" width="12.28515625" bestFit="1" customWidth="1"/>
    <col min="5" max="5" width="10.140625" bestFit="1" customWidth="1"/>
    <col min="6" max="6" width="12.140625" bestFit="1" customWidth="1"/>
    <col min="7" max="7" width="12.28515625" bestFit="1" customWidth="1"/>
    <col min="8" max="8" width="8" bestFit="1" customWidth="1"/>
    <col min="9" max="9" width="12.5703125" bestFit="1" customWidth="1"/>
    <col min="10" max="10" width="14.85546875" bestFit="1" customWidth="1"/>
  </cols>
  <sheetData>
    <row r="10" spans="2:10">
      <c r="B10" s="344" t="s">
        <v>331</v>
      </c>
      <c r="C10" s="344"/>
      <c r="D10" s="344"/>
      <c r="E10" s="344"/>
      <c r="F10" s="344"/>
      <c r="G10" s="344"/>
      <c r="H10" s="344"/>
      <c r="I10" s="344"/>
      <c r="J10" s="344"/>
    </row>
    <row r="12" spans="2:10">
      <c r="B12" s="21" t="s">
        <v>284</v>
      </c>
      <c r="C12" s="21"/>
      <c r="D12" s="21" t="s">
        <v>332</v>
      </c>
      <c r="E12" s="21" t="s">
        <v>333</v>
      </c>
      <c r="F12" s="21" t="s">
        <v>334</v>
      </c>
      <c r="G12" s="21" t="s">
        <v>335</v>
      </c>
      <c r="H12" s="21" t="s">
        <v>336</v>
      </c>
      <c r="I12" s="145" t="s">
        <v>337</v>
      </c>
      <c r="J12" s="21" t="s">
        <v>338</v>
      </c>
    </row>
    <row r="13" spans="2:10">
      <c r="B13" t="str">
        <f>'Comps Valuation'!B13</f>
        <v>Blue Star</v>
      </c>
      <c r="D13" s="155">
        <f>'Comps Valuation'!G13</f>
        <v>37939.367999999995</v>
      </c>
      <c r="E13" s="155">
        <f>'Comps Valuation'!H13</f>
        <v>381</v>
      </c>
      <c r="F13" s="144">
        <f>E13/D13</f>
        <v>1.0042339134378835E-2</v>
      </c>
      <c r="G13" s="144">
        <f>E13/(D13+E13)</f>
        <v>9.9424932453675823E-3</v>
      </c>
      <c r="H13" s="147">
        <f>'Comps Data'!L13</f>
        <v>0.247</v>
      </c>
      <c r="I13" s="146">
        <v>0.06</v>
      </c>
      <c r="J13" s="35">
        <f>I13/(1+F13*(1-H13))</f>
        <v>5.9549692291380525E-2</v>
      </c>
    </row>
    <row r="14" spans="2:10">
      <c r="B14" t="str">
        <f>'Comps Valuation'!B14</f>
        <v>Amber Enterp.</v>
      </c>
      <c r="D14" s="155">
        <f>'Comps Valuation'!G14</f>
        <v>25775.865000000002</v>
      </c>
      <c r="E14" s="155">
        <f>'Comps Valuation'!H14</f>
        <v>2058.81</v>
      </c>
      <c r="F14" s="144">
        <f t="shared" ref="F14:F18" si="0">E14/D14</f>
        <v>7.9873556134779561E-2</v>
      </c>
      <c r="G14" s="144">
        <f t="shared" ref="G14:G18" si="1">E14/(D14+E14)</f>
        <v>7.3965656146515082E-2</v>
      </c>
      <c r="H14" s="147">
        <f>'Comps Data'!L14</f>
        <v>0.27400000000000002</v>
      </c>
      <c r="I14" s="146">
        <v>-0.25</v>
      </c>
      <c r="J14" s="35">
        <f t="shared" ref="J14:J18" si="2">I14/(1+F14*(1-H14))</f>
        <v>-0.23629753109304014</v>
      </c>
    </row>
    <row r="15" spans="2:10">
      <c r="B15" t="str">
        <f>'Comps Valuation'!B15</f>
        <v>Crompton Gr. Con</v>
      </c>
      <c r="D15" s="155">
        <f>'Comps Valuation'!G15</f>
        <v>22140.501500000002</v>
      </c>
      <c r="E15" s="155">
        <f>'Comps Valuation'!H15</f>
        <v>478.59</v>
      </c>
      <c r="F15" s="144">
        <f t="shared" si="0"/>
        <v>2.1616041533657218E-2</v>
      </c>
      <c r="G15" s="144">
        <f t="shared" si="1"/>
        <v>2.1158674741644682E-2</v>
      </c>
      <c r="H15" s="147">
        <f>'Comps Data'!L15</f>
        <v>0.254</v>
      </c>
      <c r="I15" s="146">
        <v>0.22</v>
      </c>
      <c r="J15" s="35">
        <f t="shared" si="2"/>
        <v>0.2165086748608902</v>
      </c>
    </row>
    <row r="16" spans="2:10">
      <c r="B16" t="str">
        <f>'Comps Valuation'!B16</f>
        <v>Whirlpool India</v>
      </c>
      <c r="D16" s="155">
        <f>'Comps Valuation'!G16</f>
        <v>18333.242999999999</v>
      </c>
      <c r="E16" s="155">
        <f>'Comps Valuation'!H16</f>
        <v>62.5</v>
      </c>
      <c r="F16" s="144">
        <f t="shared" si="0"/>
        <v>3.4091077066943369E-3</v>
      </c>
      <c r="G16" s="144">
        <f t="shared" si="1"/>
        <v>3.397525177428278E-3</v>
      </c>
      <c r="H16" s="147">
        <f>'Comps Data'!L16</f>
        <v>0.26</v>
      </c>
      <c r="I16" s="146">
        <v>0.21</v>
      </c>
      <c r="J16" s="35">
        <f t="shared" si="2"/>
        <v>0.20947155778453733</v>
      </c>
    </row>
    <row r="17" spans="2:10">
      <c r="B17" t="str">
        <f>'Comps Valuation'!B17</f>
        <v>V-Guard Industri</v>
      </c>
      <c r="D17" s="155">
        <f>'Comps Valuation'!G17</f>
        <v>17660.18</v>
      </c>
      <c r="E17" s="155">
        <f>'Comps Valuation'!H17</f>
        <v>133.52000000000001</v>
      </c>
      <c r="F17" s="144">
        <f t="shared" si="0"/>
        <v>7.560511840762665E-3</v>
      </c>
      <c r="G17" s="144">
        <f t="shared" si="1"/>
        <v>7.5037794275502005E-3</v>
      </c>
      <c r="H17" s="147">
        <f>'Comps Data'!L17</f>
        <v>0.24199999999999999</v>
      </c>
      <c r="I17" s="146">
        <v>0.09</v>
      </c>
      <c r="J17" s="35">
        <f t="shared" si="2"/>
        <v>8.9487160895424064E-2</v>
      </c>
    </row>
    <row r="18" spans="2:10">
      <c r="B18" t="str">
        <f>'Comps Valuation'!B18</f>
        <v>Eureka Forbes</v>
      </c>
      <c r="D18" s="155">
        <f>'Comps Valuation'!G18</f>
        <v>10808.159</v>
      </c>
      <c r="E18" s="155">
        <f>'Comps Valuation'!H18</f>
        <v>25.55</v>
      </c>
      <c r="F18" s="144">
        <f t="shared" si="0"/>
        <v>2.363954860397594E-3</v>
      </c>
      <c r="G18" s="144">
        <f t="shared" si="1"/>
        <v>2.3583797571081152E-3</v>
      </c>
      <c r="H18" s="147">
        <f>'Comps Data'!L18</f>
        <v>0.255</v>
      </c>
      <c r="I18" s="146">
        <v>0.09</v>
      </c>
      <c r="J18" s="35">
        <f t="shared" si="2"/>
        <v>8.984177548314401E-2</v>
      </c>
    </row>
    <row r="20" spans="2:10">
      <c r="B20" s="152" t="s">
        <v>315</v>
      </c>
      <c r="C20" s="152"/>
      <c r="D20" s="152"/>
      <c r="E20" s="152"/>
      <c r="F20" s="153">
        <f>AVERAGE(F13:F18)</f>
        <v>2.0810918535111699E-2</v>
      </c>
      <c r="G20" s="153">
        <f>AVERAGE(G13:G18)</f>
        <v>1.972108474926899E-2</v>
      </c>
      <c r="H20" s="153">
        <f>AVERAGE(H13:H18)</f>
        <v>0.25533333333333336</v>
      </c>
      <c r="I20" s="154">
        <f>AVERAGE(I13:I18)</f>
        <v>6.9999999999999993E-2</v>
      </c>
      <c r="J20" s="154">
        <f>AVERAGE(J13:J18)</f>
        <v>7.1426888370389338E-2</v>
      </c>
    </row>
    <row r="21" spans="2:10">
      <c r="B21" s="152" t="s">
        <v>316</v>
      </c>
      <c r="C21" s="152"/>
      <c r="D21" s="152"/>
      <c r="E21" s="152"/>
      <c r="F21" s="153">
        <f>MEDIAN(F13:F18)</f>
        <v>8.8014254875707493E-3</v>
      </c>
      <c r="G21" s="153">
        <f>MEDIAN(G13:G18)</f>
        <v>8.7231363364588914E-3</v>
      </c>
      <c r="H21" s="153">
        <f>MEDIAN(H13:H18)</f>
        <v>0.2545</v>
      </c>
      <c r="I21" s="154">
        <f>MEDIAN(I13:I18)</f>
        <v>0.09</v>
      </c>
      <c r="J21" s="154">
        <f>MEDIAN(J13:J18)</f>
        <v>8.966446818928403E-2</v>
      </c>
    </row>
    <row r="24" spans="2:10">
      <c r="B24" s="140" t="s">
        <v>277</v>
      </c>
      <c r="C24" s="140"/>
      <c r="D24" s="141">
        <v>45564.930000000008</v>
      </c>
      <c r="E24" s="141">
        <v>891.97</v>
      </c>
      <c r="F24" s="151">
        <f t="shared" ref="F24" si="3">E24/D24</f>
        <v>1.9575800950423931E-2</v>
      </c>
      <c r="G24" s="151">
        <f t="shared" ref="G24" si="4">E24/(D24+E24)</f>
        <v>1.9199946617187109E-2</v>
      </c>
      <c r="H24" s="150">
        <v>0.28999999999999998</v>
      </c>
      <c r="I24" s="156">
        <f>C49</f>
        <v>9.0910698374219348E-2</v>
      </c>
    </row>
    <row r="26" spans="2:10">
      <c r="B26" s="344" t="s">
        <v>339</v>
      </c>
      <c r="C26" s="344"/>
      <c r="D26" s="344"/>
      <c r="E26" s="344"/>
      <c r="F26" s="344"/>
      <c r="G26" s="344"/>
      <c r="H26" s="344"/>
      <c r="I26" s="344"/>
      <c r="J26" s="344"/>
    </row>
    <row r="27" spans="2:10" ht="6.75" customHeight="1"/>
    <row r="28" spans="2:10" ht="5.25" customHeight="1"/>
    <row r="29" spans="2:10">
      <c r="B29" s="21" t="s">
        <v>340</v>
      </c>
      <c r="C29" s="22"/>
    </row>
    <row r="30" spans="2:10" ht="4.5" customHeight="1"/>
    <row r="31" spans="2:10">
      <c r="B31" t="s">
        <v>341</v>
      </c>
      <c r="C31" s="147">
        <f>G21</f>
        <v>8.7231363364588914E-3</v>
      </c>
    </row>
    <row r="32" spans="2:10">
      <c r="B32" t="s">
        <v>342</v>
      </c>
      <c r="C32" s="147">
        <f>1-C31</f>
        <v>0.99127686366354106</v>
      </c>
    </row>
    <row r="33" spans="2:4">
      <c r="C33" s="147"/>
    </row>
    <row r="34" spans="2:4">
      <c r="B34" s="21" t="s">
        <v>343</v>
      </c>
      <c r="C34" s="129"/>
    </row>
    <row r="35" spans="2:4" ht="5.25" customHeight="1">
      <c r="B35" s="1"/>
    </row>
    <row r="36" spans="2:4">
      <c r="B36" t="s">
        <v>344</v>
      </c>
      <c r="C36" s="155">
        <f>D24</f>
        <v>45564.930000000008</v>
      </c>
    </row>
    <row r="37" spans="2:4">
      <c r="B37" t="s">
        <v>333</v>
      </c>
      <c r="C37" s="155">
        <f>E24</f>
        <v>891.97</v>
      </c>
    </row>
    <row r="38" spans="2:4">
      <c r="B38" s="4" t="s">
        <v>345</v>
      </c>
      <c r="C38" s="167">
        <f>C37/C36</f>
        <v>1.9575800950423931E-2</v>
      </c>
      <c r="D38" s="158"/>
    </row>
    <row r="40" spans="2:4">
      <c r="B40" s="21" t="s">
        <v>346</v>
      </c>
      <c r="C40" s="22"/>
    </row>
    <row r="41" spans="2:4">
      <c r="B41" t="s">
        <v>347</v>
      </c>
      <c r="C41" s="239">
        <f>Schedules!I26</f>
        <v>8.7671947094796407E-2</v>
      </c>
    </row>
    <row r="42" spans="2:4">
      <c r="B42" t="s">
        <v>348</v>
      </c>
      <c r="C42" s="31">
        <f>H24</f>
        <v>0.28999999999999998</v>
      </c>
    </row>
    <row r="43" spans="2:4">
      <c r="B43" s="4" t="s">
        <v>349</v>
      </c>
      <c r="C43" s="166">
        <f>C41*(1-C42)</f>
        <v>6.2247082437305444E-2</v>
      </c>
    </row>
    <row r="45" spans="2:4">
      <c r="B45" s="21" t="s">
        <v>350</v>
      </c>
      <c r="C45" s="159"/>
    </row>
    <row r="46" spans="2:4">
      <c r="B46" t="s">
        <v>351</v>
      </c>
      <c r="C46" s="238">
        <f>Assumptions!C16</f>
        <v>6.3049999999999995E-2</v>
      </c>
    </row>
    <row r="47" spans="2:4">
      <c r="B47" t="s">
        <v>352</v>
      </c>
      <c r="C47" s="238">
        <f>'Market Return'!G12</f>
        <v>0.11151620956101582</v>
      </c>
    </row>
    <row r="48" spans="2:4">
      <c r="B48" t="s">
        <v>353</v>
      </c>
      <c r="C48" s="147">
        <f>C47-C46</f>
        <v>4.8466209561015827E-2</v>
      </c>
    </row>
    <row r="49" spans="2:12">
      <c r="B49" t="s">
        <v>354</v>
      </c>
      <c r="C49" s="35">
        <f>J21*(1+C38*(1-C42))</f>
        <v>9.0910698374219348E-2</v>
      </c>
      <c r="D49" s="161">
        <f>'Equity Return'!I20</f>
        <v>1.0530922276210364</v>
      </c>
      <c r="E49" s="163" t="s">
        <v>357</v>
      </c>
      <c r="F49" s="163"/>
      <c r="G49" s="163"/>
    </row>
    <row r="50" spans="2:12">
      <c r="B50" s="4" t="s">
        <v>350</v>
      </c>
      <c r="C50" s="165">
        <f>C46+(C49*C48)</f>
        <v>6.7456096958743217E-2</v>
      </c>
      <c r="D50" s="162">
        <f>C46+(D49*C48)</f>
        <v>0.11408938859095813</v>
      </c>
    </row>
    <row r="52" spans="2:12">
      <c r="B52" s="21" t="s">
        <v>355</v>
      </c>
      <c r="C52" s="160">
        <f>(C50*C32)+(C43*C31)</f>
        <v>6.7410658014894112E-2</v>
      </c>
      <c r="D52" s="164">
        <f>(C38*C43)+((1-C38)*D50)</f>
        <v>0.1130745339248833</v>
      </c>
    </row>
    <row r="55" spans="2:12">
      <c r="B55" s="129"/>
      <c r="C55" s="129"/>
      <c r="D55" s="129"/>
      <c r="E55" s="129"/>
      <c r="F55" s="129"/>
      <c r="G55" s="129"/>
      <c r="H55" s="129"/>
      <c r="I55" s="129"/>
      <c r="J55" s="129"/>
      <c r="K55" s="129"/>
      <c r="L55" s="129"/>
    </row>
  </sheetData>
  <mergeCells count="2">
    <mergeCell ref="B10:J10"/>
    <mergeCell ref="B26:J26"/>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9:Q49"/>
  <sheetViews>
    <sheetView showGridLines="0" topLeftCell="B22" zoomScale="90" zoomScaleNormal="90" workbookViewId="0">
      <selection activeCell="D22" sqref="D22"/>
    </sheetView>
  </sheetViews>
  <sheetFormatPr defaultRowHeight="15"/>
  <cols>
    <col min="1" max="1" width="1.85546875" customWidth="1"/>
    <col min="2" max="2" width="27.5703125" bestFit="1" customWidth="1"/>
    <col min="3" max="3" width="11.85546875" bestFit="1" customWidth="1"/>
    <col min="5" max="5" width="28.85546875" bestFit="1" customWidth="1"/>
    <col min="6" max="6" width="12.42578125" bestFit="1" customWidth="1"/>
    <col min="7" max="8" width="10.7109375" bestFit="1" customWidth="1"/>
    <col min="9" max="9" width="11.28515625" customWidth="1"/>
    <col min="10" max="16" width="10.7109375" bestFit="1" customWidth="1"/>
    <col min="17" max="17" width="10.42578125" bestFit="1" customWidth="1"/>
  </cols>
  <sheetData>
    <row r="9" spans="2:17">
      <c r="B9" s="344" t="s">
        <v>395</v>
      </c>
      <c r="C9" s="344"/>
      <c r="D9" s="344"/>
      <c r="E9" s="344"/>
      <c r="F9" s="344"/>
      <c r="G9" s="344"/>
      <c r="H9" s="344"/>
      <c r="I9" s="344"/>
      <c r="J9" s="344"/>
      <c r="K9" s="344"/>
      <c r="L9" s="344"/>
      <c r="M9" s="344"/>
      <c r="N9" s="344"/>
      <c r="O9" s="344"/>
      <c r="P9" s="344"/>
    </row>
    <row r="10" spans="2:17">
      <c r="E10" s="180" t="s">
        <v>371</v>
      </c>
      <c r="P10" s="180" t="s">
        <v>372</v>
      </c>
    </row>
    <row r="11" spans="2:17">
      <c r="B11" s="181" t="s">
        <v>368</v>
      </c>
      <c r="C11" s="182"/>
      <c r="D11" s="182"/>
      <c r="E11" s="240">
        <f>Assumptions!C14</f>
        <v>45857</v>
      </c>
      <c r="F11" s="183">
        <f>DATE(YEAR(Assumptions!$C$15)+F12,MONTH(Assumptions!$C$15),DAY(Assumptions!$C$15))</f>
        <v>46112</v>
      </c>
      <c r="G11" s="183">
        <f>DATE(YEAR(Assumptions!$C$15)+G12,MONTH(Assumptions!$C$15),DAY(Assumptions!$C$15))</f>
        <v>46477</v>
      </c>
      <c r="H11" s="183">
        <f>DATE(YEAR(Assumptions!$C$15)+H12,MONTH(Assumptions!$C$15),DAY(Assumptions!$C$15))</f>
        <v>46843</v>
      </c>
      <c r="I11" s="183">
        <f>DATE(YEAR(Assumptions!$C$15)+I12,MONTH(Assumptions!$C$15),DAY(Assumptions!$C$15))</f>
        <v>47208</v>
      </c>
      <c r="J11" s="183">
        <f>DATE(YEAR(Assumptions!$C$15)+J12,MONTH(Assumptions!$C$15),DAY(Assumptions!$C$15))</f>
        <v>47573</v>
      </c>
      <c r="K11" s="183">
        <f>DATE(YEAR(Assumptions!$C$15)+K12,MONTH(Assumptions!$C$15),DAY(Assumptions!$C$15))</f>
        <v>47938</v>
      </c>
      <c r="L11" s="183">
        <f>DATE(YEAR(Assumptions!$C$15)+L12,MONTH(Assumptions!$C$15),DAY(Assumptions!$C$15))</f>
        <v>48304</v>
      </c>
      <c r="M11" s="183">
        <f>DATE(YEAR(Assumptions!$C$15)+M12,MONTH(Assumptions!$C$15),DAY(Assumptions!$C$15))</f>
        <v>48669</v>
      </c>
      <c r="N11" s="183">
        <f>DATE(YEAR(Assumptions!$C$15)+N12,MONTH(Assumptions!$C$15),DAY(Assumptions!$C$15))</f>
        <v>49034</v>
      </c>
      <c r="O11" s="183">
        <f>DATE(YEAR(Assumptions!$C$15)+O12,MONTH(Assumptions!$C$15),DAY(Assumptions!$C$15))</f>
        <v>49399</v>
      </c>
      <c r="P11" s="183">
        <f>O11</f>
        <v>49399</v>
      </c>
      <c r="Q11" s="168"/>
    </row>
    <row r="12" spans="2:17">
      <c r="B12" s="181" t="s">
        <v>369</v>
      </c>
      <c r="C12" s="182"/>
      <c r="D12" s="182"/>
      <c r="E12" s="181"/>
      <c r="F12" s="241">
        <v>0</v>
      </c>
      <c r="G12" s="181">
        <f>F12+1</f>
        <v>1</v>
      </c>
      <c r="H12" s="181">
        <f t="shared" ref="H12:O12" si="0">G12+1</f>
        <v>2</v>
      </c>
      <c r="I12" s="181">
        <f t="shared" si="0"/>
        <v>3</v>
      </c>
      <c r="J12" s="181">
        <f t="shared" si="0"/>
        <v>4</v>
      </c>
      <c r="K12" s="181">
        <f t="shared" si="0"/>
        <v>5</v>
      </c>
      <c r="L12" s="181">
        <f t="shared" si="0"/>
        <v>6</v>
      </c>
      <c r="M12" s="181">
        <f t="shared" si="0"/>
        <v>7</v>
      </c>
      <c r="N12" s="181">
        <f t="shared" si="0"/>
        <v>8</v>
      </c>
      <c r="O12" s="181">
        <f t="shared" si="0"/>
        <v>9</v>
      </c>
      <c r="P12" s="181"/>
    </row>
    <row r="13" spans="2:17">
      <c r="B13" s="184" t="s">
        <v>370</v>
      </c>
      <c r="C13" s="185"/>
      <c r="D13" s="185"/>
      <c r="E13" s="184"/>
      <c r="F13" s="184">
        <f>YEARFRAC(E11,F11)</f>
        <v>0.7</v>
      </c>
      <c r="G13" s="184">
        <f t="shared" ref="G13:O13" si="1">YEARFRAC(F11,G11)</f>
        <v>1</v>
      </c>
      <c r="H13" s="184">
        <f t="shared" si="1"/>
        <v>1</v>
      </c>
      <c r="I13" s="184">
        <f t="shared" si="1"/>
        <v>1</v>
      </c>
      <c r="J13" s="184">
        <f t="shared" si="1"/>
        <v>1</v>
      </c>
      <c r="K13" s="184">
        <f t="shared" si="1"/>
        <v>1</v>
      </c>
      <c r="L13" s="184">
        <f t="shared" si="1"/>
        <v>1</v>
      </c>
      <c r="M13" s="184">
        <f t="shared" si="1"/>
        <v>1</v>
      </c>
      <c r="N13" s="184">
        <f t="shared" si="1"/>
        <v>1</v>
      </c>
      <c r="O13" s="184">
        <f t="shared" si="1"/>
        <v>1</v>
      </c>
      <c r="P13" s="186">
        <v>1</v>
      </c>
    </row>
    <row r="16" spans="2:17">
      <c r="B16" s="1" t="s">
        <v>157</v>
      </c>
      <c r="C16" s="1"/>
      <c r="D16" s="1"/>
      <c r="E16" s="281"/>
      <c r="F16" s="282">
        <f>'P&amp;L Statement'!I28</f>
        <v>1418.4625392169153</v>
      </c>
      <c r="G16" s="282">
        <f>'P&amp;L Statement'!J28</f>
        <v>1758.5646143677079</v>
      </c>
      <c r="H16" s="282">
        <f>'P&amp;L Statement'!K28</f>
        <v>2187.3156019365597</v>
      </c>
      <c r="I16" s="282">
        <f>'P&amp;L Statement'!L28</f>
        <v>2727.0524872285368</v>
      </c>
      <c r="J16" s="282">
        <f>'P&amp;L Statement'!M28</f>
        <v>3409.9911319017656</v>
      </c>
      <c r="K16" s="282">
        <f>'P&amp;L Statement'!N28</f>
        <v>5349.4543854664616</v>
      </c>
      <c r="L16" s="282">
        <f>'P&amp;L Statement'!O28</f>
        <v>6609.1538811140435</v>
      </c>
      <c r="M16" s="282">
        <f>'P&amp;L Statement'!P28</f>
        <v>8186.7748731661941</v>
      </c>
      <c r="N16" s="282">
        <f>'P&amp;L Statement'!Q28</f>
        <v>10166.105050728418</v>
      </c>
      <c r="O16" s="282">
        <f>'P&amp;L Statement'!R28</f>
        <v>12652.861377083722</v>
      </c>
      <c r="P16" s="176"/>
    </row>
    <row r="17" spans="2:16">
      <c r="B17" s="14" t="s">
        <v>373</v>
      </c>
      <c r="E17" s="174"/>
      <c r="F17" s="229">
        <f>-F16*Assumptions!$C$17</f>
        <v>-411.35413637290543</v>
      </c>
      <c r="G17" s="229">
        <f>-G16*Assumptions!$C$17</f>
        <v>-509.98373816663525</v>
      </c>
      <c r="H17" s="229">
        <f>-H16*Assumptions!$C$17</f>
        <v>-634.32152456160225</v>
      </c>
      <c r="I17" s="229">
        <f>-I16*Assumptions!$C$17</f>
        <v>-790.84522129627567</v>
      </c>
      <c r="J17" s="229">
        <f>-J16*Assumptions!$C$17</f>
        <v>-988.897428251512</v>
      </c>
      <c r="K17" s="229">
        <f>-K16*Assumptions!$C$17</f>
        <v>-1551.3417717852737</v>
      </c>
      <c r="L17" s="229">
        <f>-L16*Assumptions!$C$17</f>
        <v>-1916.6546255230726</v>
      </c>
      <c r="M17" s="229">
        <f>-M16*Assumptions!$C$17</f>
        <v>-2374.1647132181961</v>
      </c>
      <c r="N17" s="229">
        <f>-N16*Assumptions!$C$17</f>
        <v>-2948.170464711241</v>
      </c>
      <c r="O17" s="229">
        <f>-O16*Assumptions!$C$17</f>
        <v>-3669.3297993542792</v>
      </c>
      <c r="P17" s="176"/>
    </row>
    <row r="18" spans="2:16">
      <c r="B18" s="4" t="s">
        <v>374</v>
      </c>
      <c r="C18" s="4"/>
      <c r="D18" s="4"/>
      <c r="E18" s="175"/>
      <c r="F18" s="177">
        <f>SUM(F16:F17)</f>
        <v>1007.1084028440098</v>
      </c>
      <c r="G18" s="177">
        <f t="shared" ref="G18:O18" si="2">SUM(G16:G17)</f>
        <v>1248.5808762010727</v>
      </c>
      <c r="H18" s="177">
        <f t="shared" si="2"/>
        <v>1552.9940773749574</v>
      </c>
      <c r="I18" s="177">
        <f t="shared" si="2"/>
        <v>1936.2072659322612</v>
      </c>
      <c r="J18" s="177">
        <f t="shared" si="2"/>
        <v>2421.0937036502537</v>
      </c>
      <c r="K18" s="177">
        <f t="shared" si="2"/>
        <v>3798.1126136811881</v>
      </c>
      <c r="L18" s="177">
        <f t="shared" si="2"/>
        <v>4692.4992555909712</v>
      </c>
      <c r="M18" s="177">
        <f t="shared" si="2"/>
        <v>5812.610159947998</v>
      </c>
      <c r="N18" s="177">
        <f t="shared" si="2"/>
        <v>7217.934586017177</v>
      </c>
      <c r="O18" s="177">
        <f t="shared" si="2"/>
        <v>8983.5315777294418</v>
      </c>
      <c r="P18" s="176"/>
    </row>
    <row r="19" spans="2:16">
      <c r="B19" s="14" t="s">
        <v>218</v>
      </c>
      <c r="E19" s="174"/>
      <c r="F19" s="227">
        <f>'P&amp;L Statement'!I22</f>
        <v>71.015100767294513</v>
      </c>
      <c r="G19" s="227">
        <f>'P&amp;L Statement'!J22</f>
        <v>82.605094636712323</v>
      </c>
      <c r="H19" s="227">
        <f>'P&amp;L Statement'!K22</f>
        <v>96.771457412337099</v>
      </c>
      <c r="I19" s="227">
        <f>'P&amp;L Statement'!L22</f>
        <v>116.54885609193298</v>
      </c>
      <c r="J19" s="227">
        <f>'P&amp;L Statement'!M22</f>
        <v>142.40699805276171</v>
      </c>
      <c r="K19" s="227">
        <f>'P&amp;L Statement'!N22</f>
        <v>173.89459215537553</v>
      </c>
      <c r="L19" s="227">
        <f>'P&amp;L Statement'!O22</f>
        <v>208.51246173611568</v>
      </c>
      <c r="M19" s="227">
        <f>'P&amp;L Statement'!P22</f>
        <v>252.50474184867053</v>
      </c>
      <c r="N19" s="227">
        <f>'P&amp;L Statement'!Q22</f>
        <v>307.47690619678531</v>
      </c>
      <c r="O19" s="227">
        <f>'P&amp;L Statement'!R22</f>
        <v>375.71627992490068</v>
      </c>
      <c r="P19" s="176"/>
    </row>
    <row r="20" spans="2:16">
      <c r="B20" s="14" t="s">
        <v>375</v>
      </c>
      <c r="E20" s="174"/>
      <c r="F20" s="227">
        <f>-Schedules!I15</f>
        <v>-275.05009111591096</v>
      </c>
      <c r="G20" s="227">
        <f>-Schedules!J15</f>
        <v>-342.64049290377079</v>
      </c>
      <c r="H20" s="227">
        <f>-Schedules!K15</f>
        <v>-430.41503262722631</v>
      </c>
      <c r="I20" s="227">
        <f>-Schedules!L15</f>
        <v>-542.0844169710623</v>
      </c>
      <c r="J20" s="227">
        <f>-Schedules!M15</f>
        <v>-684.29127806035592</v>
      </c>
      <c r="K20" s="227">
        <f>-Schedules!N15</f>
        <v>-768.31521783076084</v>
      </c>
      <c r="L20" s="227">
        <f>-Schedules!O15</f>
        <v>-952.98035270307321</v>
      </c>
      <c r="M20" s="227">
        <f>-Schedules!P15</f>
        <v>-1183.5189549958595</v>
      </c>
      <c r="N20" s="227">
        <f>-Schedules!Q15</f>
        <v>-1471.4594288226901</v>
      </c>
      <c r="O20" s="227">
        <f>-Schedules!R15</f>
        <v>-1831.2454306178668</v>
      </c>
      <c r="P20" s="176"/>
    </row>
    <row r="21" spans="2:16">
      <c r="B21" s="170" t="s">
        <v>376</v>
      </c>
      <c r="E21" s="174"/>
      <c r="F21" s="227">
        <f>'Working capital'!I32</f>
        <v>-215.37627801226745</v>
      </c>
      <c r="G21" s="227">
        <f>'Working capital'!J32</f>
        <v>-374.73937407363792</v>
      </c>
      <c r="H21" s="227">
        <f>'Working capital'!K32</f>
        <v>-479.48882589981531</v>
      </c>
      <c r="I21" s="227">
        <f>'Working capital'!L32</f>
        <v>-614.91301121034485</v>
      </c>
      <c r="J21" s="227">
        <f>'Working capital'!M32</f>
        <v>-790.1397083374768</v>
      </c>
      <c r="K21" s="227">
        <f>'Working capital'!N32</f>
        <v>-1314.1234529766498</v>
      </c>
      <c r="L21" s="227">
        <f>'Working capital'!O32</f>
        <v>-1238.6126810129208</v>
      </c>
      <c r="M21" s="227">
        <f>'Working capital'!P32</f>
        <v>-1564.4166940861051</v>
      </c>
      <c r="N21" s="227">
        <f>'Working capital'!Q32</f>
        <v>-1977.5598827023587</v>
      </c>
      <c r="O21" s="227">
        <f>'Working capital'!R32</f>
        <v>-2501.5804651947656</v>
      </c>
      <c r="P21" s="176"/>
    </row>
    <row r="22" spans="2:16">
      <c r="B22" s="172" t="s">
        <v>377</v>
      </c>
      <c r="C22" s="4"/>
      <c r="D22" s="4"/>
      <c r="E22" s="175"/>
      <c r="F22" s="177">
        <f>SUM(F18:F21)</f>
        <v>587.69713448312598</v>
      </c>
      <c r="G22" s="177">
        <f t="shared" ref="G22:O22" si="3">SUM(G18:G21)</f>
        <v>613.8061038603762</v>
      </c>
      <c r="H22" s="177">
        <f t="shared" si="3"/>
        <v>739.86167626025303</v>
      </c>
      <c r="I22" s="177">
        <f t="shared" si="3"/>
        <v>895.75869384278712</v>
      </c>
      <c r="J22" s="177">
        <f t="shared" si="3"/>
        <v>1089.0697153051824</v>
      </c>
      <c r="K22" s="177">
        <f t="shared" si="3"/>
        <v>1889.5685350291528</v>
      </c>
      <c r="L22" s="177">
        <f t="shared" si="3"/>
        <v>2709.4186836110925</v>
      </c>
      <c r="M22" s="177">
        <f t="shared" si="3"/>
        <v>3317.1792527147036</v>
      </c>
      <c r="N22" s="177">
        <f t="shared" si="3"/>
        <v>4076.3921806889139</v>
      </c>
      <c r="O22" s="177">
        <f t="shared" si="3"/>
        <v>5026.4219618417092</v>
      </c>
      <c r="P22" s="176"/>
    </row>
    <row r="23" spans="2:16">
      <c r="E23" s="174"/>
      <c r="F23" s="176"/>
      <c r="G23" s="176"/>
      <c r="H23" s="176"/>
      <c r="I23" s="176"/>
      <c r="J23" s="176"/>
      <c r="K23" s="176"/>
      <c r="L23" s="176"/>
      <c r="M23" s="176"/>
      <c r="N23" s="176"/>
      <c r="O23" s="176"/>
      <c r="P23" s="176"/>
    </row>
    <row r="24" spans="2:16" ht="15.75" thickBot="1">
      <c r="B24" s="8" t="s">
        <v>378</v>
      </c>
      <c r="C24" s="8"/>
      <c r="D24" s="8"/>
      <c r="E24" s="178">
        <v>0</v>
      </c>
      <c r="F24" s="178">
        <f>F22*F13</f>
        <v>411.38799413818816</v>
      </c>
      <c r="G24" s="178">
        <f t="shared" ref="G24:O24" si="4">G22*G13</f>
        <v>613.8061038603762</v>
      </c>
      <c r="H24" s="178">
        <f t="shared" si="4"/>
        <v>739.86167626025303</v>
      </c>
      <c r="I24" s="178">
        <f t="shared" si="4"/>
        <v>895.75869384278712</v>
      </c>
      <c r="J24" s="178">
        <f t="shared" si="4"/>
        <v>1089.0697153051824</v>
      </c>
      <c r="K24" s="178">
        <f t="shared" si="4"/>
        <v>1889.5685350291528</v>
      </c>
      <c r="L24" s="178">
        <f t="shared" si="4"/>
        <v>2709.4186836110925</v>
      </c>
      <c r="M24" s="178">
        <f t="shared" si="4"/>
        <v>3317.1792527147036</v>
      </c>
      <c r="N24" s="178">
        <f t="shared" si="4"/>
        <v>4076.3921806889139</v>
      </c>
      <c r="O24" s="178">
        <f t="shared" si="4"/>
        <v>5026.4219618417092</v>
      </c>
      <c r="P24" s="178">
        <f>C32</f>
        <v>71536.259754854473</v>
      </c>
    </row>
    <row r="26" spans="2:16">
      <c r="B26" s="215" t="s">
        <v>362</v>
      </c>
      <c r="C26" s="216">
        <v>33.548007812147816</v>
      </c>
    </row>
    <row r="27" spans="2:16">
      <c r="B27" s="217" t="s">
        <v>363</v>
      </c>
      <c r="C27" s="218">
        <v>0.04</v>
      </c>
    </row>
    <row r="28" spans="2:16" ht="15.75" thickBot="1">
      <c r="B28" s="219" t="s">
        <v>364</v>
      </c>
      <c r="C28" s="220">
        <v>0.1130745339248833</v>
      </c>
      <c r="H28" s="349" t="s">
        <v>396</v>
      </c>
      <c r="I28" s="349"/>
      <c r="J28" s="349"/>
      <c r="K28" s="349"/>
      <c r="L28" s="349"/>
      <c r="M28" s="349"/>
      <c r="N28" s="349"/>
      <c r="O28" s="147"/>
    </row>
    <row r="30" spans="2:16" ht="15.75" thickBot="1">
      <c r="B30" s="349" t="s">
        <v>379</v>
      </c>
      <c r="C30" s="349"/>
      <c r="E30" s="351" t="s">
        <v>391</v>
      </c>
      <c r="F30" s="351"/>
      <c r="H30" s="194"/>
      <c r="I30" s="195"/>
      <c r="J30" s="347" t="s">
        <v>363</v>
      </c>
      <c r="K30" s="347"/>
      <c r="L30" s="347"/>
      <c r="M30" s="347"/>
      <c r="N30" s="348"/>
    </row>
    <row r="31" spans="2:16">
      <c r="B31" t="s">
        <v>311</v>
      </c>
      <c r="C31" s="173">
        <f>(O16+O19)*C26</f>
        <v>437082.82501849975</v>
      </c>
      <c r="E31" t="s">
        <v>392</v>
      </c>
      <c r="F31" s="242">
        <f>Assumptions!C22</f>
        <v>1377</v>
      </c>
      <c r="H31" s="196"/>
      <c r="I31" s="207">
        <f>C44</f>
        <v>1056.0703657607926</v>
      </c>
      <c r="J31" s="197">
        <v>0.03</v>
      </c>
      <c r="K31" s="197">
        <v>3.5000000000000003E-2</v>
      </c>
      <c r="L31" s="198">
        <v>0.04</v>
      </c>
      <c r="M31" s="197">
        <v>4.4999999999999998E-2</v>
      </c>
      <c r="N31" s="199">
        <v>0.05</v>
      </c>
    </row>
    <row r="32" spans="2:16">
      <c r="B32" t="s">
        <v>380</v>
      </c>
      <c r="C32" s="173">
        <f>O22*(1+C27)/(C28-C27)</f>
        <v>71536.259754854473</v>
      </c>
      <c r="E32" t="s">
        <v>393</v>
      </c>
      <c r="F32" s="155">
        <f>C44</f>
        <v>1056.0703657607926</v>
      </c>
      <c r="H32" s="345" t="s">
        <v>364</v>
      </c>
      <c r="I32" s="200">
        <v>9.307453392488331E-2</v>
      </c>
      <c r="J32" s="192">
        <f t="dataTable" ref="J32:N36" dt2D="1" dtr="1" r1="C27" r2="C28"/>
        <v>1375.746616460897</v>
      </c>
      <c r="K32" s="171">
        <v>1471.3075775872828</v>
      </c>
      <c r="L32" s="171">
        <v>1584.8735882279295</v>
      </c>
      <c r="M32" s="171">
        <v>1722.06250300699</v>
      </c>
      <c r="N32" s="201">
        <v>1891.1006108657264</v>
      </c>
    </row>
    <row r="33" spans="2:16" ht="15.75" thickBot="1">
      <c r="B33" s="189" t="s">
        <v>315</v>
      </c>
      <c r="C33" s="191">
        <f>AVERAGE(C31:C32)</f>
        <v>254309.54238667712</v>
      </c>
      <c r="E33" s="189" t="s">
        <v>394</v>
      </c>
      <c r="F33" s="190">
        <f>F32/F31-1</f>
        <v>-0.23306436763922111</v>
      </c>
      <c r="H33" s="345"/>
      <c r="I33" s="200">
        <v>0.1030745339248833</v>
      </c>
      <c r="J33" s="193">
        <v>1136.3885534696872</v>
      </c>
      <c r="K33" s="212">
        <v>1201.3931540831459</v>
      </c>
      <c r="L33" s="212">
        <v>1276.7037524691571</v>
      </c>
      <c r="M33" s="212">
        <v>1364.9822721274106</v>
      </c>
      <c r="N33" s="202">
        <v>1469.8937253472097</v>
      </c>
    </row>
    <row r="34" spans="2:16">
      <c r="H34" s="345"/>
      <c r="I34" s="200">
        <v>0.1130745339248833</v>
      </c>
      <c r="J34" s="193">
        <v>957.58400984887749</v>
      </c>
      <c r="K34" s="212">
        <v>1003.6735872977006</v>
      </c>
      <c r="L34" s="213">
        <v>1056.0703657607926</v>
      </c>
      <c r="M34" s="212">
        <v>1116.1641162693941</v>
      </c>
      <c r="N34" s="202">
        <v>1185.7852856536022</v>
      </c>
    </row>
    <row r="35" spans="2:16">
      <c r="H35" s="345"/>
      <c r="I35" s="200">
        <v>0.12307453392488329</v>
      </c>
      <c r="J35" s="193">
        <v>819.61245356384541</v>
      </c>
      <c r="K35" s="212">
        <v>853.34810933908443</v>
      </c>
      <c r="L35" s="212">
        <v>891.14465527902132</v>
      </c>
      <c r="M35" s="212">
        <v>933.7822862744639</v>
      </c>
      <c r="N35" s="202">
        <v>982.25473122017752</v>
      </c>
    </row>
    <row r="36" spans="2:16">
      <c r="H36" s="346"/>
      <c r="I36" s="203">
        <v>0.1330745339248833</v>
      </c>
      <c r="J36" s="204">
        <v>710.4223468237501</v>
      </c>
      <c r="K36" s="205">
        <v>735.74754212259222</v>
      </c>
      <c r="L36" s="205">
        <v>763.79369601568112</v>
      </c>
      <c r="M36" s="205">
        <v>795.02421576837321</v>
      </c>
      <c r="N36" s="206">
        <v>830.01407286275105</v>
      </c>
    </row>
    <row r="37" spans="2:16" ht="15.75" customHeight="1" thickBot="1">
      <c r="B37" s="349" t="s">
        <v>381</v>
      </c>
      <c r="C37" s="349"/>
      <c r="E37" s="349" t="s">
        <v>386</v>
      </c>
      <c r="F37" s="349"/>
    </row>
    <row r="38" spans="2:16">
      <c r="B38" t="s">
        <v>382</v>
      </c>
      <c r="C38" s="176">
        <f>XNPV($C$28,DCF!E24:P24,DCF!E11:P11)</f>
        <v>35186.148403024636</v>
      </c>
      <c r="E38" t="s">
        <v>344</v>
      </c>
      <c r="F38" s="176">
        <f>Assumptions!C23</f>
        <v>45564.930000000008</v>
      </c>
      <c r="H38" s="350" t="s">
        <v>364</v>
      </c>
      <c r="I38" s="194"/>
      <c r="J38" s="347" t="s">
        <v>397</v>
      </c>
      <c r="K38" s="347"/>
      <c r="L38" s="347"/>
      <c r="M38" s="347"/>
      <c r="N38" s="348"/>
    </row>
    <row r="39" spans="2:16">
      <c r="B39" t="s">
        <v>383</v>
      </c>
      <c r="C39" s="176">
        <f>'Comps Valuation'!I27</f>
        <v>678.24</v>
      </c>
      <c r="E39" t="s">
        <v>387</v>
      </c>
      <c r="F39" s="176">
        <f>-C40</f>
        <v>891.97</v>
      </c>
      <c r="H39" s="345"/>
      <c r="I39" s="207">
        <f>C44</f>
        <v>1056.0703657607926</v>
      </c>
      <c r="J39" s="208">
        <f>K39-4</f>
        <v>25.548007812147816</v>
      </c>
      <c r="K39" s="208">
        <f>L39-4</f>
        <v>29.548007812147816</v>
      </c>
      <c r="L39" s="208">
        <v>33.548007812147816</v>
      </c>
      <c r="M39" s="208">
        <f>L39+4</f>
        <v>37.548007812147816</v>
      </c>
      <c r="N39" s="209">
        <f>M39+4</f>
        <v>41.548007812147816</v>
      </c>
    </row>
    <row r="40" spans="2:16">
      <c r="B40" t="s">
        <v>384</v>
      </c>
      <c r="C40" s="176">
        <f>-'Comps Valuation'!H27</f>
        <v>-891.97</v>
      </c>
      <c r="E40" t="s">
        <v>388</v>
      </c>
      <c r="F40" s="176">
        <f>-C41</f>
        <v>27.05</v>
      </c>
      <c r="H40" s="345"/>
      <c r="I40" s="210">
        <v>9.307453392488331E-2</v>
      </c>
      <c r="J40" s="192">
        <f t="dataTable" ref="J40:N44" dt2D="1" dtr="1" r1="C26" r2="C28" ca="1"/>
        <v>1584.8735882279295</v>
      </c>
      <c r="K40" s="171">
        <v>1584.8735882279295</v>
      </c>
      <c r="L40" s="171">
        <v>1584.8735882279295</v>
      </c>
      <c r="M40" s="171">
        <v>1584.8735882279295</v>
      </c>
      <c r="N40" s="201">
        <v>1584.8735882279295</v>
      </c>
    </row>
    <row r="41" spans="2:16">
      <c r="B41" t="s">
        <v>385</v>
      </c>
      <c r="C41" s="176">
        <f>-'Balance Sheet'!H48</f>
        <v>-27.05</v>
      </c>
      <c r="E41" t="s">
        <v>389</v>
      </c>
      <c r="F41" s="176">
        <f>-C39</f>
        <v>-678.24</v>
      </c>
      <c r="H41" s="345"/>
      <c r="I41" s="210">
        <v>0.1030745339248833</v>
      </c>
      <c r="J41" s="193">
        <v>1276.7037524691571</v>
      </c>
      <c r="K41" s="212">
        <v>1276.7037524691571</v>
      </c>
      <c r="L41" s="212">
        <v>1276.7037524691571</v>
      </c>
      <c r="M41" s="212">
        <v>1276.7037524691571</v>
      </c>
      <c r="N41" s="202">
        <v>1276.7037524691571</v>
      </c>
    </row>
    <row r="42" spans="2:16" ht="15.75" thickBot="1">
      <c r="B42" s="8" t="s">
        <v>322</v>
      </c>
      <c r="C42" s="178">
        <f>SUM(C38:C41)</f>
        <v>34945.36840302463</v>
      </c>
      <c r="E42" s="8" t="s">
        <v>382</v>
      </c>
      <c r="F42" s="178">
        <f>SUM(F38:F41)</f>
        <v>45805.710000000014</v>
      </c>
      <c r="H42" s="345"/>
      <c r="I42" s="210">
        <v>0.1130745339248833</v>
      </c>
      <c r="J42" s="193">
        <v>1056.0703657607926</v>
      </c>
      <c r="K42" s="212">
        <v>1056.0703657607926</v>
      </c>
      <c r="L42" s="213">
        <v>1056.0703657607926</v>
      </c>
      <c r="M42" s="212">
        <v>1056.0703657607926</v>
      </c>
      <c r="N42" s="202">
        <v>1056.0703657607926</v>
      </c>
    </row>
    <row r="43" spans="2:16">
      <c r="C43" s="176"/>
      <c r="F43" s="176"/>
      <c r="H43" s="345"/>
      <c r="I43" s="210">
        <v>0.12307453392488329</v>
      </c>
      <c r="J43" s="193">
        <v>891.14465527902132</v>
      </c>
      <c r="K43" s="212">
        <v>891.14465527902132</v>
      </c>
      <c r="L43" s="212">
        <v>891.14465527902132</v>
      </c>
      <c r="M43" s="212">
        <v>891.14465527902132</v>
      </c>
      <c r="N43" s="202">
        <v>891.14465527902132</v>
      </c>
    </row>
    <row r="44" spans="2:16" ht="15.75" thickBot="1">
      <c r="B44" s="188" t="s">
        <v>390</v>
      </c>
      <c r="C44" s="187">
        <f>C42/Assumptions!C21</f>
        <v>1056.0703657607926</v>
      </c>
      <c r="E44" s="188" t="s">
        <v>390</v>
      </c>
      <c r="F44" s="187">
        <f>F42/Assumptions!C21</f>
        <v>1384.2765185856756</v>
      </c>
      <c r="H44" s="346"/>
      <c r="I44" s="211">
        <v>0.1330745339248833</v>
      </c>
      <c r="J44" s="204">
        <v>763.79369601568112</v>
      </c>
      <c r="K44" s="205">
        <v>763.79369601568112</v>
      </c>
      <c r="L44" s="205">
        <v>763.79369601568112</v>
      </c>
      <c r="M44" s="205">
        <v>763.79369601568112</v>
      </c>
      <c r="N44" s="206">
        <v>763.79369601568112</v>
      </c>
    </row>
    <row r="45" spans="2:16" ht="15.75" thickTop="1"/>
    <row r="47" spans="2:16">
      <c r="B47" s="283"/>
      <c r="C47" s="284"/>
      <c r="D47" s="129"/>
      <c r="E47" s="129"/>
      <c r="F47" s="129"/>
      <c r="G47" s="129"/>
      <c r="H47" s="129"/>
      <c r="I47" s="129"/>
      <c r="J47" s="129"/>
      <c r="K47" s="129"/>
      <c r="L47" s="129"/>
      <c r="M47" s="129"/>
      <c r="N47" s="129"/>
      <c r="O47" s="129"/>
      <c r="P47" s="129"/>
    </row>
    <row r="48" spans="2:16">
      <c r="C48" s="38"/>
    </row>
    <row r="49" spans="3:3">
      <c r="C49" s="29"/>
    </row>
  </sheetData>
  <mergeCells count="10">
    <mergeCell ref="B9:P9"/>
    <mergeCell ref="H32:H36"/>
    <mergeCell ref="J30:N30"/>
    <mergeCell ref="J38:N38"/>
    <mergeCell ref="H28:N28"/>
    <mergeCell ref="H38:H44"/>
    <mergeCell ref="B37:C37"/>
    <mergeCell ref="B30:C30"/>
    <mergeCell ref="E30:F30"/>
    <mergeCell ref="E37:F3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8:L37"/>
  <sheetViews>
    <sheetView showGridLines="0" topLeftCell="A20" workbookViewId="0">
      <selection activeCell="B37" sqref="B37:L37"/>
    </sheetView>
  </sheetViews>
  <sheetFormatPr defaultRowHeight="15"/>
  <cols>
    <col min="1" max="1" width="1.85546875" customWidth="1"/>
    <col min="2" max="2" width="34.85546875" bestFit="1" customWidth="1"/>
    <col min="11" max="11" width="14.5703125" bestFit="1" customWidth="1"/>
    <col min="12" max="12" width="17.5703125" bestFit="1" customWidth="1"/>
  </cols>
  <sheetData>
    <row r="8" spans="2:12">
      <c r="K8" s="146"/>
    </row>
    <row r="10" spans="2:12" ht="15.75">
      <c r="B10" s="246" t="s">
        <v>400</v>
      </c>
      <c r="C10" s="221"/>
      <c r="D10" s="221"/>
      <c r="E10" s="221"/>
      <c r="F10" s="221"/>
      <c r="G10" s="221"/>
      <c r="H10" s="221"/>
      <c r="I10" s="221"/>
      <c r="J10" s="221"/>
      <c r="K10" s="221"/>
      <c r="L10" s="221"/>
    </row>
    <row r="12" spans="2:12">
      <c r="B12" s="245" t="s">
        <v>401</v>
      </c>
      <c r="C12" s="221"/>
      <c r="D12" s="221"/>
      <c r="E12" s="221"/>
      <c r="F12" s="221"/>
      <c r="G12" s="221"/>
      <c r="H12" s="221"/>
      <c r="I12" s="221"/>
      <c r="J12" s="221"/>
      <c r="K12" s="221"/>
      <c r="L12" s="221"/>
    </row>
    <row r="13" spans="2:12">
      <c r="I13" s="1" t="s">
        <v>321</v>
      </c>
      <c r="J13" s="1" t="s">
        <v>367</v>
      </c>
      <c r="K13" s="1" t="s">
        <v>404</v>
      </c>
      <c r="L13" s="1" t="s">
        <v>402</v>
      </c>
    </row>
    <row r="14" spans="2:12">
      <c r="B14" s="67" t="s">
        <v>319</v>
      </c>
      <c r="C14" s="67"/>
      <c r="D14" s="67"/>
      <c r="E14" s="67"/>
      <c r="F14" s="67"/>
      <c r="G14" s="67"/>
      <c r="H14" s="67"/>
      <c r="I14" s="247">
        <f>'Comps Valuation'!J33</f>
        <v>1518.5158819191408</v>
      </c>
      <c r="J14" s="247">
        <v>1574.2914732106358</v>
      </c>
      <c r="K14" s="247">
        <v>1944.9</v>
      </c>
      <c r="L14" s="247">
        <v>1520</v>
      </c>
    </row>
    <row r="15" spans="2:12">
      <c r="B15" s="67" t="s">
        <v>319</v>
      </c>
      <c r="C15" s="67"/>
      <c r="D15" s="67"/>
      <c r="E15" s="67"/>
      <c r="F15" s="67"/>
      <c r="G15" s="67"/>
      <c r="H15" s="67"/>
      <c r="I15" s="247">
        <f>I14</f>
        <v>1518.5158819191408</v>
      </c>
      <c r="J15" s="247">
        <f>J14</f>
        <v>1574.2914732106358</v>
      </c>
      <c r="K15" s="247">
        <f>K14</f>
        <v>1944.9</v>
      </c>
      <c r="L15" s="247">
        <f>L14</f>
        <v>1520</v>
      </c>
    </row>
    <row r="16" spans="2:12">
      <c r="B16" s="67" t="s">
        <v>318</v>
      </c>
      <c r="C16" s="67"/>
      <c r="D16" s="67"/>
      <c r="E16" s="67"/>
      <c r="F16" s="67"/>
      <c r="G16" s="67"/>
      <c r="H16" s="67"/>
      <c r="I16" s="247">
        <f>'Comps Valuation'!J32</f>
        <v>1125.1703040121845</v>
      </c>
      <c r="J16" s="247">
        <v>773</v>
      </c>
      <c r="K16" s="247">
        <v>1135</v>
      </c>
      <c r="L16" s="247">
        <v>1030</v>
      </c>
    </row>
    <row r="17" spans="2:12">
      <c r="B17" s="67" t="s">
        <v>318</v>
      </c>
      <c r="C17" s="67"/>
      <c r="D17" s="67"/>
      <c r="E17" s="67"/>
      <c r="F17" s="67"/>
      <c r="G17" s="67"/>
      <c r="H17" s="67"/>
      <c r="I17" s="247">
        <f>I16</f>
        <v>1125.1703040121845</v>
      </c>
      <c r="J17" s="247">
        <f>J16</f>
        <v>773</v>
      </c>
      <c r="K17" s="247">
        <f>K16</f>
        <v>1135</v>
      </c>
      <c r="L17" s="247">
        <f>L16</f>
        <v>1030</v>
      </c>
    </row>
    <row r="19" spans="2:12">
      <c r="B19" s="245" t="s">
        <v>403</v>
      </c>
      <c r="C19" s="221"/>
      <c r="D19" s="221"/>
      <c r="E19" s="221"/>
      <c r="F19" s="221"/>
      <c r="G19" s="221"/>
      <c r="H19" s="221"/>
      <c r="I19" s="221"/>
      <c r="J19" s="221"/>
      <c r="K19" s="221"/>
      <c r="L19" s="221"/>
    </row>
    <row r="37" spans="2:12">
      <c r="B37" s="129"/>
      <c r="C37" s="129"/>
      <c r="D37" s="129"/>
      <c r="E37" s="129"/>
      <c r="F37" s="129"/>
      <c r="G37" s="129"/>
      <c r="H37" s="129"/>
      <c r="I37" s="129"/>
      <c r="J37" s="129"/>
      <c r="K37" s="129"/>
      <c r="L37" s="129"/>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8:U52"/>
  <sheetViews>
    <sheetView showGridLines="0" topLeftCell="C6" workbookViewId="0">
      <selection activeCell="B10" sqref="B10:R11"/>
    </sheetView>
  </sheetViews>
  <sheetFormatPr defaultRowHeight="15"/>
  <cols>
    <col min="1" max="1" width="1.85546875" customWidth="1"/>
    <col min="2" max="2" width="26.140625" bestFit="1" customWidth="1"/>
    <col min="4" max="4" width="20.42578125" bestFit="1" customWidth="1"/>
    <col min="19" max="19" width="15.140625" customWidth="1"/>
  </cols>
  <sheetData>
    <row r="8" spans="2:21">
      <c r="B8" s="344" t="s">
        <v>436</v>
      </c>
      <c r="C8" s="344"/>
      <c r="D8" s="344"/>
      <c r="E8" s="344"/>
      <c r="F8" s="344"/>
      <c r="G8" s="344"/>
      <c r="H8" s="344"/>
      <c r="I8" s="344"/>
      <c r="J8" s="344"/>
      <c r="K8" s="344"/>
      <c r="L8" s="344"/>
      <c r="M8" s="344"/>
      <c r="N8" s="344"/>
      <c r="O8" s="344"/>
      <c r="P8" s="344"/>
      <c r="Q8" s="344"/>
      <c r="R8" s="344"/>
      <c r="S8" s="344"/>
      <c r="T8" s="344"/>
      <c r="U8" s="344"/>
    </row>
    <row r="10" spans="2:21">
      <c r="B10" s="11" t="s">
        <v>13</v>
      </c>
      <c r="C10" s="11"/>
      <c r="D10" s="11">
        <v>2021</v>
      </c>
      <c r="E10" s="11">
        <f>D10+1</f>
        <v>2022</v>
      </c>
      <c r="F10" s="11">
        <f t="shared" ref="F10:R10" si="0">E10+1</f>
        <v>2023</v>
      </c>
      <c r="G10" s="11">
        <f t="shared" si="0"/>
        <v>2024</v>
      </c>
      <c r="H10" s="11">
        <f t="shared" si="0"/>
        <v>2025</v>
      </c>
      <c r="I10" s="11">
        <f t="shared" si="0"/>
        <v>2026</v>
      </c>
      <c r="J10" s="11">
        <f t="shared" si="0"/>
        <v>2027</v>
      </c>
      <c r="K10" s="11">
        <f t="shared" si="0"/>
        <v>2028</v>
      </c>
      <c r="L10" s="11">
        <f t="shared" si="0"/>
        <v>2029</v>
      </c>
      <c r="M10" s="11">
        <f t="shared" si="0"/>
        <v>2030</v>
      </c>
      <c r="N10" s="11">
        <f t="shared" si="0"/>
        <v>2031</v>
      </c>
      <c r="O10" s="11">
        <f t="shared" si="0"/>
        <v>2032</v>
      </c>
      <c r="P10" s="11">
        <f t="shared" si="0"/>
        <v>2033</v>
      </c>
      <c r="Q10" s="11">
        <f t="shared" si="0"/>
        <v>2034</v>
      </c>
      <c r="R10" s="11">
        <f t="shared" si="0"/>
        <v>2035</v>
      </c>
      <c r="S10" s="268" t="s">
        <v>432</v>
      </c>
      <c r="T10" s="268" t="s">
        <v>433</v>
      </c>
      <c r="U10" s="268" t="s">
        <v>316</v>
      </c>
    </row>
    <row r="11" spans="2:21">
      <c r="D11" s="269" t="s">
        <v>398</v>
      </c>
      <c r="E11" s="244" t="s">
        <v>398</v>
      </c>
      <c r="F11" s="244" t="s">
        <v>398</v>
      </c>
      <c r="G11" s="244" t="s">
        <v>398</v>
      </c>
      <c r="H11" s="244" t="s">
        <v>398</v>
      </c>
      <c r="I11" s="243" t="s">
        <v>399</v>
      </c>
      <c r="J11" s="243" t="s">
        <v>399</v>
      </c>
      <c r="K11" s="243" t="s">
        <v>399</v>
      </c>
      <c r="L11" s="243" t="s">
        <v>399</v>
      </c>
      <c r="M11" s="243" t="s">
        <v>399</v>
      </c>
      <c r="N11" s="243" t="s">
        <v>399</v>
      </c>
      <c r="O11" s="243" t="s">
        <v>399</v>
      </c>
      <c r="P11" s="243" t="s">
        <v>399</v>
      </c>
      <c r="Q11" s="243" t="s">
        <v>399</v>
      </c>
      <c r="R11" s="243" t="s">
        <v>399</v>
      </c>
    </row>
    <row r="13" spans="2:21">
      <c r="B13" s="250" t="s">
        <v>406</v>
      </c>
      <c r="C13" s="251"/>
      <c r="D13" s="252"/>
      <c r="E13" s="253">
        <f>'P&amp;L Statement'!E13/'P&amp;L Statement'!D13-1</f>
        <v>5.0116599477486146E-2</v>
      </c>
      <c r="F13" s="253">
        <f>'P&amp;L Statement'!F13/'P&amp;L Statement'!E13-1</f>
        <v>0.19715544240621607</v>
      </c>
      <c r="G13" s="253">
        <f>'P&amp;L Statement'!G13/'P&amp;L Statement'!F13-1</f>
        <v>0.3139817049996998</v>
      </c>
      <c r="H13" s="253">
        <f>'P&amp;L Statement'!H13/'P&amp;L Statement'!G13-1</f>
        <v>0.23487947082053751</v>
      </c>
      <c r="I13" s="253">
        <f>'P&amp;L Statement'!I13/'P&amp;L Statement'!H13-1</f>
        <v>0.23549690873618601</v>
      </c>
      <c r="J13" s="253">
        <f>'P&amp;L Statement'!J13/'P&amp;L Statement'!I13-1</f>
        <v>0.24194742847854744</v>
      </c>
      <c r="K13" s="253">
        <f>'P&amp;L Statement'!K13/'P&amp;L Statement'!J13-1</f>
        <v>0.24926824827366922</v>
      </c>
      <c r="L13" s="253">
        <f>'P&amp;L Statement'!L13/'P&amp;L Statement'!K13-1</f>
        <v>0.25588595644599899</v>
      </c>
      <c r="M13" s="253">
        <f>'P&amp;L Statement'!M13/'P&amp;L Statement'!L13-1</f>
        <v>0.26181013379480667</v>
      </c>
      <c r="N13" s="253">
        <f>'P&amp;L Statement'!N13/'P&amp;L Statement'!M13-1</f>
        <v>0.23706764919594714</v>
      </c>
      <c r="O13" s="253">
        <f>'P&amp;L Statement'!O13/'P&amp;L Statement'!N13-1</f>
        <v>0.24181024427017306</v>
      </c>
      <c r="P13" s="253">
        <f>'P&amp;L Statement'!P13/'P&amp;L Statement'!O13-1</f>
        <v>0.2459440822023613</v>
      </c>
      <c r="Q13" s="253">
        <f>'P&amp;L Statement'!Q13/'P&amp;L Statement'!P13-1</f>
        <v>0.24952555320596925</v>
      </c>
      <c r="R13" s="253">
        <f>'P&amp;L Statement'!R13/'P&amp;L Statement'!Q13-1</f>
        <v>0.25261243121734811</v>
      </c>
      <c r="S13" s="251"/>
      <c r="T13" s="252">
        <f>AVERAGE(E13:R13)</f>
        <v>0.23339298953749621</v>
      </c>
      <c r="U13" s="252">
        <f>MEDIAN(E13:R13)</f>
        <v>0.24394575534045437</v>
      </c>
    </row>
    <row r="14" spans="2:21">
      <c r="B14" s="254" t="s">
        <v>407</v>
      </c>
      <c r="C14" s="7"/>
      <c r="D14" s="255"/>
      <c r="E14" s="256">
        <f>'P&amp;L Statement'!E20/'P&amp;L Statement'!D20-1</f>
        <v>6.2663714606461696E-2</v>
      </c>
      <c r="F14" s="256">
        <f>'P&amp;L Statement'!F20/'P&amp;L Statement'!E20-1</f>
        <v>-0.16019367617929825</v>
      </c>
      <c r="G14" s="256">
        <f>'P&amp;L Statement'!G20/'P&amp;L Statement'!F20-1</f>
        <v>-0.17078113807502049</v>
      </c>
      <c r="H14" s="256">
        <f>'P&amp;L Statement'!H20/'P&amp;L Statement'!G20-1</f>
        <v>1.3517340187939855</v>
      </c>
      <c r="I14" s="256">
        <f>'P&amp;L Statement'!I20/'P&amp;L Statement'!H20-1</f>
        <v>6.46360973119815E-2</v>
      </c>
      <c r="J14" s="256">
        <f>'P&amp;L Statement'!J20/'P&amp;L Statement'!I20-1</f>
        <v>0.24194742847854878</v>
      </c>
      <c r="K14" s="256">
        <f>'P&amp;L Statement'!K20/'P&amp;L Statement'!J20-1</f>
        <v>0.24926824827366767</v>
      </c>
      <c r="L14" s="256">
        <f>'P&amp;L Statement'!L20/'P&amp;L Statement'!K20-1</f>
        <v>0.2558859564460001</v>
      </c>
      <c r="M14" s="256">
        <f>'P&amp;L Statement'!M20/'P&amp;L Statement'!L20-1</f>
        <v>0.26181013379480667</v>
      </c>
      <c r="N14" s="256">
        <f>'P&amp;L Statement'!N20/'P&amp;L Statement'!M20-1</f>
        <v>0.63353821085511286</v>
      </c>
      <c r="O14" s="256">
        <f>'P&amp;L Statement'!O20/'P&amp;L Statement'!N20-1</f>
        <v>0.24181024427017306</v>
      </c>
      <c r="P14" s="256">
        <f>'P&amp;L Statement'!P20/'P&amp;L Statement'!O20-1</f>
        <v>0.24594408220236108</v>
      </c>
      <c r="Q14" s="256">
        <f>'P&amp;L Statement'!Q20/'P&amp;L Statement'!P20-1</f>
        <v>0.24952555320597058</v>
      </c>
      <c r="R14" s="256">
        <f>'P&amp;L Statement'!R20/'P&amp;L Statement'!Q20-1</f>
        <v>0.25261243121734656</v>
      </c>
      <c r="S14" s="7"/>
      <c r="T14" s="255">
        <f t="shared" ref="T14:T17" si="1">AVERAGE(E14:R14)</f>
        <v>0.27002866465729269</v>
      </c>
      <c r="U14" s="255">
        <f t="shared" ref="U14:U17" si="2">MEDIAN(E14:R14)</f>
        <v>0.24760616523801438</v>
      </c>
    </row>
    <row r="15" spans="2:21">
      <c r="B15" s="254" t="s">
        <v>408</v>
      </c>
      <c r="C15" s="7"/>
      <c r="D15" s="255"/>
      <c r="E15" s="256">
        <f>'P&amp;L Statement'!E23/'P&amp;L Statement'!D23-1</f>
        <v>6.0612046685433407E-2</v>
      </c>
      <c r="F15" s="256">
        <f>'P&amp;L Statement'!F23/'P&amp;L Statement'!E23-1</f>
        <v>-0.17312079963991489</v>
      </c>
      <c r="G15" s="256">
        <f>'P&amp;L Statement'!G23/'P&amp;L Statement'!F23-1</f>
        <v>-0.19844204598779824</v>
      </c>
      <c r="H15" s="256">
        <f>'P&amp;L Statement'!H23/'P&amp;L Statement'!G23-1</f>
        <v>1.4691473666955521</v>
      </c>
      <c r="I15" s="256">
        <f>'P&amp;L Statement'!I23/'P&amp;L Statement'!H23-1</f>
        <v>5.966466078375654E-2</v>
      </c>
      <c r="J15" s="256">
        <f>'P&amp;L Statement'!J23/'P&amp;L Statement'!I23-1</f>
        <v>0.246952239185255</v>
      </c>
      <c r="K15" s="256">
        <f>'P&amp;L Statement'!K23/'P&amp;L Statement'!J23-1</f>
        <v>0.25387944088623415</v>
      </c>
      <c r="L15" s="256">
        <f>'P&amp;L Statement'!L23/'P&amp;L Statement'!K23-1</f>
        <v>0.25873954128293941</v>
      </c>
      <c r="M15" s="256">
        <f>'P&amp;L Statement'!M23/'P&amp;L Statement'!L23-1</f>
        <v>0.263927294243125</v>
      </c>
      <c r="N15" s="256">
        <f>'P&amp;L Statement'!N23/'P&amp;L Statement'!M23-1</f>
        <v>0.65467029865056436</v>
      </c>
      <c r="O15" s="256">
        <f>'P&amp;L Statement'!O23/'P&amp;L Statement'!N23-1</f>
        <v>0.24342622007313031</v>
      </c>
      <c r="P15" s="256">
        <f>'P&amp;L Statement'!P23/'P&amp;L Statement'!O23-1</f>
        <v>0.24721895284461048</v>
      </c>
      <c r="Q15" s="256">
        <f>'P&amp;L Statement'!Q23/'P&amp;L Statement'!P23-1</f>
        <v>0.25065205572015814</v>
      </c>
      <c r="R15" s="256">
        <f>'P&amp;L Statement'!R23/'P&amp;L Statement'!Q23-1</f>
        <v>0.25366999609856977</v>
      </c>
      <c r="S15" s="7"/>
      <c r="T15" s="255">
        <f t="shared" si="1"/>
        <v>0.27792837625154398</v>
      </c>
      <c r="U15" s="255">
        <f t="shared" si="2"/>
        <v>0.24893550428238431</v>
      </c>
    </row>
    <row r="16" spans="2:21">
      <c r="B16" s="254" t="s">
        <v>409</v>
      </c>
      <c r="C16" s="7"/>
      <c r="D16" s="255"/>
      <c r="E16" s="256">
        <f>'P&amp;L Statement'!E32/'P&amp;L Statement'!D32-1</f>
        <v>-4.3098394447701027E-2</v>
      </c>
      <c r="F16" s="256">
        <f>'P&amp;L Statement'!F32/'P&amp;L Statement'!E32-1</f>
        <v>-0.73079051383399363</v>
      </c>
      <c r="G16" s="256">
        <f>'P&amp;L Statement'!G32/'P&amp;L Statement'!F32-1</f>
        <v>0.82139186609896697</v>
      </c>
      <c r="H16" s="256">
        <f>'P&amp;L Statement'!H32/'P&amp;L Statement'!G32-1</f>
        <v>2.3625408085123598</v>
      </c>
      <c r="I16" s="256">
        <f>'P&amp;L Statement'!I32/'P&amp;L Statement'!H32-1</f>
        <v>-3.9142121775478378E-2</v>
      </c>
      <c r="J16" s="256">
        <f>'P&amp;L Statement'!J32/'P&amp;L Statement'!I32-1</f>
        <v>0.23920946964490852</v>
      </c>
      <c r="K16" s="256">
        <f>'P&amp;L Statement'!K32/'P&amp;L Statement'!J32-1</f>
        <v>0.2424044479503511</v>
      </c>
      <c r="L16" s="256">
        <f>'P&amp;L Statement'!L32/'P&amp;L Statement'!K32-1</f>
        <v>0.24439964196085029</v>
      </c>
      <c r="M16" s="256">
        <f>'P&amp;L Statement'!M32/'P&amp;L Statement'!L32-1</f>
        <v>0.24746448552782296</v>
      </c>
      <c r="N16" s="256">
        <f>'P&amp;L Statement'!N32/'P&amp;L Statement'!M32-1</f>
        <v>0.65622685590673902</v>
      </c>
      <c r="O16" s="256">
        <f>'P&amp;L Statement'!O32/'P&amp;L Statement'!N32-1</f>
        <v>0.23423539954973105</v>
      </c>
      <c r="P16" s="256">
        <f>'P&amp;L Statement'!P32/'P&amp;L Statement'!O32-1</f>
        <v>0.23726731028282555</v>
      </c>
      <c r="Q16" s="256">
        <f>'P&amp;L Statement'!Q32/'P&amp;L Statement'!P32-1</f>
        <v>0.24022427371008281</v>
      </c>
      <c r="R16" s="256">
        <f>'P&amp;L Statement'!R32/'P&amp;L Statement'!Q32-1</f>
        <v>0.24300403123621406</v>
      </c>
      <c r="S16" s="7"/>
      <c r="T16" s="255">
        <f t="shared" si="1"/>
        <v>0.35395268288026277</v>
      </c>
      <c r="U16" s="255">
        <f t="shared" si="2"/>
        <v>0.24131436083021696</v>
      </c>
    </row>
    <row r="17" spans="2:21">
      <c r="B17" s="257" t="s">
        <v>410</v>
      </c>
      <c r="C17" s="258"/>
      <c r="D17" s="259"/>
      <c r="E17" s="260">
        <f>'P&amp;L Statement'!E34/'P&amp;L Statement'!D34-1</f>
        <v>0.23433242506812002</v>
      </c>
      <c r="F17" s="260">
        <f>'P&amp;L Statement'!F34/'P&amp;L Statement'!E34-1</f>
        <v>9.0925362448541103E-2</v>
      </c>
      <c r="G17" s="260">
        <f>'P&amp;L Statement'!G34/'P&amp;L Statement'!F34-1</f>
        <v>-0.21662564943943119</v>
      </c>
      <c r="H17" s="260">
        <f>'P&amp;L Statement'!H34/'P&amp;L Statement'!G34-1</f>
        <v>0.27052499301870991</v>
      </c>
      <c r="I17" s="260">
        <f>'P&amp;L Statement'!I34/'P&amp;L Statement'!H34-1</f>
        <v>-3.9142121775478267E-2</v>
      </c>
      <c r="J17" s="260">
        <f>'P&amp;L Statement'!J34/'P&amp;L Statement'!I34-1</f>
        <v>0.2392094696449083</v>
      </c>
      <c r="K17" s="260">
        <f>'P&amp;L Statement'!K34/'P&amp;L Statement'!J34-1</f>
        <v>0.24240444795035088</v>
      </c>
      <c r="L17" s="260">
        <f>'P&amp;L Statement'!L34/'P&amp;L Statement'!K34-1</f>
        <v>0.24439964196085051</v>
      </c>
      <c r="M17" s="260">
        <f>'P&amp;L Statement'!M34/'P&amp;L Statement'!L34-1</f>
        <v>0.24746448552782296</v>
      </c>
      <c r="N17" s="260">
        <f>'P&amp;L Statement'!N34/'P&amp;L Statement'!M34-1</f>
        <v>0.65622685590673879</v>
      </c>
      <c r="O17" s="260">
        <f>'P&amp;L Statement'!O34/'P&amp;L Statement'!N34-1</f>
        <v>0.23423539954973105</v>
      </c>
      <c r="P17" s="260">
        <f>'P&amp;L Statement'!P34/'P&amp;L Statement'!O34-1</f>
        <v>0.23726731028282555</v>
      </c>
      <c r="Q17" s="260">
        <f>'P&amp;L Statement'!Q34/'P&amp;L Statement'!P34-1</f>
        <v>0.24022427371008304</v>
      </c>
      <c r="R17" s="260">
        <f>'P&amp;L Statement'!R34/'P&amp;L Statement'!Q34-1</f>
        <v>0.24300403123621428</v>
      </c>
      <c r="S17" s="258"/>
      <c r="T17" s="259">
        <f t="shared" si="1"/>
        <v>0.20888935179214194</v>
      </c>
      <c r="U17" s="259">
        <f t="shared" si="2"/>
        <v>0.23971687167749567</v>
      </c>
    </row>
    <row r="18" spans="2:21">
      <c r="B18" s="14"/>
      <c r="D18" s="158"/>
      <c r="E18" s="158"/>
      <c r="F18" s="158"/>
      <c r="G18" s="158"/>
      <c r="H18" s="158"/>
      <c r="I18" s="158"/>
      <c r="J18" s="158"/>
      <c r="K18" s="158"/>
      <c r="L18" s="158"/>
      <c r="M18" s="158"/>
      <c r="N18" s="158"/>
      <c r="O18" s="158"/>
      <c r="P18" s="158"/>
      <c r="Q18" s="158"/>
      <c r="R18" s="158"/>
    </row>
    <row r="19" spans="2:21">
      <c r="B19" s="250" t="s">
        <v>411</v>
      </c>
      <c r="C19" s="251"/>
      <c r="D19" s="252">
        <f>'P&amp;L Statement'!D16</f>
        <v>0.26169634372625988</v>
      </c>
      <c r="E19" s="252">
        <f>'P&amp;L Statement'!E16</f>
        <v>0.25682813553554434</v>
      </c>
      <c r="F19" s="252">
        <f>'P&amp;L Statement'!F16</f>
        <v>0.22324890485820786</v>
      </c>
      <c r="G19" s="252">
        <f>'P&amp;L Statement'!G16</f>
        <v>0.21369482606253723</v>
      </c>
      <c r="H19" s="252">
        <f>'P&amp;L Statement'!H16</f>
        <v>0.22399578531855693</v>
      </c>
      <c r="I19" s="252">
        <f>'P&amp;L Statement'!I16</f>
        <v>0.22999999999999995</v>
      </c>
      <c r="J19" s="252">
        <f>'P&amp;L Statement'!J16</f>
        <v>0.23</v>
      </c>
      <c r="K19" s="252">
        <f>'P&amp;L Statement'!K16</f>
        <v>0.22999999999999993</v>
      </c>
      <c r="L19" s="252">
        <f>'P&amp;L Statement'!L16</f>
        <v>0.23</v>
      </c>
      <c r="M19" s="252">
        <f>'P&amp;L Statement'!M16</f>
        <v>0.22999999999999998</v>
      </c>
      <c r="N19" s="252">
        <f>'P&amp;L Statement'!N16</f>
        <v>0.27</v>
      </c>
      <c r="O19" s="252">
        <f>'P&amp;L Statement'!O16</f>
        <v>0.27</v>
      </c>
      <c r="P19" s="252">
        <f>'P&amp;L Statement'!P16</f>
        <v>0.27</v>
      </c>
      <c r="Q19" s="252">
        <f>'P&amp;L Statement'!Q16</f>
        <v>0.27000000000000007</v>
      </c>
      <c r="R19" s="252">
        <f>'P&amp;L Statement'!R16</f>
        <v>0.27</v>
      </c>
      <c r="S19" s="251"/>
      <c r="T19" s="252">
        <f>AVERAGE(D19:R19)</f>
        <v>0.24529759970007375</v>
      </c>
      <c r="U19" s="252">
        <f>MEDIAN(D19:R19)</f>
        <v>0.23</v>
      </c>
    </row>
    <row r="20" spans="2:21">
      <c r="B20" s="254" t="s">
        <v>189</v>
      </c>
      <c r="C20" s="7"/>
      <c r="D20" s="255">
        <f>'P&amp;L Statement'!D21</f>
        <v>8.4883360817810963E-2</v>
      </c>
      <c r="E20" s="255">
        <f>'P&amp;L Statement'!E21</f>
        <v>8.5897573240741321E-2</v>
      </c>
      <c r="F20" s="255">
        <f>'P&amp;L Statement'!F21</f>
        <v>6.0257275415658992E-2</v>
      </c>
      <c r="G20" s="255">
        <f>'P&amp;L Statement'!G21</f>
        <v>3.8026761828380412E-2</v>
      </c>
      <c r="H20" s="255">
        <f>'P&amp;L Statement'!H21</f>
        <v>7.2419075326401072E-2</v>
      </c>
      <c r="I20" s="255">
        <f>'P&amp;L Statement'!I21</f>
        <v>6.2404010225577261E-2</v>
      </c>
      <c r="J20" s="255">
        <f>'P&amp;L Statement'!J21</f>
        <v>6.240401022557733E-2</v>
      </c>
      <c r="K20" s="255">
        <f>'P&amp;L Statement'!K21</f>
        <v>6.2404010225577254E-2</v>
      </c>
      <c r="L20" s="255">
        <f>'P&amp;L Statement'!L21</f>
        <v>6.240401022557731E-2</v>
      </c>
      <c r="M20" s="255">
        <f>'P&amp;L Statement'!M21</f>
        <v>6.240401022557731E-2</v>
      </c>
      <c r="N20" s="255">
        <f>'P&amp;L Statement'!N21</f>
        <v>8.2404010225577334E-2</v>
      </c>
      <c r="O20" s="255">
        <f>'P&amp;L Statement'!O21</f>
        <v>8.2404010225577334E-2</v>
      </c>
      <c r="P20" s="255">
        <f>'P&amp;L Statement'!P21</f>
        <v>8.240401022557732E-2</v>
      </c>
      <c r="Q20" s="255">
        <f>'P&amp;L Statement'!Q21</f>
        <v>8.2404010225577418E-2</v>
      </c>
      <c r="R20" s="255">
        <f>'P&amp;L Statement'!R21</f>
        <v>8.240401022557732E-2</v>
      </c>
      <c r="S20" s="7"/>
      <c r="T20" s="255">
        <f t="shared" ref="T20:T23" si="3">AVERAGE(D20:R20)</f>
        <v>7.1034943258984379E-2</v>
      </c>
      <c r="U20" s="255">
        <f t="shared" ref="U20:U23" si="4">MEDIAN(D20:R20)</f>
        <v>7.2419075326401072E-2</v>
      </c>
    </row>
    <row r="21" spans="2:21">
      <c r="B21" s="254" t="s">
        <v>192</v>
      </c>
      <c r="C21" s="7"/>
      <c r="D21" s="255">
        <f>'P&amp;L Statement'!D24</f>
        <v>8.0398052881370252E-2</v>
      </c>
      <c r="E21" s="255">
        <f>'P&amp;L Statement'!E24</f>
        <v>8.1201595573732271E-2</v>
      </c>
      <c r="F21" s="255">
        <f>'P&amp;L Statement'!F24</f>
        <v>5.6086209056540916E-2</v>
      </c>
      <c r="G21" s="255">
        <f>'P&amp;L Statement'!G24</f>
        <v>3.421383022960113E-2</v>
      </c>
      <c r="H21" s="255">
        <f>'P&amp;L Statement'!H24</f>
        <v>6.8410716035189029E-2</v>
      </c>
      <c r="I21" s="255">
        <f>'P&amp;L Statement'!I24</f>
        <v>5.8674706256899009E-2</v>
      </c>
      <c r="J21" s="255">
        <f>'P&amp;L Statement'!J24</f>
        <v>5.8911154105941374E-2</v>
      </c>
      <c r="K21" s="255">
        <f>'P&amp;L Statement'!K24</f>
        <v>5.9128601943094349E-2</v>
      </c>
      <c r="L21" s="255">
        <f>'P&amp;L Statement'!L24</f>
        <v>5.9262952105279272E-2</v>
      </c>
      <c r="M21" s="255">
        <f>'P&amp;L Statement'!M24</f>
        <v>5.9362387967210849E-2</v>
      </c>
      <c r="N21" s="255">
        <f>'P&amp;L Statement'!N24</f>
        <v>7.9401623904851573E-2</v>
      </c>
      <c r="O21" s="255">
        <f>'P&amp;L Statement'!O24</f>
        <v>7.950494975800651E-2</v>
      </c>
      <c r="P21" s="255">
        <f>'P&amp;L Statement'!P24</f>
        <v>7.9586300540764598E-2</v>
      </c>
      <c r="Q21" s="255">
        <f>'P&amp;L Statement'!Q24</f>
        <v>7.9658051108349351E-2</v>
      </c>
      <c r="R21" s="255">
        <f>'P&amp;L Statement'!R24</f>
        <v>7.9725305396474905E-2</v>
      </c>
      <c r="S21" s="7"/>
      <c r="T21" s="255">
        <f t="shared" si="3"/>
        <v>6.7568429124220356E-2</v>
      </c>
      <c r="U21" s="255">
        <f t="shared" si="4"/>
        <v>6.8410716035189029E-2</v>
      </c>
    </row>
    <row r="22" spans="2:21">
      <c r="B22" s="254" t="s">
        <v>193</v>
      </c>
      <c r="C22" s="7"/>
      <c r="D22" s="255">
        <f>'P&amp;L Statement'!D29</f>
        <v>0.1019325602386517</v>
      </c>
      <c r="E22" s="255">
        <f>'P&amp;L Statement'!E29</f>
        <v>0.10178525291608113</v>
      </c>
      <c r="F22" s="255">
        <f>'P&amp;L Statement'!F29</f>
        <v>4.5036357338897479E-2</v>
      </c>
      <c r="G22" s="255">
        <f>'P&amp;L Statement'!G29</f>
        <v>5.0028002092745806E-2</v>
      </c>
      <c r="H22" s="255">
        <f>'P&amp;L Statement'!H29</f>
        <v>8.543229356917216E-2</v>
      </c>
      <c r="I22" s="255">
        <f>'P&amp;L Statement'!I29</f>
        <v>7.4489480684638801E-2</v>
      </c>
      <c r="J22" s="255">
        <f>'P&amp;L Statement'!J29</f>
        <v>7.4358769299679647E-2</v>
      </c>
      <c r="K22" s="255">
        <f>'P&amp;L Statement'!K29</f>
        <v>7.4033726788470797E-2</v>
      </c>
      <c r="L22" s="255">
        <f>'P&amp;L Statement'!L29</f>
        <v>7.3495619319776717E-2</v>
      </c>
      <c r="M22" s="255">
        <f>'P&amp;L Statement'!M29</f>
        <v>7.2832831738942172E-2</v>
      </c>
      <c r="N22" s="255">
        <f>'P&amp;L Statement'!N29</f>
        <v>9.2361288934852084E-2</v>
      </c>
      <c r="O22" s="255">
        <f>'P&amp;L Statement'!O29</f>
        <v>9.1890607310936415E-2</v>
      </c>
      <c r="P22" s="255">
        <f>'P&amp;L Statement'!P29</f>
        <v>9.1356521380999658E-2</v>
      </c>
      <c r="Q22" s="255">
        <f>'P&amp;L Statement'!Q29</f>
        <v>9.0789611473715087E-2</v>
      </c>
      <c r="R22" s="255">
        <f>'P&amp;L Statement'!R29</f>
        <v>9.0209774459420022E-2</v>
      </c>
      <c r="S22" s="7"/>
      <c r="T22" s="255">
        <f t="shared" si="3"/>
        <v>8.0668846503131955E-2</v>
      </c>
      <c r="U22" s="255">
        <f t="shared" si="4"/>
        <v>8.543229356917216E-2</v>
      </c>
    </row>
    <row r="23" spans="2:21">
      <c r="B23" s="257" t="s">
        <v>412</v>
      </c>
      <c r="C23" s="258"/>
      <c r="D23" s="260">
        <f>'P&amp;L Statement'!D32/'P&amp;L Statement'!D13</f>
        <v>6.99848328034961E-2</v>
      </c>
      <c r="E23" s="260">
        <f>'P&amp;L Statement'!E32/'P&amp;L Statement'!E13</f>
        <v>6.3772536218641485E-2</v>
      </c>
      <c r="F23" s="260">
        <f>'P&amp;L Statement'!F32/'P&amp;L Statement'!F13</f>
        <v>1.4340804125165595E-2</v>
      </c>
      <c r="G23" s="260">
        <f>'P&amp;L Statement'!G32/'P&amp;L Statement'!G13</f>
        <v>1.9878681634232568E-2</v>
      </c>
      <c r="H23" s="260">
        <f>'P&amp;L Statement'!H32/'P&amp;L Statement'!H13</f>
        <v>5.4129070726325411E-2</v>
      </c>
      <c r="I23" s="260">
        <f>'P&amp;L Statement'!I32/'P&amp;L Statement'!I13</f>
        <v>4.2096701076787396E-2</v>
      </c>
      <c r="J23" s="260">
        <f>'P&amp;L Statement'!J32/'P&amp;L Statement'!J13</f>
        <v>4.2003895993466399E-2</v>
      </c>
      <c r="K23" s="260">
        <f>'P&amp;L Statement'!K32/'P&amp;L Statement'!K13</f>
        <v>4.1773115810508112E-2</v>
      </c>
      <c r="L23" s="260">
        <f>'P&amp;L Statement'!L32/'P&amp;L Statement'!L13</f>
        <v>4.139105950773532E-2</v>
      </c>
      <c r="M23" s="260">
        <f>'P&amp;L Statement'!M32/'P&amp;L Statement'!M13</f>
        <v>4.092048032534279E-2</v>
      </c>
      <c r="N23" s="260">
        <f>'P&amp;L Statement'!N32/'P&amp;L Statement'!N13</f>
        <v>5.4785684934438833E-2</v>
      </c>
      <c r="O23" s="260">
        <f>'P&amp;L Statement'!O32/'P&amp;L Statement'!O13</f>
        <v>5.4451500981458699E-2</v>
      </c>
      <c r="P23" s="260">
        <f>'P&amp;L Statement'!P32/'P&amp;L Statement'!P13</f>
        <v>5.4072299971203615E-2</v>
      </c>
      <c r="Q23" s="260">
        <f>'P&amp;L Statement'!Q32/'P&amp;L Statement'!Q13</f>
        <v>5.3669793937031564E-2</v>
      </c>
      <c r="R23" s="260">
        <f>'P&amp;L Statement'!R32/'P&amp;L Statement'!R13</f>
        <v>5.3258109656882061E-2</v>
      </c>
      <c r="S23" s="258"/>
      <c r="T23" s="259">
        <f t="shared" si="3"/>
        <v>4.6701904513514393E-2</v>
      </c>
      <c r="U23" s="259">
        <f t="shared" si="4"/>
        <v>5.3258109656882061E-2</v>
      </c>
    </row>
    <row r="24" spans="2:21">
      <c r="B24" s="14"/>
      <c r="D24" s="158"/>
      <c r="E24" s="158"/>
      <c r="F24" s="158"/>
      <c r="G24" s="158"/>
      <c r="H24" s="158"/>
      <c r="I24" s="158"/>
      <c r="J24" s="158"/>
      <c r="K24" s="158"/>
      <c r="L24" s="158"/>
      <c r="M24" s="158"/>
      <c r="N24" s="158"/>
      <c r="O24" s="158"/>
      <c r="P24" s="158"/>
      <c r="Q24" s="158"/>
      <c r="R24" s="158"/>
    </row>
    <row r="25" spans="2:21">
      <c r="B25" s="250" t="s">
        <v>413</v>
      </c>
      <c r="C25" s="251"/>
      <c r="D25" s="253">
        <f>('P&amp;L Statement'!D19+'P&amp;L Statement'!D18)/'P&amp;L Statement'!D13</f>
        <v>0.17681298290844891</v>
      </c>
      <c r="E25" s="253">
        <f>('P&amp;L Statement'!E19+'P&amp;L Statement'!E18)/'P&amp;L Statement'!E13</f>
        <v>0.17093056229480305</v>
      </c>
      <c r="F25" s="253">
        <f>('P&amp;L Statement'!F19+'P&amp;L Statement'!F18)/'P&amp;L Statement'!F13</f>
        <v>0.16299162944254889</v>
      </c>
      <c r="G25" s="253">
        <f>('P&amp;L Statement'!G19+'P&amp;L Statement'!G18)/'P&amp;L Statement'!G13</f>
        <v>0.17566806423415682</v>
      </c>
      <c r="H25" s="253">
        <f>('P&amp;L Statement'!H19+'P&amp;L Statement'!H18)/'P&amp;L Statement'!H13</f>
        <v>0.15157670999215586</v>
      </c>
      <c r="I25" s="253">
        <f>('P&amp;L Statement'!I19+'P&amp;L Statement'!I18)/'P&amp;L Statement'!I13</f>
        <v>0.16759598977442269</v>
      </c>
      <c r="J25" s="253">
        <f>('P&amp;L Statement'!J19+'P&amp;L Statement'!J18)/'P&amp;L Statement'!J13</f>
        <v>0.16759598977442267</v>
      </c>
      <c r="K25" s="253">
        <f>('P&amp;L Statement'!K19+'P&amp;L Statement'!K18)/'P&amp;L Statement'!K13</f>
        <v>0.16759598977442269</v>
      </c>
      <c r="L25" s="253">
        <f>('P&amp;L Statement'!L19+'P&amp;L Statement'!L18)/'P&amp;L Statement'!L13</f>
        <v>0.16759598977442269</v>
      </c>
      <c r="M25" s="253">
        <f>('P&amp;L Statement'!M19+'P&amp;L Statement'!M18)/'P&amp;L Statement'!M13</f>
        <v>0.16759598977442267</v>
      </c>
      <c r="N25" s="253">
        <f>('P&amp;L Statement'!N19+'P&amp;L Statement'!N18)/'P&amp;L Statement'!N13</f>
        <v>0.18759598977442268</v>
      </c>
      <c r="O25" s="253">
        <f>('P&amp;L Statement'!O19+'P&amp;L Statement'!O18)/'P&amp;L Statement'!O13</f>
        <v>0.18759598977442268</v>
      </c>
      <c r="P25" s="253">
        <f>('P&amp;L Statement'!P19+'P&amp;L Statement'!P18)/'P&amp;L Statement'!P13</f>
        <v>0.18759598977442268</v>
      </c>
      <c r="Q25" s="253">
        <f>('P&amp;L Statement'!Q19+'P&amp;L Statement'!Q18)/'P&amp;L Statement'!Q13</f>
        <v>0.18759598977442268</v>
      </c>
      <c r="R25" s="253">
        <f>('P&amp;L Statement'!R19+'P&amp;L Statement'!R18)/'P&amp;L Statement'!R13</f>
        <v>0.18759598977442271</v>
      </c>
      <c r="S25" s="251"/>
      <c r="T25" s="252">
        <f t="shared" ref="T25:T27" si="5">AVERAGE(D25:R25)</f>
        <v>0.17426265644108938</v>
      </c>
      <c r="U25" s="252">
        <f t="shared" ref="U25:U27" si="6">MEDIAN(D25:R25)</f>
        <v>0.17093056229480305</v>
      </c>
    </row>
    <row r="26" spans="2:21">
      <c r="B26" s="254" t="s">
        <v>414</v>
      </c>
      <c r="C26" s="7"/>
      <c r="D26" s="256">
        <f>'P&amp;L Statement'!D22/'P&amp;L Statement'!D13</f>
        <v>4.4853079364407114E-3</v>
      </c>
      <c r="E26" s="256">
        <f>'P&amp;L Statement'!E22/'P&amp;L Statement'!E13</f>
        <v>4.6959776670090552E-3</v>
      </c>
      <c r="F26" s="256">
        <f>'P&amp;L Statement'!F22/'P&amp;L Statement'!F13</f>
        <v>4.1710663591180749E-3</v>
      </c>
      <c r="G26" s="256">
        <f>'P&amp;L Statement'!G22/'P&amp;L Statement'!G13</f>
        <v>3.8129315987792856E-3</v>
      </c>
      <c r="H26" s="256">
        <f>'P&amp;L Statement'!H22/'P&amp;L Statement'!H13</f>
        <v>4.0083592912120384E-3</v>
      </c>
      <c r="I26" s="256">
        <f>'P&amp;L Statement'!I22/'P&amp;L Statement'!I13</f>
        <v>3.7293039686782446E-3</v>
      </c>
      <c r="J26" s="256">
        <f>'P&amp;L Statement'!J22/'P&amp;L Statement'!J13</f>
        <v>3.4928561196359573E-3</v>
      </c>
      <c r="K26" s="256">
        <f>'P&amp;L Statement'!K22/'P&amp;L Statement'!K13</f>
        <v>3.2754082824829108E-3</v>
      </c>
      <c r="L26" s="256">
        <f>'P&amp;L Statement'!L22/'P&amp;L Statement'!L13</f>
        <v>3.1410581202980341E-3</v>
      </c>
      <c r="M26" s="256">
        <f>'P&amp;L Statement'!M22/'P&amp;L Statement'!M13</f>
        <v>3.0416222583664627E-3</v>
      </c>
      <c r="N26" s="256">
        <f>'P&amp;L Statement'!N22/'P&amp;L Statement'!N13</f>
        <v>3.0023863207257547E-3</v>
      </c>
      <c r="O26" s="256">
        <f>'P&amp;L Statement'!O22/'P&amp;L Statement'!O13</f>
        <v>2.8990604675708325E-3</v>
      </c>
      <c r="P26" s="256">
        <f>'P&amp;L Statement'!P22/'P&amp;L Statement'!P13</f>
        <v>2.8177096848127272E-3</v>
      </c>
      <c r="Q26" s="256">
        <f>'P&amp;L Statement'!Q22/'P&amp;L Statement'!Q13</f>
        <v>2.7459591172280745E-3</v>
      </c>
      <c r="R26" s="256">
        <f>'P&amp;L Statement'!R22/'P&amp;L Statement'!R13</f>
        <v>2.6787048291024157E-3</v>
      </c>
      <c r="S26" s="7"/>
      <c r="T26" s="255">
        <f t="shared" si="5"/>
        <v>3.4665141347640389E-3</v>
      </c>
      <c r="U26" s="255">
        <f t="shared" si="6"/>
        <v>3.2754082824829108E-3</v>
      </c>
    </row>
    <row r="27" spans="2:21">
      <c r="B27" s="257" t="s">
        <v>415</v>
      </c>
      <c r="C27" s="258"/>
      <c r="D27" s="260">
        <f>D21</f>
        <v>8.0398052881370252E-2</v>
      </c>
      <c r="E27" s="260">
        <f t="shared" ref="E27:R27" si="7">E21</f>
        <v>8.1201595573732271E-2</v>
      </c>
      <c r="F27" s="260">
        <f t="shared" si="7"/>
        <v>5.6086209056540916E-2</v>
      </c>
      <c r="G27" s="260">
        <f t="shared" si="7"/>
        <v>3.421383022960113E-2</v>
      </c>
      <c r="H27" s="260">
        <f t="shared" si="7"/>
        <v>6.8410716035189029E-2</v>
      </c>
      <c r="I27" s="260">
        <f t="shared" si="7"/>
        <v>5.8674706256899009E-2</v>
      </c>
      <c r="J27" s="260">
        <f t="shared" si="7"/>
        <v>5.8911154105941374E-2</v>
      </c>
      <c r="K27" s="260">
        <f t="shared" si="7"/>
        <v>5.9128601943094349E-2</v>
      </c>
      <c r="L27" s="260">
        <f t="shared" si="7"/>
        <v>5.9262952105279272E-2</v>
      </c>
      <c r="M27" s="260">
        <f t="shared" si="7"/>
        <v>5.9362387967210849E-2</v>
      </c>
      <c r="N27" s="260">
        <f t="shared" si="7"/>
        <v>7.9401623904851573E-2</v>
      </c>
      <c r="O27" s="260">
        <f t="shared" si="7"/>
        <v>7.950494975800651E-2</v>
      </c>
      <c r="P27" s="260">
        <f t="shared" si="7"/>
        <v>7.9586300540764598E-2</v>
      </c>
      <c r="Q27" s="260">
        <f t="shared" si="7"/>
        <v>7.9658051108349351E-2</v>
      </c>
      <c r="R27" s="260">
        <f t="shared" si="7"/>
        <v>7.9725305396474905E-2</v>
      </c>
      <c r="S27" s="258"/>
      <c r="T27" s="259">
        <f t="shared" si="5"/>
        <v>6.7568429124220356E-2</v>
      </c>
      <c r="U27" s="259">
        <f t="shared" si="6"/>
        <v>6.8410716035189029E-2</v>
      </c>
    </row>
    <row r="28" spans="2:21">
      <c r="B28" s="14"/>
    </row>
    <row r="29" spans="2:21">
      <c r="B29" s="250" t="s">
        <v>416</v>
      </c>
      <c r="C29" s="251"/>
      <c r="D29" s="261">
        <f>'P&amp;L Statement'!D23/('Balance Sheet'!D49+'Balance Sheet'!D40)</f>
        <v>0.10257141940527582</v>
      </c>
      <c r="E29" s="261">
        <f>'P&amp;L Statement'!E23/('Balance Sheet'!E49+'Balance Sheet'!E40)</f>
        <v>9.9177993627141608E-2</v>
      </c>
      <c r="F29" s="261">
        <f>'P&amp;L Statement'!F23/('Balance Sheet'!F49+'Balance Sheet'!F40)</f>
        <v>7.7403766523215928E-2</v>
      </c>
      <c r="G29" s="261">
        <f>'P&amp;L Statement'!G23/('Balance Sheet'!G49+'Balance Sheet'!G40)</f>
        <v>5.5239135018504443E-2</v>
      </c>
      <c r="H29" s="261">
        <f>'P&amp;L Statement'!H23/('Balance Sheet'!H49+'Balance Sheet'!H40)</f>
        <v>0.12287354419788435</v>
      </c>
      <c r="I29" s="261">
        <f>'P&amp;L Statement'!I23/('Balance Sheet'!I49+'Balance Sheet'!I40)</f>
        <v>0.121342087675173</v>
      </c>
      <c r="J29" s="261">
        <f>'P&amp;L Statement'!J23/('Balance Sheet'!J49+'Balance Sheet'!J40)</f>
        <v>0.13953784829779003</v>
      </c>
      <c r="K29" s="261">
        <f>'P&amp;L Statement'!K23/('Balance Sheet'!K49+'Balance Sheet'!K40)</f>
        <v>0.15954457579180104</v>
      </c>
      <c r="L29" s="261">
        <f>'P&amp;L Statement'!L23/('Balance Sheet'!L49+'Balance Sheet'!L40)</f>
        <v>0.18097801910598843</v>
      </c>
      <c r="M29" s="261">
        <f>'P&amp;L Statement'!M23/('Balance Sheet'!M49+'Balance Sheet'!M40)</f>
        <v>0.20363780626399014</v>
      </c>
      <c r="N29" s="261">
        <f>'P&amp;L Statement'!N23/('Balance Sheet'!N49+'Balance Sheet'!N40)</f>
        <v>0.28512462355564894</v>
      </c>
      <c r="O29" s="261">
        <f>'P&amp;L Statement'!O23/('Balance Sheet'!O49+'Balance Sheet'!O40)</f>
        <v>0.29796436697202716</v>
      </c>
      <c r="P29" s="261">
        <f>'P&amp;L Statement'!P23/('Balance Sheet'!P49+'Balance Sheet'!P40)</f>
        <v>0.31035847421029311</v>
      </c>
      <c r="Q29" s="261">
        <f>'P&amp;L Statement'!Q23/('Balance Sheet'!Q49+'Balance Sheet'!Q40)</f>
        <v>0.3222583515215553</v>
      </c>
      <c r="R29" s="261">
        <f>'P&amp;L Statement'!R23/('Balance Sheet'!R49+'Balance Sheet'!R40)</f>
        <v>0.33361010166491128</v>
      </c>
      <c r="S29" s="251"/>
      <c r="T29" s="252">
        <f t="shared" ref="T29:T33" si="8">AVERAGE(D29:R29)</f>
        <v>0.18744147425541333</v>
      </c>
      <c r="U29" s="252">
        <f t="shared" ref="U29:U33" si="9">MEDIAN(D29:R29)</f>
        <v>0.15954457579180104</v>
      </c>
    </row>
    <row r="30" spans="2:21">
      <c r="B30" s="254" t="s">
        <v>417</v>
      </c>
      <c r="C30" s="7"/>
      <c r="D30" s="214">
        <f>'P&amp;L Statement'!D37</f>
        <v>0.74320618771156788</v>
      </c>
      <c r="E30" s="214">
        <f>'P&amp;L Statement'!E37</f>
        <v>0.66875494071146235</v>
      </c>
      <c r="F30" s="214">
        <f>'P&amp;L Statement'!F37</f>
        <v>-0.34231390397886552</v>
      </c>
      <c r="G30" s="214">
        <f>'P&amp;L Statement'!G37</f>
        <v>0.42267542622223975</v>
      </c>
      <c r="H30" s="214">
        <f>'P&amp;L Statement'!H37</f>
        <v>0.7818598072589541</v>
      </c>
      <c r="I30" s="214">
        <f>'P&amp;L Statement'!I37</f>
        <v>0.7818598072589541</v>
      </c>
      <c r="J30" s="214">
        <f>'P&amp;L Statement'!J37</f>
        <v>0.78185980725895421</v>
      </c>
      <c r="K30" s="214">
        <f>'P&amp;L Statement'!K37</f>
        <v>0.7818598072589541</v>
      </c>
      <c r="L30" s="214">
        <f>'P&amp;L Statement'!L37</f>
        <v>0.78185980725895399</v>
      </c>
      <c r="M30" s="214">
        <f>'P&amp;L Statement'!M37</f>
        <v>0.7818598072589541</v>
      </c>
      <c r="N30" s="214">
        <f>'P&amp;L Statement'!N37</f>
        <v>0.7818598072589541</v>
      </c>
      <c r="O30" s="214">
        <f>'P&amp;L Statement'!O37</f>
        <v>0.7818598072589541</v>
      </c>
      <c r="P30" s="214">
        <f>'P&amp;L Statement'!P37</f>
        <v>0.7818598072589541</v>
      </c>
      <c r="Q30" s="214">
        <f>'P&amp;L Statement'!Q37</f>
        <v>0.78185980725895399</v>
      </c>
      <c r="R30" s="214">
        <f>'P&amp;L Statement'!R37</f>
        <v>0.78185980725895399</v>
      </c>
      <c r="S30" s="7"/>
      <c r="T30" s="255">
        <f t="shared" si="8"/>
        <v>0.67285203536765981</v>
      </c>
      <c r="U30" s="255">
        <f t="shared" si="9"/>
        <v>0.7818598072589541</v>
      </c>
    </row>
    <row r="31" spans="2:21">
      <c r="B31" s="254" t="s">
        <v>405</v>
      </c>
      <c r="C31" s="7"/>
      <c r="D31" s="214">
        <f>'P&amp;L Statement'!D32/'Balance Sheet'!D49</f>
        <v>0.10513873286343431</v>
      </c>
      <c r="E31" s="214">
        <f>'P&amp;L Statement'!E32/'Balance Sheet'!E49</f>
        <v>9.1374665019755705E-2</v>
      </c>
      <c r="F31" s="214">
        <f>'P&amp;L Statement'!F32/'Balance Sheet'!F49</f>
        <v>2.4795584776799551E-2</v>
      </c>
      <c r="G31" s="214">
        <f>'P&amp;L Statement'!G32/'Balance Sheet'!G49</f>
        <v>4.2381465646090563E-2</v>
      </c>
      <c r="H31" s="214">
        <f>'P&amp;L Statement'!H32/'Balance Sheet'!H49</f>
        <v>0.12755989786401253</v>
      </c>
      <c r="I31" s="214">
        <f>'P&amp;L Statement'!I32/'Balance Sheet'!I49</f>
        <v>0.11184847566178317</v>
      </c>
      <c r="J31" s="214">
        <f>'P&amp;L Statement'!J32/'Balance Sheet'!J49</f>
        <v>0.1250519758399164</v>
      </c>
      <c r="K31" s="214">
        <f>'P&amp;L Statement'!K32/'Balance Sheet'!K49</f>
        <v>0.13853657369743186</v>
      </c>
      <c r="L31" s="214">
        <f>'P&amp;L Statement'!L32/'Balance Sheet'!L49</f>
        <v>0.15191804055937941</v>
      </c>
      <c r="M31" s="214">
        <f>'P&amp;L Statement'!M32/'Balance Sheet'!M49</f>
        <v>0.16505570961073035</v>
      </c>
      <c r="N31" s="214">
        <f>'P&amp;L Statement'!N32/'Balance Sheet'!N49</f>
        <v>0.22522980554604619</v>
      </c>
      <c r="O31" s="214">
        <f>'P&amp;L Statement'!O32/'Balance Sheet'!O49</f>
        <v>0.22835453004342623</v>
      </c>
      <c r="P31" s="214">
        <f>'P&amp;L Statement'!P32/'Balance Sheet'!P49</f>
        <v>0.23141522535396217</v>
      </c>
      <c r="Q31" s="214">
        <f>'P&amp;L Statement'!Q32/'Balance Sheet'!Q49</f>
        <v>0.23440623884023232</v>
      </c>
      <c r="R31" s="214">
        <f>'P&amp;L Statement'!R32/'Balance Sheet'!R49</f>
        <v>0.23730721587940512</v>
      </c>
      <c r="S31" s="7"/>
      <c r="T31" s="255">
        <f t="shared" si="8"/>
        <v>0.1493582758134937</v>
      </c>
      <c r="U31" s="255">
        <f t="shared" si="9"/>
        <v>0.13853657369743186</v>
      </c>
    </row>
    <row r="32" spans="2:21">
      <c r="B32" s="254" t="s">
        <v>418</v>
      </c>
      <c r="C32" s="7"/>
      <c r="D32" s="256">
        <f>D30*D31</f>
        <v>7.8139756832257948E-2</v>
      </c>
      <c r="E32" s="256">
        <f t="shared" ref="E32:R32" si="10">E30*E31</f>
        <v>6.1107258687816461E-2</v>
      </c>
      <c r="F32" s="256">
        <f t="shared" si="10"/>
        <v>-8.4878734263851806E-3</v>
      </c>
      <c r="G32" s="256">
        <f t="shared" si="10"/>
        <v>1.791360405588454E-2</v>
      </c>
      <c r="H32" s="256">
        <f t="shared" si="10"/>
        <v>9.973395715792871E-2</v>
      </c>
      <c r="I32" s="256">
        <f t="shared" si="10"/>
        <v>8.7449827623129611E-2</v>
      </c>
      <c r="J32" s="256">
        <f t="shared" si="10"/>
        <v>9.7773113727548433E-2</v>
      </c>
      <c r="K32" s="256">
        <f t="shared" si="10"/>
        <v>0.10831617880938996</v>
      </c>
      <c r="L32" s="256">
        <f t="shared" si="10"/>
        <v>0.11877860991091434</v>
      </c>
      <c r="M32" s="256">
        <f t="shared" si="10"/>
        <v>0.12905042530323552</v>
      </c>
      <c r="N32" s="256">
        <f t="shared" si="10"/>
        <v>0.17609813235320337</v>
      </c>
      <c r="O32" s="256">
        <f t="shared" si="10"/>
        <v>0.17854122884646229</v>
      </c>
      <c r="P32" s="256">
        <f t="shared" si="10"/>
        <v>0.18093426349203628</v>
      </c>
      <c r="Q32" s="256">
        <f t="shared" si="10"/>
        <v>0.18327281671992038</v>
      </c>
      <c r="R32" s="256">
        <f t="shared" si="10"/>
        <v>0.18554097406863068</v>
      </c>
      <c r="S32" s="7"/>
      <c r="T32" s="255">
        <f t="shared" si="8"/>
        <v>0.11294415161079824</v>
      </c>
      <c r="U32" s="255">
        <f t="shared" si="9"/>
        <v>0.10831617880938996</v>
      </c>
    </row>
    <row r="33" spans="2:21">
      <c r="B33" s="257" t="s">
        <v>419</v>
      </c>
      <c r="C33" s="258"/>
      <c r="D33" s="262">
        <f>'P&amp;L Statement'!D23/'P&amp;L Statement'!D25</f>
        <v>23.230210325047789</v>
      </c>
      <c r="E33" s="262">
        <f>'P&amp;L Statement'!E23/'P&amp;L Statement'!E25</f>
        <v>24.904909161190567</v>
      </c>
      <c r="F33" s="262">
        <f>'P&amp;L Statement'!F23/'P&amp;L Statement'!F25</f>
        <v>18.004393376140563</v>
      </c>
      <c r="G33" s="262">
        <f>'P&amp;L Statement'!G23/'P&amp;L Statement'!G25</f>
        <v>7.6419112383679284</v>
      </c>
      <c r="H33" s="262">
        <f>'P&amp;L Statement'!H23/'P&amp;L Statement'!H25</f>
        <v>16.976332313637116</v>
      </c>
      <c r="I33" s="262">
        <f>'P&amp;L Statement'!I23/'P&amp;L Statement'!I25</f>
        <v>14.287720593372553</v>
      </c>
      <c r="J33" s="262">
        <f>'P&amp;L Statement'!J23/'P&amp;L Statement'!J25</f>
        <v>17.816105186759184</v>
      </c>
      <c r="K33" s="262">
        <f>'P&amp;L Statement'!K23/'P&amp;L Statement'!K25</f>
        <v>22.339248010343944</v>
      </c>
      <c r="L33" s="262">
        <f>'P&amp;L Statement'!L23/'P&amp;L Statement'!L25</f>
        <v>28.11929479314615</v>
      </c>
      <c r="M33" s="262">
        <f>'P&amp;L Statement'!M23/'P&amp;L Statement'!M25</f>
        <v>35.540744183926009</v>
      </c>
      <c r="N33" s="262">
        <f>'P&amp;L Statement'!N23/'P&amp;L Statement'!N25</f>
        <v>58.808213793080157</v>
      </c>
      <c r="O33" s="262">
        <f>'P&amp;L Statement'!O23/'P&amp;L Statement'!O25</f>
        <v>73.123674985982191</v>
      </c>
      <c r="P33" s="262">
        <f>'P&amp;L Statement'!P23/'P&amp;L Statement'!P25</f>
        <v>91.20123334416634</v>
      </c>
      <c r="Q33" s="262">
        <f>'P&amp;L Statement'!Q23/'P&amp;L Statement'!Q25</f>
        <v>114.06100996609545</v>
      </c>
      <c r="R33" s="262">
        <f>'P&amp;L Statement'!R23/'P&amp;L Statement'!R25</f>
        <v>142.99486591919381</v>
      </c>
      <c r="S33" s="258"/>
      <c r="T33" s="262">
        <f t="shared" si="8"/>
        <v>45.936657812696644</v>
      </c>
      <c r="U33" s="262">
        <f t="shared" si="9"/>
        <v>24.904909161190567</v>
      </c>
    </row>
    <row r="34" spans="2:21">
      <c r="B34" s="14"/>
    </row>
    <row r="35" spans="2:21">
      <c r="B35" s="250" t="s">
        <v>420</v>
      </c>
      <c r="C35" s="251"/>
      <c r="D35" s="263">
        <f>'P&amp;L Statement'!D13/'Working capital'!D15</f>
        <v>4.1954878868140346</v>
      </c>
      <c r="E35" s="263">
        <f>'P&amp;L Statement'!E13/'Working capital'!E15</f>
        <v>3.7609910554731307</v>
      </c>
      <c r="F35" s="263">
        <f>'P&amp;L Statement'!F13/'Working capital'!F15</f>
        <v>4.3336770308187154</v>
      </c>
      <c r="G35" s="263">
        <f>'P&amp;L Statement'!G13/'Working capital'!G15</f>
        <v>5.1998325216326222</v>
      </c>
      <c r="H35" s="263">
        <f>'P&amp;L Statement'!H13/'Working capital'!H15</f>
        <v>6.1369596292211339</v>
      </c>
      <c r="I35" s="263">
        <f>'P&amp;L Statement'!I13/'Working capital'!I15</f>
        <v>4.5861015036612667</v>
      </c>
      <c r="J35" s="263">
        <f>'P&amp;L Statement'!J13/'Working capital'!J15</f>
        <v>4.5861015036612667</v>
      </c>
      <c r="K35" s="263">
        <f>'P&amp;L Statement'!K13/'Working capital'!K15</f>
        <v>4.5861015036612676</v>
      </c>
      <c r="L35" s="263">
        <f>'P&amp;L Statement'!L13/'Working capital'!L15</f>
        <v>4.5861015036612676</v>
      </c>
      <c r="M35" s="263">
        <f>'P&amp;L Statement'!M13/'Working capital'!M15</f>
        <v>4.5861015036612676</v>
      </c>
      <c r="N35" s="263">
        <f>'P&amp;L Statement'!N13/'Working capital'!N15</f>
        <v>4.5861015036612667</v>
      </c>
      <c r="O35" s="263">
        <f>'P&amp;L Statement'!O13/'Working capital'!O15</f>
        <v>4.5861015036612676</v>
      </c>
      <c r="P35" s="263">
        <f>'P&amp;L Statement'!P13/'Working capital'!P15</f>
        <v>4.5861015036612676</v>
      </c>
      <c r="Q35" s="263">
        <f>'P&amp;L Statement'!Q13/'Working capital'!Q15</f>
        <v>4.5861015036612676</v>
      </c>
      <c r="R35" s="263">
        <f>'P&amp;L Statement'!R13/'Working capital'!R15</f>
        <v>4.5861015036612667</v>
      </c>
      <c r="S35" s="251"/>
      <c r="T35" s="263">
        <f t="shared" ref="T35:T39" si="11">AVERAGE(D35:R35)</f>
        <v>4.6325308773714884</v>
      </c>
      <c r="U35" s="263">
        <f t="shared" ref="U35:U39" si="12">MEDIAN(D35:R35)</f>
        <v>4.5861015036612676</v>
      </c>
    </row>
    <row r="36" spans="2:21">
      <c r="B36" s="254" t="s">
        <v>421</v>
      </c>
      <c r="C36" s="7"/>
      <c r="D36" s="222">
        <f>'P&amp;L Statement'!D14/'Working capital'!D16</f>
        <v>2.2634985169586086</v>
      </c>
      <c r="E36" s="222">
        <f>'P&amp;L Statement'!E14/'Working capital'!E16</f>
        <v>2.0042691320677757</v>
      </c>
      <c r="F36" s="222">
        <f>'P&amp;L Statement'!F14/'Working capital'!F16</f>
        <v>2.4490826951865983</v>
      </c>
      <c r="G36" s="222">
        <f>'P&amp;L Statement'!G14/'Working capital'!G16</f>
        <v>2.5994358288415951</v>
      </c>
      <c r="H36" s="222">
        <f>'P&amp;L Statement'!H14/'Working capital'!H16</f>
        <v>3.0724309688887974</v>
      </c>
      <c r="I36" s="222">
        <f>'P&amp;L Statement'!I14/'Working capital'!I16</f>
        <v>2.4281048618359899</v>
      </c>
      <c r="J36" s="222">
        <f>'P&amp;L Statement'!J14/'Working capital'!J16</f>
        <v>2.4281048618359904</v>
      </c>
      <c r="K36" s="222">
        <f>'P&amp;L Statement'!K14/'Working capital'!K16</f>
        <v>2.4281048618359899</v>
      </c>
      <c r="L36" s="222">
        <f>'P&amp;L Statement'!L14/'Working capital'!L16</f>
        <v>2.4281048618359895</v>
      </c>
      <c r="M36" s="222">
        <f>'P&amp;L Statement'!M14/'Working capital'!M16</f>
        <v>2.4281048618359899</v>
      </c>
      <c r="N36" s="222">
        <f>'P&amp;L Statement'!N14/'Working capital'!N16</f>
        <v>2.4281048618359899</v>
      </c>
      <c r="O36" s="222">
        <f>'P&amp;L Statement'!O14/'Working capital'!O16</f>
        <v>2.4281048618359899</v>
      </c>
      <c r="P36" s="222">
        <f>'P&amp;L Statement'!P14/'Working capital'!P16</f>
        <v>2.4281048618359899</v>
      </c>
      <c r="Q36" s="222">
        <f>'P&amp;L Statement'!Q14/'Working capital'!Q16</f>
        <v>2.4281048618359899</v>
      </c>
      <c r="R36" s="222">
        <f>'P&amp;L Statement'!R14/'Working capital'!R16</f>
        <v>2.4281048618359899</v>
      </c>
      <c r="S36" s="7"/>
      <c r="T36" s="222">
        <f t="shared" si="11"/>
        <v>2.4446510506868853</v>
      </c>
      <c r="U36" s="222">
        <f t="shared" si="12"/>
        <v>2.4281048618359899</v>
      </c>
    </row>
    <row r="37" spans="2:21">
      <c r="B37" s="254" t="s">
        <v>422</v>
      </c>
      <c r="C37" s="7"/>
      <c r="D37" s="222">
        <f>'P&amp;L Statement'!D14/'Working capital'!D14</f>
        <v>4.3595342294467025</v>
      </c>
      <c r="E37" s="222">
        <f>'P&amp;L Statement'!E14/'Working capital'!E14</f>
        <v>3.549232871270442</v>
      </c>
      <c r="F37" s="222">
        <f>'P&amp;L Statement'!F14/'Working capital'!F14</f>
        <v>4.6346225117307496</v>
      </c>
      <c r="G37" s="222">
        <f>'P&amp;L Statement'!G14/'Working capital'!G14</f>
        <v>4.5959220372954688</v>
      </c>
      <c r="H37" s="222">
        <f>'P&amp;L Statement'!H14/'Working capital'!H14</f>
        <v>4.4056084956221611</v>
      </c>
      <c r="I37" s="222">
        <f>'P&amp;L Statement'!I14/'Working capital'!I14</f>
        <v>4.2681481940596644</v>
      </c>
      <c r="J37" s="222">
        <f>'P&amp;L Statement'!J14/'Working capital'!J14</f>
        <v>4.2681481940596644</v>
      </c>
      <c r="K37" s="222">
        <f>'P&amp;L Statement'!K14/'Working capital'!K14</f>
        <v>4.2681481940596635</v>
      </c>
      <c r="L37" s="222">
        <f>'P&amp;L Statement'!L14/'Working capital'!L14</f>
        <v>4.2681481940596644</v>
      </c>
      <c r="M37" s="222">
        <f>'P&amp;L Statement'!M14/'Working capital'!M14</f>
        <v>4.2681481940596635</v>
      </c>
      <c r="N37" s="222">
        <f>'P&amp;L Statement'!N14/'Working capital'!N14</f>
        <v>4.2681481940596644</v>
      </c>
      <c r="O37" s="222">
        <f>'P&amp;L Statement'!O14/'Working capital'!O14</f>
        <v>4.2681481940596635</v>
      </c>
      <c r="P37" s="222">
        <f>'P&amp;L Statement'!P14/'Working capital'!P14</f>
        <v>4.2681481940596644</v>
      </c>
      <c r="Q37" s="222">
        <f>'P&amp;L Statement'!Q14/'Working capital'!Q14</f>
        <v>4.2681481940596635</v>
      </c>
      <c r="R37" s="222">
        <f>'P&amp;L Statement'!R14/'Working capital'!R14</f>
        <v>4.2681481940596644</v>
      </c>
      <c r="S37" s="7"/>
      <c r="T37" s="222">
        <f t="shared" si="11"/>
        <v>4.2817601390641435</v>
      </c>
      <c r="U37" s="222">
        <f t="shared" si="12"/>
        <v>4.2681481940596644</v>
      </c>
    </row>
    <row r="38" spans="2:21">
      <c r="B38" s="254" t="s">
        <v>423</v>
      </c>
      <c r="C38" s="7"/>
      <c r="D38" s="222">
        <f>'P&amp;L Statement'!D13/'Balance Sheet'!D14</f>
        <v>12.434223085277949</v>
      </c>
      <c r="E38" s="222">
        <f>'P&amp;L Statement'!E13/'Balance Sheet'!E14</f>
        <v>12.461247310476967</v>
      </c>
      <c r="F38" s="222">
        <f>'P&amp;L Statement'!F13/'Balance Sheet'!F14</f>
        <v>11.56792468914788</v>
      </c>
      <c r="G38" s="222">
        <f>'P&amp;L Statement'!G13/'Balance Sheet'!G14</f>
        <v>11.53691362018764</v>
      </c>
      <c r="H38" s="222">
        <f>'P&amp;L Statement'!H13/'Balance Sheet'!H14</f>
        <v>12.946375922923787</v>
      </c>
      <c r="I38" s="222">
        <f>'P&amp;L Statement'!I13/'Balance Sheet'!I14</f>
        <v>13.654958808635966</v>
      </c>
      <c r="J38" s="222">
        <f>'P&amp;L Statement'!J13/'Balance Sheet'!J14</f>
        <v>14.293489416846549</v>
      </c>
      <c r="K38" s="222">
        <f>'P&amp;L Statement'!K13/'Balance Sheet'!K14</f>
        <v>14.859922172358345</v>
      </c>
      <c r="L38" s="222">
        <f>'P&amp;L Statement'!L13/'Balance Sheet'!L14</f>
        <v>15.372271365450157</v>
      </c>
      <c r="M38" s="222">
        <f>'P&amp;L Statement'!M13/'Balance Sheet'!M14</f>
        <v>15.840685056221968</v>
      </c>
      <c r="N38" s="222">
        <f>'P&amp;L Statement'!N13/'Balance Sheet'!N14</f>
        <v>16.314856884605899</v>
      </c>
      <c r="O38" s="222">
        <f>'P&amp;L Statement'!O13/'Balance Sheet'!O14</f>
        <v>16.747842428788708</v>
      </c>
      <c r="P38" s="222">
        <f>'P&amp;L Statement'!P13/'Balance Sheet'!P14</f>
        <v>17.149109522799975</v>
      </c>
      <c r="Q38" s="222">
        <f>'P&amp;L Statement'!Q13/'Balance Sheet'!Q14</f>
        <v>17.524659403100618</v>
      </c>
      <c r="R38" s="222">
        <f>'P&amp;L Statement'!R13/'Balance Sheet'!R14</f>
        <v>17.878825380927257</v>
      </c>
      <c r="S38" s="7"/>
      <c r="T38" s="222">
        <f t="shared" si="11"/>
        <v>14.70555367118331</v>
      </c>
      <c r="U38" s="222">
        <f t="shared" si="12"/>
        <v>14.859922172358345</v>
      </c>
    </row>
    <row r="39" spans="2:21">
      <c r="B39" s="257" t="s">
        <v>424</v>
      </c>
      <c r="C39" s="258"/>
      <c r="D39" s="264">
        <f>'P&amp;L Statement'!D13/'Balance Sheet'!D49</f>
        <v>1.502307409358876</v>
      </c>
      <c r="E39" s="264">
        <f>'P&amp;L Statement'!E13/'Balance Sheet'!E49</f>
        <v>1.4328215629762859</v>
      </c>
      <c r="F39" s="264">
        <f>'P&amp;L Statement'!F13/'Balance Sheet'!F49</f>
        <v>1.7290233211739954</v>
      </c>
      <c r="G39" s="264">
        <f>'P&amp;L Statement'!G13/'Balance Sheet'!G49</f>
        <v>2.1320058556150188</v>
      </c>
      <c r="H39" s="264">
        <f>'P&amp;L Statement'!H13/'Balance Sheet'!H49</f>
        <v>2.356587618304971</v>
      </c>
      <c r="I39" s="264">
        <f>'P&amp;L Statement'!I13/'Balance Sheet'!I49</f>
        <v>2.6569415845142723</v>
      </c>
      <c r="J39" s="264">
        <f>'P&amp;L Statement'!J13/'Balance Sheet'!J49</f>
        <v>2.9771518303770663</v>
      </c>
      <c r="K39" s="264">
        <f>'P&amp;L Statement'!K13/'Balance Sheet'!K49</f>
        <v>3.3164050851716147</v>
      </c>
      <c r="L39" s="264">
        <f>'P&amp;L Statement'!L13/'Balance Sheet'!L49</f>
        <v>3.6703105058470027</v>
      </c>
      <c r="M39" s="264">
        <f>'P&amp;L Statement'!M13/'Balance Sheet'!M49</f>
        <v>4.0335721452543263</v>
      </c>
      <c r="N39" s="264">
        <f>'P&amp;L Statement'!N13/'Balance Sheet'!N49</f>
        <v>4.1111068669776625</v>
      </c>
      <c r="O39" s="264">
        <f>'P&amp;L Statement'!O13/'Balance Sheet'!O49</f>
        <v>4.1937233304401165</v>
      </c>
      <c r="P39" s="264">
        <f>'P&amp;L Statement'!P13/'Balance Sheet'!P49</f>
        <v>4.2797370460883508</v>
      </c>
      <c r="Q39" s="264">
        <f>'P&amp;L Statement'!Q13/'Balance Sheet'!Q49</f>
        <v>4.3675636078508324</v>
      </c>
      <c r="R39" s="264">
        <f>'P&amp;L Statement'!R13/'Balance Sheet'!R49</f>
        <v>4.455794946690153</v>
      </c>
      <c r="S39" s="258"/>
      <c r="T39" s="264">
        <f t="shared" si="11"/>
        <v>3.1476701811093695</v>
      </c>
      <c r="U39" s="264">
        <f t="shared" si="12"/>
        <v>3.3164050851716147</v>
      </c>
    </row>
    <row r="40" spans="2:21">
      <c r="B40" s="14"/>
    </row>
    <row r="41" spans="2:21">
      <c r="B41" s="250" t="s">
        <v>425</v>
      </c>
      <c r="C41" s="251"/>
      <c r="D41" s="265">
        <f>'Working capital'!D22</f>
        <v>86.998225199780833</v>
      </c>
      <c r="E41" s="265">
        <f>'Working capital'!E22</f>
        <v>97.048888076678296</v>
      </c>
      <c r="F41" s="265">
        <f>'Working capital'!F22</f>
        <v>84.224089013630177</v>
      </c>
      <c r="G41" s="265">
        <f>'Working capital'!G22</f>
        <v>70.194568475332119</v>
      </c>
      <c r="H41" s="265">
        <f>'Working capital'!H22</f>
        <v>59.47570491779878</v>
      </c>
      <c r="I41" s="265">
        <f>'Working capital'!I22</f>
        <v>79.588295136644049</v>
      </c>
      <c r="J41" s="265">
        <f>'Working capital'!J22</f>
        <v>79.588295136644049</v>
      </c>
      <c r="K41" s="265">
        <f>'Working capital'!K22</f>
        <v>79.588295136644049</v>
      </c>
      <c r="L41" s="265">
        <f>'Working capital'!L22</f>
        <v>79.588295136644049</v>
      </c>
      <c r="M41" s="265">
        <f>'Working capital'!M22</f>
        <v>79.588295136644049</v>
      </c>
      <c r="N41" s="265">
        <f>'Working capital'!N22</f>
        <v>79.588295136644049</v>
      </c>
      <c r="O41" s="265">
        <f>'Working capital'!O22</f>
        <v>79.588295136644049</v>
      </c>
      <c r="P41" s="265">
        <f>'Working capital'!P22</f>
        <v>79.588295136644049</v>
      </c>
      <c r="Q41" s="265">
        <f>'Working capital'!Q22</f>
        <v>79.588295136644049</v>
      </c>
      <c r="R41" s="265">
        <f>'Working capital'!R22</f>
        <v>79.588295136644049</v>
      </c>
      <c r="S41" s="251"/>
      <c r="T41" s="265">
        <f t="shared" ref="T41:T44" si="13">AVERAGE(D41:R41)</f>
        <v>79.588295136644064</v>
      </c>
      <c r="U41" s="265">
        <f t="shared" ref="U41:U44" si="14">MEDIAN(D41:R41)</f>
        <v>79.588295136644049</v>
      </c>
    </row>
    <row r="42" spans="2:21">
      <c r="B42" s="254" t="s">
        <v>426</v>
      </c>
      <c r="C42" s="7"/>
      <c r="D42" s="266">
        <f>'Working capital'!D23</f>
        <v>161.2547997117484</v>
      </c>
      <c r="E42" s="266">
        <f>'Working capital'!E23</f>
        <v>182.11127146554153</v>
      </c>
      <c r="F42" s="266">
        <f>'Working capital'!F23</f>
        <v>149.03539219699167</v>
      </c>
      <c r="G42" s="266">
        <f>'Working capital'!G23</f>
        <v>140.41508390020829</v>
      </c>
      <c r="H42" s="266">
        <f>'Working capital'!H23</f>
        <v>118.79843801080065</v>
      </c>
      <c r="I42" s="266">
        <f>'Working capital'!I23</f>
        <v>150.3229970570581</v>
      </c>
      <c r="J42" s="266">
        <f>'Working capital'!J23</f>
        <v>150.3229970570581</v>
      </c>
      <c r="K42" s="266">
        <f>'Working capital'!K23</f>
        <v>150.3229970570581</v>
      </c>
      <c r="L42" s="266">
        <f>'Working capital'!L23</f>
        <v>150.3229970570581</v>
      </c>
      <c r="M42" s="266">
        <f>'Working capital'!M23</f>
        <v>150.3229970570581</v>
      </c>
      <c r="N42" s="266">
        <f>'Working capital'!N23</f>
        <v>150.3229970570581</v>
      </c>
      <c r="O42" s="266">
        <f>'Working capital'!O23</f>
        <v>150.3229970570581</v>
      </c>
      <c r="P42" s="266">
        <f>'Working capital'!P23</f>
        <v>150.3229970570581</v>
      </c>
      <c r="Q42" s="266">
        <f>'Working capital'!Q23</f>
        <v>150.3229970570581</v>
      </c>
      <c r="R42" s="266">
        <f>'Working capital'!R23</f>
        <v>150.3229970570581</v>
      </c>
      <c r="S42" s="7"/>
      <c r="T42" s="266">
        <f t="shared" si="13"/>
        <v>150.3229970570581</v>
      </c>
      <c r="U42" s="266">
        <f t="shared" si="14"/>
        <v>150.3229970570581</v>
      </c>
    </row>
    <row r="43" spans="2:21">
      <c r="B43" s="254" t="s">
        <v>427</v>
      </c>
      <c r="C43" s="7"/>
      <c r="D43" s="266">
        <f>'Working capital'!D21</f>
        <v>83.724540464572655</v>
      </c>
      <c r="E43" s="266">
        <f>'Working capital'!E21</f>
        <v>102.83912418216414</v>
      </c>
      <c r="F43" s="266">
        <f>'Working capital'!F21</f>
        <v>78.755065612386787</v>
      </c>
      <c r="G43" s="266">
        <f>'Working capital'!G21</f>
        <v>79.418231431703973</v>
      </c>
      <c r="H43" s="266">
        <f>'Working capital'!H21</f>
        <v>82.848941380674049</v>
      </c>
      <c r="I43" s="266">
        <f>'Working capital'!I21</f>
        <v>85.517180614300315</v>
      </c>
      <c r="J43" s="266">
        <f>'Working capital'!J21</f>
        <v>85.517180614300315</v>
      </c>
      <c r="K43" s="266">
        <f>'Working capital'!K21</f>
        <v>85.517180614300315</v>
      </c>
      <c r="L43" s="266">
        <f>'Working capital'!L21</f>
        <v>85.517180614300315</v>
      </c>
      <c r="M43" s="266">
        <f>'Working capital'!M21</f>
        <v>85.517180614300315</v>
      </c>
      <c r="N43" s="266">
        <f>'Working capital'!N21</f>
        <v>85.517180614300315</v>
      </c>
      <c r="O43" s="266">
        <f>'Working capital'!O21</f>
        <v>85.517180614300315</v>
      </c>
      <c r="P43" s="266">
        <f>'Working capital'!P21</f>
        <v>85.517180614300315</v>
      </c>
      <c r="Q43" s="266">
        <f>'Working capital'!Q21</f>
        <v>85.517180614300315</v>
      </c>
      <c r="R43" s="266">
        <f>'Working capital'!R21</f>
        <v>85.517180614300315</v>
      </c>
      <c r="S43" s="7"/>
      <c r="T43" s="266">
        <f t="shared" si="13"/>
        <v>85.517180614300301</v>
      </c>
      <c r="U43" s="266">
        <f t="shared" si="14"/>
        <v>85.517180614300315</v>
      </c>
    </row>
    <row r="44" spans="2:21">
      <c r="B44" s="257" t="s">
        <v>431</v>
      </c>
      <c r="C44" s="258"/>
      <c r="D44" s="267">
        <f>D41+D43-D42</f>
        <v>9.4679659526050841</v>
      </c>
      <c r="E44" s="267">
        <f t="shared" ref="E44:R44" si="15">E41+E43-E42</f>
        <v>17.776740793300888</v>
      </c>
      <c r="F44" s="267">
        <f t="shared" si="15"/>
        <v>13.943762429025298</v>
      </c>
      <c r="G44" s="267">
        <f t="shared" si="15"/>
        <v>9.1977160068278181</v>
      </c>
      <c r="H44" s="267">
        <f t="shared" si="15"/>
        <v>23.526208287672176</v>
      </c>
      <c r="I44" s="267">
        <f t="shared" si="15"/>
        <v>14.782478693886276</v>
      </c>
      <c r="J44" s="267">
        <f t="shared" si="15"/>
        <v>14.782478693886276</v>
      </c>
      <c r="K44" s="267">
        <f t="shared" si="15"/>
        <v>14.782478693886276</v>
      </c>
      <c r="L44" s="267">
        <f t="shared" si="15"/>
        <v>14.782478693886276</v>
      </c>
      <c r="M44" s="267">
        <f t="shared" si="15"/>
        <v>14.782478693886276</v>
      </c>
      <c r="N44" s="267">
        <f t="shared" si="15"/>
        <v>14.782478693886276</v>
      </c>
      <c r="O44" s="267">
        <f t="shared" si="15"/>
        <v>14.782478693886276</v>
      </c>
      <c r="P44" s="267">
        <f t="shared" si="15"/>
        <v>14.782478693886276</v>
      </c>
      <c r="Q44" s="267">
        <f t="shared" si="15"/>
        <v>14.782478693886276</v>
      </c>
      <c r="R44" s="267">
        <f t="shared" si="15"/>
        <v>14.782478693886276</v>
      </c>
      <c r="S44" s="258"/>
      <c r="T44" s="267">
        <f t="shared" si="13"/>
        <v>14.782478693886269</v>
      </c>
      <c r="U44" s="267">
        <f t="shared" si="14"/>
        <v>14.782478693886276</v>
      </c>
    </row>
    <row r="45" spans="2:21">
      <c r="B45" s="14"/>
    </row>
    <row r="46" spans="2:21">
      <c r="B46" s="250" t="s">
        <v>428</v>
      </c>
      <c r="C46" s="251"/>
      <c r="D46" s="253">
        <f>CashFlow!D17/'P&amp;L Statement'!D13</f>
        <v>7.3600607746652141E-2</v>
      </c>
      <c r="E46" s="253">
        <f>CashFlow!E17/'P&amp;L Statement'!E13</f>
        <v>7.3632072796476086E-2</v>
      </c>
      <c r="F46" s="253">
        <f>CashFlow!F17/'P&amp;L Statement'!F13</f>
        <v>1.6779014546093908E-2</v>
      </c>
      <c r="G46" s="253">
        <f>CashFlow!G17/'P&amp;L Statement'!G13</f>
        <v>6.1012514011061579E-2</v>
      </c>
      <c r="H46" s="253">
        <f>CashFlow!H17/'P&amp;L Statement'!H13</f>
        <v>-1.4540521216470195E-2</v>
      </c>
      <c r="I46" s="253">
        <f>CashFlow!I17/'P&amp;L Statement'!I13</f>
        <v>1.8700909296317441E-2</v>
      </c>
      <c r="J46" s="253">
        <f>CashFlow!J17/'P&amp;L Statement'!J13</f>
        <v>1.420373753137121E-2</v>
      </c>
      <c r="K46" s="253">
        <f>CashFlow!K17/'P&amp;L Statement'!K13</f>
        <v>1.3914216452336758E-2</v>
      </c>
      <c r="L46" s="253">
        <f>CashFlow!L17/'P&amp;L Statement'!L13</f>
        <v>1.3727194177785019E-2</v>
      </c>
      <c r="M46" s="253">
        <f>CashFlow!M17/'P&amp;L Statement'!M13</f>
        <v>1.3615335618871719E-2</v>
      </c>
      <c r="N46" s="253">
        <f>CashFlow!N17/'P&amp;L Statement'!N13</f>
        <v>2.2139337922012569E-2</v>
      </c>
      <c r="O46" s="253">
        <f>CashFlow!O17/'P&amp;L Statement'!O13</f>
        <v>2.7743808196309474E-2</v>
      </c>
      <c r="P46" s="253">
        <f>CashFlow!P17/'P&amp;L Statement'!P13</f>
        <v>2.7662405490081421E-2</v>
      </c>
      <c r="Q46" s="253">
        <f>CashFlow!Q17/'P&amp;L Statement'!Q13</f>
        <v>2.7623358719478217E-2</v>
      </c>
      <c r="R46" s="253">
        <f>CashFlow!R17/'P&amp;L Statement'!R13</f>
        <v>2.7617090390053018E-2</v>
      </c>
      <c r="S46" s="251"/>
      <c r="T46" s="252">
        <f t="shared" ref="T46:T48" si="16">AVERAGE(D46:R46)</f>
        <v>2.7828738778562023E-2</v>
      </c>
      <c r="U46" s="252">
        <f t="shared" ref="U46:U48" si="17">MEDIAN(D46:R46)</f>
        <v>2.2139337922012569E-2</v>
      </c>
    </row>
    <row r="47" spans="2:21">
      <c r="B47" s="254" t="s">
        <v>429</v>
      </c>
      <c r="C47" s="7"/>
      <c r="D47" s="256">
        <f>CashFlow!D17/'Balance Sheet'!D28</f>
        <v>6.4249469700120548E-2</v>
      </c>
      <c r="E47" s="256">
        <f>CashFlow!E17/'Balance Sheet'!E28</f>
        <v>5.9943589022739795E-2</v>
      </c>
      <c r="F47" s="256">
        <f>CashFlow!F17/'Balance Sheet'!F28</f>
        <v>1.550538427338824E-2</v>
      </c>
      <c r="G47" s="256">
        <f>CashFlow!G17/'Balance Sheet'!G28</f>
        <v>6.3270830494561336E-2</v>
      </c>
      <c r="H47" s="256">
        <f>CashFlow!H17/'Balance Sheet'!H28</f>
        <v>-1.7039968004914807E-2</v>
      </c>
      <c r="I47" s="256">
        <f>CashFlow!I17/'Balance Sheet'!I28</f>
        <v>2.2362183989893401E-2</v>
      </c>
      <c r="J47" s="256">
        <f>CashFlow!J17/'Balance Sheet'!J28</f>
        <v>1.8495002424572207E-2</v>
      </c>
      <c r="K47" s="256">
        <f>CashFlow!K17/'Balance Sheet'!K28</f>
        <v>1.9578803026979442E-2</v>
      </c>
      <c r="L47" s="256">
        <f>CashFlow!L17/'Balance Sheet'!L28</f>
        <v>2.0709276254213194E-2</v>
      </c>
      <c r="M47" s="256">
        <f>CashFlow!M17/'Balance Sheet'!M28</f>
        <v>2.1850570496259662E-2</v>
      </c>
      <c r="N47" s="256">
        <f>CashFlow!N17/'Balance Sheet'!N28</f>
        <v>3.7471398708779941E-2</v>
      </c>
      <c r="O47" s="256">
        <f>CashFlow!O17/'Balance Sheet'!O28</f>
        <v>4.8091187233707387E-2</v>
      </c>
      <c r="P47" s="256">
        <f>CashFlow!P17/'Balance Sheet'!P28</f>
        <v>4.8990737231501949E-2</v>
      </c>
      <c r="Q47" s="256">
        <f>CashFlow!Q17/'Balance Sheet'!Q28</f>
        <v>4.9871727459407933E-2</v>
      </c>
      <c r="R47" s="256">
        <f>CashFlow!R17/'Balance Sheet'!R28</f>
        <v>5.0724045642443448E-2</v>
      </c>
      <c r="S47" s="7"/>
      <c r="T47" s="255">
        <f t="shared" si="16"/>
        <v>3.4938282530243572E-2</v>
      </c>
      <c r="U47" s="255">
        <f t="shared" si="17"/>
        <v>3.7471398708779941E-2</v>
      </c>
    </row>
    <row r="48" spans="2:21">
      <c r="B48" s="257" t="s">
        <v>430</v>
      </c>
      <c r="C48" s="258"/>
      <c r="D48" s="260">
        <f>CashFlow!D17/'Balance Sheet'!D38</f>
        <v>2.1338782088177708</v>
      </c>
      <c r="E48" s="260">
        <f>CashFlow!E17/'Balance Sheet'!E38</f>
        <v>1.6191281212759463</v>
      </c>
      <c r="F48" s="260">
        <f>CashFlow!F17/'Balance Sheet'!F38</f>
        <v>0.24498140121122758</v>
      </c>
      <c r="G48" s="260">
        <f>CashFlow!G17/'Balance Sheet'!G38</f>
        <v>1.0240442155372993</v>
      </c>
      <c r="H48" s="260">
        <f>CashFlow!H17/'Balance Sheet'!H38</f>
        <v>-0.25125284482661936</v>
      </c>
      <c r="I48" s="260">
        <f>CashFlow!I17/'Balance Sheet'!I38</f>
        <v>0.39924124411545348</v>
      </c>
      <c r="J48" s="260">
        <f>CashFlow!J17/'Balance Sheet'!J38</f>
        <v>0.37659844937431436</v>
      </c>
      <c r="K48" s="260">
        <f>CashFlow!K17/'Balance Sheet'!K38</f>
        <v>0.46088263591334705</v>
      </c>
      <c r="L48" s="260">
        <f>CashFlow!L17/'Balance Sheet'!L38</f>
        <v>0.57103611004082311</v>
      </c>
      <c r="M48" s="260">
        <f>CashFlow!M17/'Balance Sheet'!M38</f>
        <v>0.71466770501987731</v>
      </c>
      <c r="N48" s="260">
        <f>CashFlow!N17/'Balance Sheet'!N38</f>
        <v>1.4375861663100116</v>
      </c>
      <c r="O48" s="260">
        <f>CashFlow!O17/'Balance Sheet'!O38</f>
        <v>2.2371266293485879</v>
      </c>
      <c r="P48" s="260">
        <f>CashFlow!P17/'Balance Sheet'!P38</f>
        <v>2.7791564066024979</v>
      </c>
      <c r="Q48" s="260">
        <f>CashFlow!Q17/'Balance Sheet'!Q38</f>
        <v>3.4677251721254438</v>
      </c>
      <c r="R48" s="260">
        <f>CashFlow!R17/'Balance Sheet'!R38</f>
        <v>4.3427299768955105</v>
      </c>
      <c r="S48" s="258"/>
      <c r="T48" s="259">
        <f t="shared" si="16"/>
        <v>1.4371686398507657</v>
      </c>
      <c r="U48" s="259">
        <f t="shared" si="17"/>
        <v>1.0240442155372993</v>
      </c>
    </row>
    <row r="50" spans="2:21">
      <c r="B50" s="129"/>
      <c r="C50" s="129"/>
      <c r="D50" s="129"/>
      <c r="E50" s="129"/>
      <c r="F50" s="129"/>
      <c r="G50" s="129"/>
      <c r="H50" s="129"/>
      <c r="I50" s="129"/>
      <c r="J50" s="129"/>
      <c r="K50" s="129"/>
      <c r="L50" s="129"/>
      <c r="M50" s="129"/>
      <c r="N50" s="129"/>
      <c r="O50" s="129"/>
      <c r="P50" s="129"/>
      <c r="Q50" s="129"/>
      <c r="R50" s="129"/>
      <c r="S50" s="129"/>
      <c r="T50" s="129"/>
      <c r="U50" s="129"/>
    </row>
    <row r="52" spans="2:21">
      <c r="D52">
        <f>'P&amp;L Statement'!D13/'Balance Sheet'!D28</f>
        <v>0.8729475430594259</v>
      </c>
      <c r="E52">
        <f>'P&amp;L Statement'!E13/'Balance Sheet'!E28</f>
        <v>0.81409617774074938</v>
      </c>
      <c r="F52">
        <f>'P&amp;L Statement'!F13/'Balance Sheet'!F28</f>
        <v>0.92409385728781279</v>
      </c>
      <c r="G52">
        <f>'P&amp;L Statement'!G13/'Balance Sheet'!G28</f>
        <v>1.037013988361311</v>
      </c>
      <c r="H52">
        <f>'P&amp;L Statement'!H13/'Balance Sheet'!H28</f>
        <v>1.171895267799167</v>
      </c>
      <c r="I52">
        <f>'P&amp;L Statement'!I13/'Balance Sheet'!I28</f>
        <v>1.1957805706429971</v>
      </c>
      <c r="J52">
        <f>'P&amp;L Statement'!J13/'Balance Sheet'!J28</f>
        <v>1.3021222325266892</v>
      </c>
      <c r="K52">
        <f>'P&amp;L Statement'!K13/'Balance Sheet'!K28</f>
        <v>1.4071078378036421</v>
      </c>
      <c r="L52">
        <f>'P&amp;L Statement'!L13/'Balance Sheet'!L28</f>
        <v>1.5086314060980803</v>
      </c>
      <c r="M52">
        <f>'P&amp;L Statement'!M13/'Balance Sheet'!M28</f>
        <v>1.6048499359775887</v>
      </c>
      <c r="N52">
        <f>'P&amp;L Statement'!N13/'Balance Sheet'!N28</f>
        <v>1.692525713315171</v>
      </c>
      <c r="O52">
        <f>'P&amp;L Statement'!O13/'Balance Sheet'!O28</f>
        <v>1.7334025269142597</v>
      </c>
      <c r="P52">
        <f>'P&amp;L Statement'!P13/'Balance Sheet'!P28</f>
        <v>1.7710223085648851</v>
      </c>
      <c r="Q52">
        <f>'P&amp;L Statement'!Q13/'Balance Sheet'!Q28</f>
        <v>1.8054186663492733</v>
      </c>
      <c r="R52">
        <f>'P&amp;L Statement'!R13/'Balance Sheet'!R28</f>
        <v>1.8366904306730651</v>
      </c>
    </row>
  </sheetData>
  <mergeCells count="1">
    <mergeCell ref="B8:U8"/>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'Ratios Analysis'!D46:R46</xm:f>
              <xm:sqref>S46</xm:sqref>
            </x14:sparkline>
            <x14:sparkline>
              <xm:f>'Ratios Analysis'!D47:R47</xm:f>
              <xm:sqref>S47</xm:sqref>
            </x14:sparkline>
            <x14:sparkline>
              <xm:f>'Ratios Analysis'!D48:R48</xm:f>
              <xm:sqref>S48</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'Ratios Analysis'!D41:R41</xm:f>
              <xm:sqref>S41</xm:sqref>
            </x14:sparkline>
            <x14:sparkline>
              <xm:f>'Ratios Analysis'!D42:R42</xm:f>
              <xm:sqref>S42</xm:sqref>
            </x14:sparkline>
            <x14:sparkline>
              <xm:f>'Ratios Analysis'!D43:R43</xm:f>
              <xm:sqref>S43</xm:sqref>
            </x14:sparkline>
            <x14:sparkline>
              <xm:f>'Ratios Analysis'!D44:R44</xm:f>
              <xm:sqref>S44</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'Ratios Analysis'!D35:R35</xm:f>
              <xm:sqref>S35</xm:sqref>
            </x14:sparkline>
            <x14:sparkline>
              <xm:f>'Ratios Analysis'!D36:R36</xm:f>
              <xm:sqref>S36</xm:sqref>
            </x14:sparkline>
            <x14:sparkline>
              <xm:f>'Ratios Analysis'!D37:R37</xm:f>
              <xm:sqref>S37</xm:sqref>
            </x14:sparkline>
            <x14:sparkline>
              <xm:f>'Ratios Analysis'!D38:R38</xm:f>
              <xm:sqref>S38</xm:sqref>
            </x14:sparkline>
            <x14:sparkline>
              <xm:f>'Ratios Analysis'!D39:R39</xm:f>
              <xm:sqref>S39</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'Ratios Analysis'!D29:R29</xm:f>
              <xm:sqref>S29</xm:sqref>
            </x14:sparkline>
            <x14:sparkline>
              <xm:f>'Ratios Analysis'!D30:R30</xm:f>
              <xm:sqref>S30</xm:sqref>
            </x14:sparkline>
            <x14:sparkline>
              <xm:f>'Ratios Analysis'!D31:R31</xm:f>
              <xm:sqref>S31</xm:sqref>
            </x14:sparkline>
            <x14:sparkline>
              <xm:f>'Ratios Analysis'!D32:R32</xm:f>
              <xm:sqref>S32</xm:sqref>
            </x14:sparkline>
            <x14:sparkline>
              <xm:f>'Ratios Analysis'!D33:R33</xm:f>
              <xm:sqref>S33</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'Ratios Analysis'!D19:R19</xm:f>
              <xm:sqref>S19</xm:sqref>
            </x14:sparkline>
            <x14:sparkline>
              <xm:f>'Ratios Analysis'!D20:R20</xm:f>
              <xm:sqref>S20</xm:sqref>
            </x14:sparkline>
            <x14:sparkline>
              <xm:f>'Ratios Analysis'!D21:R21</xm:f>
              <xm:sqref>S21</xm:sqref>
            </x14:sparkline>
            <x14:sparkline>
              <xm:f>'Ratios Analysis'!D22:R22</xm:f>
              <xm:sqref>S22</xm:sqref>
            </x14:sparkline>
            <x14:sparkline>
              <xm:f>'Ratios Analysis'!D23:R23</xm:f>
              <xm:sqref>S23</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'Ratios Analysis'!E13:R13</xm:f>
              <xm:sqref>S13</xm:sqref>
            </x14:sparkline>
            <x14:sparkline>
              <xm:f>'Ratios Analysis'!E14:R14</xm:f>
              <xm:sqref>S14</xm:sqref>
            </x14:sparkline>
            <x14:sparkline>
              <xm:f>'Ratios Analysis'!E15:R15</xm:f>
              <xm:sqref>S15</xm:sqref>
            </x14:sparkline>
            <x14:sparkline>
              <xm:f>'Ratios Analysis'!E16:R16</xm:f>
              <xm:sqref>S16</xm:sqref>
            </x14:sparkline>
            <x14:sparkline>
              <xm:f>'Ratios Analysis'!E17:R17</xm:f>
              <xm:sqref>S17</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'Ratios Analysis'!D25:R25</xm:f>
              <xm:sqref>S25</xm:sqref>
            </x14:sparkline>
            <x14:sparkline>
              <xm:f>'Ratios Analysis'!D26:R26</xm:f>
              <xm:sqref>S26</xm:sqref>
            </x14:sparkline>
            <x14:sparkline>
              <xm:f>'Ratios Analysis'!D27:R27</xm:f>
              <xm:sqref>S27</xm:sqref>
            </x14:sparkline>
          </x14:sparklines>
        </x14:sparklineGroup>
      </x14:sparklineGroup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9:R57"/>
  <sheetViews>
    <sheetView showGridLines="0" topLeftCell="A41" workbookViewId="0">
      <selection activeCell="B63" sqref="B63"/>
    </sheetView>
  </sheetViews>
  <sheetFormatPr defaultRowHeight="15"/>
  <cols>
    <col min="1" max="1" width="1.85546875" customWidth="1"/>
    <col min="2" max="2" width="20" bestFit="1" customWidth="1"/>
  </cols>
  <sheetData>
    <row r="9" spans="2:18">
      <c r="B9" s="344" t="s">
        <v>491</v>
      </c>
      <c r="C9" s="344"/>
      <c r="D9" s="344"/>
      <c r="E9" s="344"/>
      <c r="F9" s="344"/>
      <c r="G9" s="344"/>
      <c r="H9" s="344"/>
      <c r="I9" s="344"/>
      <c r="J9" s="344"/>
      <c r="K9" s="344"/>
      <c r="L9" s="344"/>
      <c r="M9" s="344"/>
      <c r="N9" s="344"/>
      <c r="O9" s="344"/>
      <c r="P9" s="344"/>
      <c r="Q9" s="344"/>
      <c r="R9" s="344"/>
    </row>
    <row r="11" spans="2:18">
      <c r="B11" s="11" t="s">
        <v>13</v>
      </c>
      <c r="C11" s="11"/>
      <c r="D11" s="11">
        <v>2021</v>
      </c>
      <c r="E11" s="11">
        <f>D11+1</f>
        <v>2022</v>
      </c>
      <c r="F11" s="11">
        <f t="shared" ref="F11:R11" si="0">E11+1</f>
        <v>2023</v>
      </c>
      <c r="G11" s="11">
        <f t="shared" si="0"/>
        <v>2024</v>
      </c>
      <c r="H11" s="11">
        <f t="shared" si="0"/>
        <v>2025</v>
      </c>
      <c r="I11" s="11">
        <f t="shared" si="0"/>
        <v>2026</v>
      </c>
      <c r="J11" s="11">
        <f t="shared" si="0"/>
        <v>2027</v>
      </c>
      <c r="K11" s="11">
        <f t="shared" si="0"/>
        <v>2028</v>
      </c>
      <c r="L11" s="11">
        <f t="shared" si="0"/>
        <v>2029</v>
      </c>
      <c r="M11" s="11">
        <f t="shared" si="0"/>
        <v>2030</v>
      </c>
      <c r="N11" s="11">
        <f t="shared" si="0"/>
        <v>2031</v>
      </c>
      <c r="O11" s="11">
        <f t="shared" si="0"/>
        <v>2032</v>
      </c>
      <c r="P11" s="11">
        <f t="shared" si="0"/>
        <v>2033</v>
      </c>
      <c r="Q11" s="11">
        <f t="shared" si="0"/>
        <v>2034</v>
      </c>
      <c r="R11" s="11">
        <f t="shared" si="0"/>
        <v>2035</v>
      </c>
    </row>
    <row r="12" spans="2:18">
      <c r="D12" s="269" t="s">
        <v>398</v>
      </c>
      <c r="E12" s="244" t="s">
        <v>398</v>
      </c>
      <c r="F12" s="244" t="s">
        <v>398</v>
      </c>
      <c r="G12" s="244" t="s">
        <v>398</v>
      </c>
      <c r="H12" s="244" t="s">
        <v>398</v>
      </c>
      <c r="I12" s="243" t="s">
        <v>399</v>
      </c>
      <c r="J12" s="243" t="s">
        <v>399</v>
      </c>
      <c r="K12" s="243" t="s">
        <v>399</v>
      </c>
      <c r="L12" s="243" t="s">
        <v>399</v>
      </c>
      <c r="M12" s="243" t="s">
        <v>399</v>
      </c>
      <c r="N12" s="243" t="s">
        <v>399</v>
      </c>
      <c r="O12" s="243" t="s">
        <v>399</v>
      </c>
      <c r="P12" s="243" t="s">
        <v>399</v>
      </c>
      <c r="Q12" s="243" t="s">
        <v>399</v>
      </c>
      <c r="R12" s="243" t="s">
        <v>399</v>
      </c>
    </row>
    <row r="14" spans="2:18">
      <c r="B14" s="344" t="s">
        <v>405</v>
      </c>
      <c r="C14" s="344"/>
      <c r="D14" s="344"/>
      <c r="E14" s="344"/>
      <c r="F14" s="344"/>
      <c r="G14" s="344"/>
      <c r="H14" s="344"/>
      <c r="I14" s="344"/>
      <c r="J14" s="344"/>
      <c r="K14" s="344"/>
      <c r="L14" s="344"/>
      <c r="M14" s="344"/>
      <c r="N14" s="344"/>
      <c r="O14" s="344"/>
      <c r="P14" s="344"/>
      <c r="Q14" s="344"/>
      <c r="R14" s="344"/>
    </row>
    <row r="16" spans="2:18">
      <c r="B16" t="s">
        <v>18</v>
      </c>
      <c r="D16" s="15">
        <f>'P&amp;L Statement'!D32</f>
        <v>528.78999999999974</v>
      </c>
      <c r="E16" s="15">
        <f>'P&amp;L Statement'!E32</f>
        <v>505.99999999999994</v>
      </c>
      <c r="F16" s="15">
        <f>'P&amp;L Statement'!F32</f>
        <v>136.2199999999992</v>
      </c>
      <c r="G16" s="15">
        <f>'P&amp;L Statement'!G32</f>
        <v>248.10999999999984</v>
      </c>
      <c r="H16" s="15">
        <f>'P&amp;L Statement'!H32</f>
        <v>834.28000000000111</v>
      </c>
      <c r="I16" s="15">
        <f>'P&amp;L Statement'!I32</f>
        <v>801.62451064515494</v>
      </c>
      <c r="J16" s="15">
        <f>'P&amp;L Statement'!J32</f>
        <v>993.38068469094173</v>
      </c>
      <c r="K16" s="15">
        <f>'P&amp;L Statement'!K32</f>
        <v>1234.1805811679912</v>
      </c>
      <c r="L16" s="15">
        <f>'P&amp;L Statement'!L32</f>
        <v>1535.8138733204826</v>
      </c>
      <c r="M16" s="15">
        <f>'P&amp;L Statement'!M32</f>
        <v>1915.8732633482289</v>
      </c>
      <c r="N16" s="15">
        <f>'P&amp;L Statement'!N32</f>
        <v>3173.1207512710207</v>
      </c>
      <c r="O16" s="15">
        <f>'P&amp;L Statement'!O32</f>
        <v>3916.3779582645311</v>
      </c>
      <c r="P16" s="15">
        <f>'P&amp;L Statement'!P32</f>
        <v>4845.6064224729007</v>
      </c>
      <c r="Q16" s="15">
        <f>'P&amp;L Statement'!Q32</f>
        <v>6009.6387059963663</v>
      </c>
      <c r="R16" s="15">
        <f>'P&amp;L Statement'!R32</f>
        <v>7470.0051378266689</v>
      </c>
    </row>
    <row r="17" spans="2:18">
      <c r="B17" t="s">
        <v>465</v>
      </c>
      <c r="D17" s="15">
        <f>'Balance Sheet'!D49</f>
        <v>5029.4500000000007</v>
      </c>
      <c r="E17" s="15">
        <f>'Balance Sheet'!E49</f>
        <v>5537.6399999999994</v>
      </c>
      <c r="F17" s="15">
        <f>'Balance Sheet'!F49</f>
        <v>5493.7199999999993</v>
      </c>
      <c r="G17" s="15">
        <f>'Balance Sheet'!G49</f>
        <v>5854.21</v>
      </c>
      <c r="H17" s="15">
        <f>'Balance Sheet'!H49</f>
        <v>6540.3</v>
      </c>
      <c r="I17" s="15">
        <f>'Balance Sheet'!I49</f>
        <v>7167.057985387075</v>
      </c>
      <c r="J17" s="15">
        <f>'Balance Sheet'!J49</f>
        <v>7943.7424160543023</v>
      </c>
      <c r="K17" s="15">
        <f>'Balance Sheet'!K49</f>
        <v>8908.6986073690514</v>
      </c>
      <c r="L17" s="15">
        <f>'Balance Sheet'!L49</f>
        <v>10109.489746349032</v>
      </c>
      <c r="M17" s="15">
        <f>'Balance Sheet'!M49</f>
        <v>11607.434046763063</v>
      </c>
      <c r="N17" s="15">
        <f>'Balance Sheet'!N49</f>
        <v>14088.36962576121</v>
      </c>
      <c r="O17" s="15">
        <f>'Balance Sheet'!O49</f>
        <v>17150.428141363136</v>
      </c>
      <c r="P17" s="15">
        <f>'Balance Sheet'!P49</f>
        <v>20939.013044890551</v>
      </c>
      <c r="Q17" s="15">
        <f>'Balance Sheet'!Q49</f>
        <v>25637.70800525682</v>
      </c>
      <c r="R17" s="15">
        <f>'Balance Sheet'!R49</f>
        <v>31478.204782541376</v>
      </c>
    </row>
    <row r="18" spans="2:18">
      <c r="B18" s="287" t="s">
        <v>466</v>
      </c>
      <c r="C18" s="287"/>
      <c r="D18" s="288">
        <f>D16/D17</f>
        <v>0.10513873286343431</v>
      </c>
      <c r="E18" s="288">
        <f t="shared" ref="E18:R18" si="1">E16/E17</f>
        <v>9.1374665019755705E-2</v>
      </c>
      <c r="F18" s="288">
        <f t="shared" si="1"/>
        <v>2.4795584776799551E-2</v>
      </c>
      <c r="G18" s="288">
        <f t="shared" si="1"/>
        <v>4.2381465646090563E-2</v>
      </c>
      <c r="H18" s="288">
        <f t="shared" si="1"/>
        <v>0.12755989786401253</v>
      </c>
      <c r="I18" s="288">
        <f t="shared" si="1"/>
        <v>0.11184847566178317</v>
      </c>
      <c r="J18" s="288">
        <f t="shared" si="1"/>
        <v>0.1250519758399164</v>
      </c>
      <c r="K18" s="288">
        <f t="shared" si="1"/>
        <v>0.13853657369743186</v>
      </c>
      <c r="L18" s="288">
        <f t="shared" si="1"/>
        <v>0.15191804055937941</v>
      </c>
      <c r="M18" s="288">
        <f t="shared" si="1"/>
        <v>0.16505570961073035</v>
      </c>
      <c r="N18" s="288">
        <f t="shared" si="1"/>
        <v>0.22522980554604619</v>
      </c>
      <c r="O18" s="288">
        <f t="shared" si="1"/>
        <v>0.22835453004342623</v>
      </c>
      <c r="P18" s="288">
        <f t="shared" si="1"/>
        <v>0.23141522535396217</v>
      </c>
      <c r="Q18" s="288">
        <f t="shared" si="1"/>
        <v>0.23440623884023232</v>
      </c>
      <c r="R18" s="288">
        <f t="shared" si="1"/>
        <v>0.23730721587940512</v>
      </c>
    </row>
    <row r="20" spans="2:18">
      <c r="B20" s="344" t="s">
        <v>467</v>
      </c>
      <c r="C20" s="344"/>
      <c r="D20" s="344"/>
      <c r="E20" s="344"/>
      <c r="F20" s="344"/>
      <c r="G20" s="344"/>
      <c r="H20" s="344"/>
      <c r="I20" s="344"/>
      <c r="J20" s="344"/>
      <c r="K20" s="344"/>
      <c r="L20" s="344"/>
      <c r="M20" s="344"/>
      <c r="N20" s="344"/>
      <c r="O20" s="344"/>
      <c r="P20" s="344"/>
      <c r="Q20" s="344"/>
      <c r="R20" s="344"/>
    </row>
    <row r="22" spans="2:18">
      <c r="B22" t="s">
        <v>18</v>
      </c>
      <c r="D22" s="15">
        <f>D16</f>
        <v>528.78999999999974</v>
      </c>
      <c r="E22" s="15">
        <f t="shared" ref="E22:R22" si="2">E16</f>
        <v>505.99999999999994</v>
      </c>
      <c r="F22" s="15">
        <f t="shared" si="2"/>
        <v>136.2199999999992</v>
      </c>
      <c r="G22" s="15">
        <f t="shared" si="2"/>
        <v>248.10999999999984</v>
      </c>
      <c r="H22" s="15">
        <f t="shared" si="2"/>
        <v>834.28000000000111</v>
      </c>
      <c r="I22" s="15">
        <f t="shared" si="2"/>
        <v>801.62451064515494</v>
      </c>
      <c r="J22" s="15">
        <f t="shared" si="2"/>
        <v>993.38068469094173</v>
      </c>
      <c r="K22" s="15">
        <f t="shared" si="2"/>
        <v>1234.1805811679912</v>
      </c>
      <c r="L22" s="15">
        <f t="shared" si="2"/>
        <v>1535.8138733204826</v>
      </c>
      <c r="M22" s="15">
        <f t="shared" si="2"/>
        <v>1915.8732633482289</v>
      </c>
      <c r="N22" s="15">
        <f t="shared" si="2"/>
        <v>3173.1207512710207</v>
      </c>
      <c r="O22" s="15">
        <f t="shared" si="2"/>
        <v>3916.3779582645311</v>
      </c>
      <c r="P22" s="15">
        <f t="shared" si="2"/>
        <v>4845.6064224729007</v>
      </c>
      <c r="Q22" s="15">
        <f t="shared" si="2"/>
        <v>6009.6387059963663</v>
      </c>
      <c r="R22" s="15">
        <f t="shared" si="2"/>
        <v>7470.0051378266689</v>
      </c>
    </row>
    <row r="23" spans="2:18">
      <c r="B23" t="s">
        <v>145</v>
      </c>
      <c r="D23" s="15">
        <f>'P&amp;L Statement'!D13</f>
        <v>7555.78</v>
      </c>
      <c r="E23" s="15">
        <f>'P&amp;L Statement'!E13</f>
        <v>7934.45</v>
      </c>
      <c r="F23" s="15">
        <f>'P&amp;L Statement'!F13</f>
        <v>9498.77</v>
      </c>
      <c r="G23" s="15">
        <f>'P&amp;L Statement'!G13</f>
        <v>12481.21</v>
      </c>
      <c r="H23" s="15">
        <f>'P&amp;L Statement'!H13</f>
        <v>15412.79</v>
      </c>
      <c r="I23" s="15">
        <f>'P&amp;L Statement'!I13</f>
        <v>19042.454400000002</v>
      </c>
      <c r="J23" s="15">
        <f>'P&amp;L Statement'!J13</f>
        <v>23649.727274000004</v>
      </c>
      <c r="K23" s="15">
        <f>'P&amp;L Statement'!K13</f>
        <v>29544.853363740003</v>
      </c>
      <c r="L23" s="15">
        <f>'P&amp;L Statement'!L13</f>
        <v>37104.966424777405</v>
      </c>
      <c r="M23" s="15">
        <f>'P&amp;L Statement'!M13</f>
        <v>46819.422648900189</v>
      </c>
      <c r="N23" s="15">
        <f>'P&amp;L Statement'!N13</f>
        <v>57918.793112986437</v>
      </c>
      <c r="O23" s="15">
        <f>'P&amp;L Statement'!O13</f>
        <v>71924.150623471302</v>
      </c>
      <c r="P23" s="15">
        <f>'P&amp;L Statement'!P13</f>
        <v>89613.469836745338</v>
      </c>
      <c r="Q23" s="15">
        <f>'P&amp;L Statement'!Q13</f>
        <v>111974.32047246565</v>
      </c>
      <c r="R23" s="15">
        <f>'P&amp;L Statement'!R13</f>
        <v>140260.42580092567</v>
      </c>
    </row>
    <row r="24" spans="2:18">
      <c r="B24" s="287" t="s">
        <v>469</v>
      </c>
      <c r="C24" s="287"/>
      <c r="D24" s="288">
        <f>D22/D23</f>
        <v>6.99848328034961E-2</v>
      </c>
      <c r="E24" s="288">
        <f t="shared" ref="E24:R24" si="3">E22/E23</f>
        <v>6.3772536218641485E-2</v>
      </c>
      <c r="F24" s="288">
        <f t="shared" si="3"/>
        <v>1.4340804125165595E-2</v>
      </c>
      <c r="G24" s="288">
        <f t="shared" si="3"/>
        <v>1.9878681634232568E-2</v>
      </c>
      <c r="H24" s="288">
        <f t="shared" si="3"/>
        <v>5.4129070726325411E-2</v>
      </c>
      <c r="I24" s="288">
        <f t="shared" si="3"/>
        <v>4.2096701076787396E-2</v>
      </c>
      <c r="J24" s="288">
        <f t="shared" si="3"/>
        <v>4.2003895993466399E-2</v>
      </c>
      <c r="K24" s="288">
        <f t="shared" si="3"/>
        <v>4.1773115810508112E-2</v>
      </c>
      <c r="L24" s="288">
        <f t="shared" si="3"/>
        <v>4.139105950773532E-2</v>
      </c>
      <c r="M24" s="288">
        <f t="shared" si="3"/>
        <v>4.092048032534279E-2</v>
      </c>
      <c r="N24" s="288">
        <f t="shared" si="3"/>
        <v>5.4785684934438833E-2</v>
      </c>
      <c r="O24" s="288">
        <f t="shared" si="3"/>
        <v>5.4451500981458699E-2</v>
      </c>
      <c r="P24" s="288">
        <f t="shared" si="3"/>
        <v>5.4072299971203615E-2</v>
      </c>
      <c r="Q24" s="288">
        <f t="shared" si="3"/>
        <v>5.3669793937031564E-2</v>
      </c>
      <c r="R24" s="288">
        <f t="shared" si="3"/>
        <v>5.3258109656882061E-2</v>
      </c>
    </row>
    <row r="27" spans="2:18">
      <c r="B27" t="s">
        <v>145</v>
      </c>
      <c r="D27" s="15">
        <f>D23</f>
        <v>7555.78</v>
      </c>
      <c r="E27" s="15">
        <f t="shared" ref="E27:R27" si="4">E23</f>
        <v>7934.45</v>
      </c>
      <c r="F27" s="15">
        <f t="shared" si="4"/>
        <v>9498.77</v>
      </c>
      <c r="G27" s="15">
        <f t="shared" si="4"/>
        <v>12481.21</v>
      </c>
      <c r="H27" s="15">
        <f t="shared" si="4"/>
        <v>15412.79</v>
      </c>
      <c r="I27" s="15">
        <f t="shared" si="4"/>
        <v>19042.454400000002</v>
      </c>
      <c r="J27" s="15">
        <f t="shared" si="4"/>
        <v>23649.727274000004</v>
      </c>
      <c r="K27" s="15">
        <f t="shared" si="4"/>
        <v>29544.853363740003</v>
      </c>
      <c r="L27" s="15">
        <f t="shared" si="4"/>
        <v>37104.966424777405</v>
      </c>
      <c r="M27" s="15">
        <f t="shared" si="4"/>
        <v>46819.422648900189</v>
      </c>
      <c r="N27" s="15">
        <f t="shared" si="4"/>
        <v>57918.793112986437</v>
      </c>
      <c r="O27" s="15">
        <f t="shared" si="4"/>
        <v>71924.150623471302</v>
      </c>
      <c r="P27" s="15">
        <f t="shared" si="4"/>
        <v>89613.469836745338</v>
      </c>
      <c r="Q27" s="15">
        <f t="shared" si="4"/>
        <v>111974.32047246565</v>
      </c>
      <c r="R27" s="15">
        <f t="shared" si="4"/>
        <v>140260.42580092567</v>
      </c>
    </row>
    <row r="28" spans="2:18">
      <c r="B28" t="s">
        <v>23</v>
      </c>
      <c r="D28" s="15">
        <f>'Balance Sheet'!D28</f>
        <v>8655.48</v>
      </c>
      <c r="E28" s="15">
        <f>'Balance Sheet'!E28</f>
        <v>9746.3300000000017</v>
      </c>
      <c r="F28" s="15">
        <f>'Balance Sheet'!F28</f>
        <v>10279.01</v>
      </c>
      <c r="G28" s="15">
        <f>'Balance Sheet'!G28</f>
        <v>12035.720000000001</v>
      </c>
      <c r="H28" s="15">
        <f>'Balance Sheet'!H28</f>
        <v>13152.02</v>
      </c>
      <c r="I28" s="15">
        <f>'Balance Sheet'!I28</f>
        <v>15924.706311092228</v>
      </c>
      <c r="J28" s="15">
        <f>'Balance Sheet'!J28</f>
        <v>18162.447950918664</v>
      </c>
      <c r="K28" s="15">
        <f>'Balance Sheet'!K28</f>
        <v>20996.86503761974</v>
      </c>
      <c r="L28" s="15">
        <f>'Balance Sheet'!L28</f>
        <v>24595.117319442248</v>
      </c>
      <c r="M28" s="15">
        <f>'Balance Sheet'!M28</f>
        <v>29173.707521993514</v>
      </c>
      <c r="N28" s="15">
        <f>'Balance Sheet'!N28</f>
        <v>34220.332759104844</v>
      </c>
      <c r="O28" s="15">
        <f>'Balance Sheet'!O28</f>
        <v>41493.045906370098</v>
      </c>
      <c r="P28" s="15">
        <f>'Balance Sheet'!P28</f>
        <v>50599.853769974216</v>
      </c>
      <c r="Q28" s="15">
        <f>'Balance Sheet'!Q28</f>
        <v>62021.248898953883</v>
      </c>
      <c r="R28" s="15">
        <f>'Balance Sheet'!R28</f>
        <v>76365.849932329904</v>
      </c>
    </row>
    <row r="29" spans="2:18">
      <c r="B29" s="287" t="s">
        <v>470</v>
      </c>
      <c r="C29" s="287"/>
      <c r="D29" s="289">
        <f>D27/D28</f>
        <v>0.8729475430594259</v>
      </c>
      <c r="E29" s="289">
        <f t="shared" ref="E29:R29" si="5">E27/E28</f>
        <v>0.81409617774074938</v>
      </c>
      <c r="F29" s="289">
        <f t="shared" si="5"/>
        <v>0.92409385728781279</v>
      </c>
      <c r="G29" s="289">
        <f t="shared" si="5"/>
        <v>1.037013988361311</v>
      </c>
      <c r="H29" s="289">
        <f t="shared" si="5"/>
        <v>1.171895267799167</v>
      </c>
      <c r="I29" s="289">
        <f t="shared" si="5"/>
        <v>1.1957805706429971</v>
      </c>
      <c r="J29" s="289">
        <f t="shared" si="5"/>
        <v>1.3021222325266892</v>
      </c>
      <c r="K29" s="289">
        <f t="shared" si="5"/>
        <v>1.4071078378036421</v>
      </c>
      <c r="L29" s="289">
        <f t="shared" si="5"/>
        <v>1.5086314060980803</v>
      </c>
      <c r="M29" s="289">
        <f t="shared" si="5"/>
        <v>1.6048499359775887</v>
      </c>
      <c r="N29" s="289">
        <f t="shared" si="5"/>
        <v>1.692525713315171</v>
      </c>
      <c r="O29" s="289">
        <f t="shared" si="5"/>
        <v>1.7334025269142597</v>
      </c>
      <c r="P29" s="289">
        <f t="shared" si="5"/>
        <v>1.7710223085648851</v>
      </c>
      <c r="Q29" s="289">
        <f t="shared" si="5"/>
        <v>1.8054186663492733</v>
      </c>
      <c r="R29" s="289">
        <f t="shared" si="5"/>
        <v>1.8366904306730651</v>
      </c>
    </row>
    <row r="32" spans="2:18">
      <c r="B32" t="s">
        <v>23</v>
      </c>
      <c r="D32" s="15">
        <f>D28</f>
        <v>8655.48</v>
      </c>
      <c r="E32" s="15">
        <f t="shared" ref="E32:R32" si="6">E28</f>
        <v>9746.3300000000017</v>
      </c>
      <c r="F32" s="15">
        <f t="shared" si="6"/>
        <v>10279.01</v>
      </c>
      <c r="G32" s="15">
        <f t="shared" si="6"/>
        <v>12035.720000000001</v>
      </c>
      <c r="H32" s="15">
        <f t="shared" si="6"/>
        <v>13152.02</v>
      </c>
      <c r="I32" s="15">
        <f t="shared" si="6"/>
        <v>15924.706311092228</v>
      </c>
      <c r="J32" s="15">
        <f t="shared" si="6"/>
        <v>18162.447950918664</v>
      </c>
      <c r="K32" s="15">
        <f t="shared" si="6"/>
        <v>20996.86503761974</v>
      </c>
      <c r="L32" s="15">
        <f t="shared" si="6"/>
        <v>24595.117319442248</v>
      </c>
      <c r="M32" s="15">
        <f t="shared" si="6"/>
        <v>29173.707521993514</v>
      </c>
      <c r="N32" s="15">
        <f t="shared" si="6"/>
        <v>34220.332759104844</v>
      </c>
      <c r="O32" s="15">
        <f t="shared" si="6"/>
        <v>41493.045906370098</v>
      </c>
      <c r="P32" s="15">
        <f t="shared" si="6"/>
        <v>50599.853769974216</v>
      </c>
      <c r="Q32" s="15">
        <f t="shared" si="6"/>
        <v>62021.248898953883</v>
      </c>
      <c r="R32" s="15">
        <f t="shared" si="6"/>
        <v>76365.849932329904</v>
      </c>
    </row>
    <row r="33" spans="2:18">
      <c r="B33" t="s">
        <v>468</v>
      </c>
      <c r="D33" s="15">
        <f>D17</f>
        <v>5029.4500000000007</v>
      </c>
      <c r="E33" s="15">
        <f t="shared" ref="E33:R33" si="7">E17</f>
        <v>5537.6399999999994</v>
      </c>
      <c r="F33" s="15">
        <f t="shared" si="7"/>
        <v>5493.7199999999993</v>
      </c>
      <c r="G33" s="15">
        <f t="shared" si="7"/>
        <v>5854.21</v>
      </c>
      <c r="H33" s="15">
        <f t="shared" si="7"/>
        <v>6540.3</v>
      </c>
      <c r="I33" s="15">
        <f t="shared" si="7"/>
        <v>7167.057985387075</v>
      </c>
      <c r="J33" s="15">
        <f t="shared" si="7"/>
        <v>7943.7424160543023</v>
      </c>
      <c r="K33" s="15">
        <f t="shared" si="7"/>
        <v>8908.6986073690514</v>
      </c>
      <c r="L33" s="15">
        <f t="shared" si="7"/>
        <v>10109.489746349032</v>
      </c>
      <c r="M33" s="15">
        <f t="shared" si="7"/>
        <v>11607.434046763063</v>
      </c>
      <c r="N33" s="15">
        <f t="shared" si="7"/>
        <v>14088.36962576121</v>
      </c>
      <c r="O33" s="15">
        <f t="shared" si="7"/>
        <v>17150.428141363136</v>
      </c>
      <c r="P33" s="15">
        <f t="shared" si="7"/>
        <v>20939.013044890551</v>
      </c>
      <c r="Q33" s="15">
        <f t="shared" si="7"/>
        <v>25637.70800525682</v>
      </c>
      <c r="R33" s="15">
        <f t="shared" si="7"/>
        <v>31478.204782541376</v>
      </c>
    </row>
    <row r="34" spans="2:18">
      <c r="B34" s="287" t="s">
        <v>471</v>
      </c>
      <c r="C34" s="287"/>
      <c r="D34" s="289">
        <f>D32/D33</f>
        <v>1.7209595482607438</v>
      </c>
      <c r="E34" s="289">
        <f t="shared" ref="E34:R34" si="8">E32/E33</f>
        <v>1.7600150966837864</v>
      </c>
      <c r="F34" s="289">
        <f t="shared" si="8"/>
        <v>1.8710473049227121</v>
      </c>
      <c r="G34" s="289">
        <f t="shared" si="8"/>
        <v>2.0559084829550018</v>
      </c>
      <c r="H34" s="289">
        <f t="shared" si="8"/>
        <v>2.010919988379738</v>
      </c>
      <c r="I34" s="289">
        <f t="shared" si="8"/>
        <v>2.2219307201868794</v>
      </c>
      <c r="J34" s="289">
        <f t="shared" si="8"/>
        <v>2.28638430095774</v>
      </c>
      <c r="K34" s="289">
        <f t="shared" si="8"/>
        <v>2.3568947568000183</v>
      </c>
      <c r="L34" s="289">
        <f t="shared" si="8"/>
        <v>2.4328742534532561</v>
      </c>
      <c r="M34" s="289">
        <f t="shared" si="8"/>
        <v>2.5133640565572817</v>
      </c>
      <c r="N34" s="289">
        <f t="shared" si="8"/>
        <v>2.4289774947792004</v>
      </c>
      <c r="O34" s="289">
        <f t="shared" si="8"/>
        <v>2.4193591882582695</v>
      </c>
      <c r="P34" s="289">
        <f t="shared" si="8"/>
        <v>2.4165348033116287</v>
      </c>
      <c r="Q34" s="289">
        <f t="shared" si="8"/>
        <v>2.4191417144713907</v>
      </c>
      <c r="R34" s="289">
        <f t="shared" si="8"/>
        <v>2.425991267922762</v>
      </c>
    </row>
    <row r="37" spans="2:18">
      <c r="B37" s="290" t="s">
        <v>472</v>
      </c>
      <c r="C37" s="290"/>
      <c r="D37" s="291">
        <f>D24*D29*D34</f>
        <v>0.10513873286343429</v>
      </c>
      <c r="E37" s="291">
        <f t="shared" ref="E37:R37" si="9">E24*E29*E34</f>
        <v>9.1374665019755691E-2</v>
      </c>
      <c r="F37" s="291">
        <f t="shared" si="9"/>
        <v>2.4795584776799551E-2</v>
      </c>
      <c r="G37" s="291">
        <f t="shared" si="9"/>
        <v>4.2381465646090563E-2</v>
      </c>
      <c r="H37" s="291">
        <f t="shared" si="9"/>
        <v>0.12755989786401253</v>
      </c>
      <c r="I37" s="291">
        <f t="shared" si="9"/>
        <v>0.11184847566178317</v>
      </c>
      <c r="J37" s="291">
        <f t="shared" si="9"/>
        <v>0.1250519758399164</v>
      </c>
      <c r="K37" s="291">
        <f t="shared" si="9"/>
        <v>0.13853657369743189</v>
      </c>
      <c r="L37" s="291">
        <f t="shared" si="9"/>
        <v>0.15191804055937944</v>
      </c>
      <c r="M37" s="291">
        <f t="shared" si="9"/>
        <v>0.16505570961073035</v>
      </c>
      <c r="N37" s="291">
        <f t="shared" si="9"/>
        <v>0.22522980554604619</v>
      </c>
      <c r="O37" s="291">
        <f t="shared" si="9"/>
        <v>0.22835453004342623</v>
      </c>
      <c r="P37" s="291">
        <f t="shared" si="9"/>
        <v>0.2314152253539622</v>
      </c>
      <c r="Q37" s="291">
        <f t="shared" si="9"/>
        <v>0.23440623884023232</v>
      </c>
      <c r="R37" s="291">
        <f t="shared" si="9"/>
        <v>0.23730721587940515</v>
      </c>
    </row>
    <row r="40" spans="2:18">
      <c r="B40" s="334" t="s">
        <v>473</v>
      </c>
      <c r="C40" s="334"/>
      <c r="D40" s="334"/>
      <c r="E40" s="334"/>
      <c r="F40" s="334"/>
      <c r="G40" s="334"/>
      <c r="H40" s="334"/>
      <c r="I40" s="334"/>
      <c r="J40" s="334"/>
      <c r="K40" s="334"/>
      <c r="L40" s="334"/>
      <c r="M40" s="334"/>
      <c r="N40" s="334"/>
      <c r="O40" s="334"/>
      <c r="P40" s="334"/>
      <c r="Q40" s="334"/>
      <c r="R40" s="334"/>
    </row>
    <row r="42" spans="2:18">
      <c r="B42" t="s">
        <v>18</v>
      </c>
      <c r="D42" s="15">
        <f>D22</f>
        <v>528.78999999999974</v>
      </c>
      <c r="E42" s="15">
        <f t="shared" ref="E42:R42" si="10">E22</f>
        <v>505.99999999999994</v>
      </c>
      <c r="F42" s="15">
        <f t="shared" si="10"/>
        <v>136.2199999999992</v>
      </c>
      <c r="G42" s="15">
        <f t="shared" si="10"/>
        <v>248.10999999999984</v>
      </c>
      <c r="H42" s="15">
        <f t="shared" si="10"/>
        <v>834.28000000000111</v>
      </c>
      <c r="I42" s="15">
        <f t="shared" si="10"/>
        <v>801.62451064515494</v>
      </c>
      <c r="J42" s="15">
        <f t="shared" si="10"/>
        <v>993.38068469094173</v>
      </c>
      <c r="K42" s="15">
        <f t="shared" si="10"/>
        <v>1234.1805811679912</v>
      </c>
      <c r="L42" s="15">
        <f t="shared" si="10"/>
        <v>1535.8138733204826</v>
      </c>
      <c r="M42" s="15">
        <f t="shared" si="10"/>
        <v>1915.8732633482289</v>
      </c>
      <c r="N42" s="15">
        <f t="shared" si="10"/>
        <v>3173.1207512710207</v>
      </c>
      <c r="O42" s="15">
        <f t="shared" si="10"/>
        <v>3916.3779582645311</v>
      </c>
      <c r="P42" s="15">
        <f t="shared" si="10"/>
        <v>4845.6064224729007</v>
      </c>
      <c r="Q42" s="15">
        <f t="shared" si="10"/>
        <v>6009.6387059963663</v>
      </c>
      <c r="R42" s="15">
        <f t="shared" si="10"/>
        <v>7470.0051378266689</v>
      </c>
    </row>
    <row r="43" spans="2:18">
      <c r="B43" t="s">
        <v>474</v>
      </c>
      <c r="D43" s="15">
        <f>D28</f>
        <v>8655.48</v>
      </c>
      <c r="E43" s="15">
        <f t="shared" ref="E43:R43" si="11">E28</f>
        <v>9746.3300000000017</v>
      </c>
      <c r="F43" s="15">
        <f t="shared" si="11"/>
        <v>10279.01</v>
      </c>
      <c r="G43" s="15">
        <f t="shared" si="11"/>
        <v>12035.720000000001</v>
      </c>
      <c r="H43" s="15">
        <f t="shared" si="11"/>
        <v>13152.02</v>
      </c>
      <c r="I43" s="15">
        <f t="shared" si="11"/>
        <v>15924.706311092228</v>
      </c>
      <c r="J43" s="15">
        <f t="shared" si="11"/>
        <v>18162.447950918664</v>
      </c>
      <c r="K43" s="15">
        <f t="shared" si="11"/>
        <v>20996.86503761974</v>
      </c>
      <c r="L43" s="15">
        <f t="shared" si="11"/>
        <v>24595.117319442248</v>
      </c>
      <c r="M43" s="15">
        <f t="shared" si="11"/>
        <v>29173.707521993514</v>
      </c>
      <c r="N43" s="15">
        <f t="shared" si="11"/>
        <v>34220.332759104844</v>
      </c>
      <c r="O43" s="15">
        <f t="shared" si="11"/>
        <v>41493.045906370098</v>
      </c>
      <c r="P43" s="15">
        <f t="shared" si="11"/>
        <v>50599.853769974216</v>
      </c>
      <c r="Q43" s="15">
        <f t="shared" si="11"/>
        <v>62021.248898953883</v>
      </c>
      <c r="R43" s="15">
        <f t="shared" si="11"/>
        <v>76365.849932329904</v>
      </c>
    </row>
    <row r="44" spans="2:18">
      <c r="B44" s="287" t="s">
        <v>475</v>
      </c>
      <c r="C44" s="292"/>
      <c r="D44" s="288">
        <f>D42/D43</f>
        <v>6.1093087847236639E-2</v>
      </c>
      <c r="E44" s="288">
        <f t="shared" ref="E44:R44" si="12">E42/E43</f>
        <v>5.1916977980429539E-2</v>
      </c>
      <c r="F44" s="288">
        <f t="shared" si="12"/>
        <v>1.3252249000633251E-2</v>
      </c>
      <c r="G44" s="288">
        <f t="shared" si="12"/>
        <v>2.0614470924880259E-2</v>
      </c>
      <c r="H44" s="288">
        <f t="shared" si="12"/>
        <v>6.3433601834547174E-2</v>
      </c>
      <c r="I44" s="288">
        <f t="shared" si="12"/>
        <v>5.0338417235788503E-2</v>
      </c>
      <c r="J44" s="288">
        <f t="shared" si="12"/>
        <v>5.4694206825831322E-2</v>
      </c>
      <c r="K44" s="288">
        <f t="shared" si="12"/>
        <v>5.8779278666445209E-2</v>
      </c>
      <c r="L44" s="288">
        <f t="shared" si="12"/>
        <v>6.2443852305044047E-2</v>
      </c>
      <c r="M44" s="288">
        <f t="shared" si="12"/>
        <v>6.5671230230298555E-2</v>
      </c>
      <c r="N44" s="288">
        <f t="shared" si="12"/>
        <v>9.2726180473121297E-2</v>
      </c>
      <c r="O44" s="288">
        <f t="shared" si="12"/>
        <v>9.4386369395534797E-2</v>
      </c>
      <c r="P44" s="288">
        <f t="shared" si="12"/>
        <v>9.5763249524413993E-2</v>
      </c>
      <c r="Q44" s="288">
        <f t="shared" si="12"/>
        <v>9.6896447793035842E-2</v>
      </c>
      <c r="R44" s="288">
        <f t="shared" si="12"/>
        <v>9.7818660362532034E-2</v>
      </c>
    </row>
    <row r="46" spans="2:18">
      <c r="B46" s="334" t="s">
        <v>476</v>
      </c>
      <c r="C46" s="334"/>
      <c r="D46" s="334"/>
      <c r="E46" s="334"/>
      <c r="F46" s="334"/>
      <c r="G46" s="334"/>
      <c r="H46" s="334"/>
      <c r="I46" s="334"/>
      <c r="J46" s="334"/>
      <c r="K46" s="334"/>
      <c r="L46" s="334"/>
      <c r="M46" s="334"/>
      <c r="N46" s="334"/>
      <c r="O46" s="334"/>
      <c r="P46" s="334"/>
      <c r="Q46" s="334"/>
      <c r="R46" s="334"/>
    </row>
    <row r="48" spans="2:18">
      <c r="B48" t="s">
        <v>18</v>
      </c>
      <c r="D48" s="15">
        <f>D42</f>
        <v>528.78999999999974</v>
      </c>
      <c r="E48" s="15">
        <f t="shared" ref="E48:R48" si="13">E42</f>
        <v>505.99999999999994</v>
      </c>
      <c r="F48" s="15">
        <f t="shared" si="13"/>
        <v>136.2199999999992</v>
      </c>
      <c r="G48" s="15">
        <f t="shared" si="13"/>
        <v>248.10999999999984</v>
      </c>
      <c r="H48" s="15">
        <f t="shared" si="13"/>
        <v>834.28000000000111</v>
      </c>
      <c r="I48" s="15">
        <f t="shared" si="13"/>
        <v>801.62451064515494</v>
      </c>
      <c r="J48" s="15">
        <f t="shared" si="13"/>
        <v>993.38068469094173</v>
      </c>
      <c r="K48" s="15">
        <f t="shared" si="13"/>
        <v>1234.1805811679912</v>
      </c>
      <c r="L48" s="15">
        <f t="shared" si="13"/>
        <v>1535.8138733204826</v>
      </c>
      <c r="M48" s="15">
        <f t="shared" si="13"/>
        <v>1915.8732633482289</v>
      </c>
      <c r="N48" s="15">
        <f t="shared" si="13"/>
        <v>3173.1207512710207</v>
      </c>
      <c r="O48" s="15">
        <f t="shared" si="13"/>
        <v>3916.3779582645311</v>
      </c>
      <c r="P48" s="15">
        <f t="shared" si="13"/>
        <v>4845.6064224729007</v>
      </c>
      <c r="Q48" s="15">
        <f t="shared" si="13"/>
        <v>6009.6387059963663</v>
      </c>
      <c r="R48" s="15">
        <f t="shared" si="13"/>
        <v>7470.0051378266689</v>
      </c>
    </row>
    <row r="49" spans="2:18">
      <c r="B49" t="s">
        <v>145</v>
      </c>
      <c r="D49" s="15">
        <f>D27</f>
        <v>7555.78</v>
      </c>
      <c r="E49" s="15">
        <f t="shared" ref="E49:R49" si="14">E27</f>
        <v>7934.45</v>
      </c>
      <c r="F49" s="15">
        <f t="shared" si="14"/>
        <v>9498.77</v>
      </c>
      <c r="G49" s="15">
        <f t="shared" si="14"/>
        <v>12481.21</v>
      </c>
      <c r="H49" s="15">
        <f t="shared" si="14"/>
        <v>15412.79</v>
      </c>
      <c r="I49" s="15">
        <f t="shared" si="14"/>
        <v>19042.454400000002</v>
      </c>
      <c r="J49" s="15">
        <f t="shared" si="14"/>
        <v>23649.727274000004</v>
      </c>
      <c r="K49" s="15">
        <f t="shared" si="14"/>
        <v>29544.853363740003</v>
      </c>
      <c r="L49" s="15">
        <f t="shared" si="14"/>
        <v>37104.966424777405</v>
      </c>
      <c r="M49" s="15">
        <f t="shared" si="14"/>
        <v>46819.422648900189</v>
      </c>
      <c r="N49" s="15">
        <f t="shared" si="14"/>
        <v>57918.793112986437</v>
      </c>
      <c r="O49" s="15">
        <f t="shared" si="14"/>
        <v>71924.150623471302</v>
      </c>
      <c r="P49" s="15">
        <f t="shared" si="14"/>
        <v>89613.469836745338</v>
      </c>
      <c r="Q49" s="15">
        <f t="shared" si="14"/>
        <v>111974.32047246565</v>
      </c>
      <c r="R49" s="15">
        <f t="shared" si="14"/>
        <v>140260.42580092567</v>
      </c>
    </row>
    <row r="50" spans="2:18">
      <c r="B50" s="287" t="s">
        <v>469</v>
      </c>
      <c r="C50" s="287"/>
      <c r="D50" s="288">
        <f>D48/D49</f>
        <v>6.99848328034961E-2</v>
      </c>
      <c r="E50" s="288">
        <f t="shared" ref="E50:R50" si="15">E48/E49</f>
        <v>6.3772536218641485E-2</v>
      </c>
      <c r="F50" s="288">
        <f t="shared" si="15"/>
        <v>1.4340804125165595E-2</v>
      </c>
      <c r="G50" s="288">
        <f t="shared" si="15"/>
        <v>1.9878681634232568E-2</v>
      </c>
      <c r="H50" s="288">
        <f t="shared" si="15"/>
        <v>5.4129070726325411E-2</v>
      </c>
      <c r="I50" s="288">
        <f t="shared" si="15"/>
        <v>4.2096701076787396E-2</v>
      </c>
      <c r="J50" s="288">
        <f t="shared" si="15"/>
        <v>4.2003895993466399E-2</v>
      </c>
      <c r="K50" s="288">
        <f t="shared" si="15"/>
        <v>4.1773115810508112E-2</v>
      </c>
      <c r="L50" s="288">
        <f t="shared" si="15"/>
        <v>4.139105950773532E-2</v>
      </c>
      <c r="M50" s="288">
        <f t="shared" si="15"/>
        <v>4.092048032534279E-2</v>
      </c>
      <c r="N50" s="288">
        <f t="shared" si="15"/>
        <v>5.4785684934438833E-2</v>
      </c>
      <c r="O50" s="288">
        <f t="shared" si="15"/>
        <v>5.4451500981458699E-2</v>
      </c>
      <c r="P50" s="288">
        <f t="shared" si="15"/>
        <v>5.4072299971203615E-2</v>
      </c>
      <c r="Q50" s="288">
        <f t="shared" si="15"/>
        <v>5.3669793937031564E-2</v>
      </c>
      <c r="R50" s="288">
        <f t="shared" si="15"/>
        <v>5.3258109656882061E-2</v>
      </c>
    </row>
    <row r="53" spans="2:18">
      <c r="B53" t="s">
        <v>477</v>
      </c>
      <c r="D53" s="15">
        <f>D49</f>
        <v>7555.78</v>
      </c>
      <c r="E53" s="15">
        <f t="shared" ref="E53:R53" si="16">E49</f>
        <v>7934.45</v>
      </c>
      <c r="F53" s="15">
        <f t="shared" si="16"/>
        <v>9498.77</v>
      </c>
      <c r="G53" s="15">
        <f t="shared" si="16"/>
        <v>12481.21</v>
      </c>
      <c r="H53" s="15">
        <f t="shared" si="16"/>
        <v>15412.79</v>
      </c>
      <c r="I53" s="15">
        <f t="shared" si="16"/>
        <v>19042.454400000002</v>
      </c>
      <c r="J53" s="15">
        <f t="shared" si="16"/>
        <v>23649.727274000004</v>
      </c>
      <c r="K53" s="15">
        <f t="shared" si="16"/>
        <v>29544.853363740003</v>
      </c>
      <c r="L53" s="15">
        <f t="shared" si="16"/>
        <v>37104.966424777405</v>
      </c>
      <c r="M53" s="15">
        <f t="shared" si="16"/>
        <v>46819.422648900189</v>
      </c>
      <c r="N53" s="15">
        <f t="shared" si="16"/>
        <v>57918.793112986437</v>
      </c>
      <c r="O53" s="15">
        <f t="shared" si="16"/>
        <v>71924.150623471302</v>
      </c>
      <c r="P53" s="15">
        <f t="shared" si="16"/>
        <v>89613.469836745338</v>
      </c>
      <c r="Q53" s="15">
        <f t="shared" si="16"/>
        <v>111974.32047246565</v>
      </c>
      <c r="R53" s="15">
        <f t="shared" si="16"/>
        <v>140260.42580092567</v>
      </c>
    </row>
    <row r="54" spans="2:18">
      <c r="B54" t="s">
        <v>474</v>
      </c>
      <c r="D54" s="15">
        <f>D43</f>
        <v>8655.48</v>
      </c>
      <c r="E54" s="15">
        <f t="shared" ref="E54:R54" si="17">E43</f>
        <v>9746.3300000000017</v>
      </c>
      <c r="F54" s="15">
        <f t="shared" si="17"/>
        <v>10279.01</v>
      </c>
      <c r="G54" s="15">
        <f t="shared" si="17"/>
        <v>12035.720000000001</v>
      </c>
      <c r="H54" s="15">
        <f t="shared" si="17"/>
        <v>13152.02</v>
      </c>
      <c r="I54" s="15">
        <f t="shared" si="17"/>
        <v>15924.706311092228</v>
      </c>
      <c r="J54" s="15">
        <f t="shared" si="17"/>
        <v>18162.447950918664</v>
      </c>
      <c r="K54" s="15">
        <f t="shared" si="17"/>
        <v>20996.86503761974</v>
      </c>
      <c r="L54" s="15">
        <f t="shared" si="17"/>
        <v>24595.117319442248</v>
      </c>
      <c r="M54" s="15">
        <f t="shared" si="17"/>
        <v>29173.707521993514</v>
      </c>
      <c r="N54" s="15">
        <f t="shared" si="17"/>
        <v>34220.332759104844</v>
      </c>
      <c r="O54" s="15">
        <f t="shared" si="17"/>
        <v>41493.045906370098</v>
      </c>
      <c r="P54" s="15">
        <f t="shared" si="17"/>
        <v>50599.853769974216</v>
      </c>
      <c r="Q54" s="15">
        <f t="shared" si="17"/>
        <v>62021.248898953883</v>
      </c>
      <c r="R54" s="15">
        <f t="shared" si="17"/>
        <v>76365.849932329904</v>
      </c>
    </row>
    <row r="55" spans="2:18">
      <c r="B55" s="287" t="s">
        <v>478</v>
      </c>
      <c r="C55" s="292"/>
      <c r="D55" s="289">
        <f>D53/D54</f>
        <v>0.8729475430594259</v>
      </c>
      <c r="E55" s="289">
        <f t="shared" ref="E55:R55" si="18">E53/E54</f>
        <v>0.81409617774074938</v>
      </c>
      <c r="F55" s="289">
        <f t="shared" si="18"/>
        <v>0.92409385728781279</v>
      </c>
      <c r="G55" s="289">
        <f t="shared" si="18"/>
        <v>1.037013988361311</v>
      </c>
      <c r="H55" s="289">
        <f t="shared" si="18"/>
        <v>1.171895267799167</v>
      </c>
      <c r="I55" s="289">
        <f t="shared" si="18"/>
        <v>1.1957805706429971</v>
      </c>
      <c r="J55" s="289">
        <f t="shared" si="18"/>
        <v>1.3021222325266892</v>
      </c>
      <c r="K55" s="289">
        <f t="shared" si="18"/>
        <v>1.4071078378036421</v>
      </c>
      <c r="L55" s="289">
        <f t="shared" si="18"/>
        <v>1.5086314060980803</v>
      </c>
      <c r="M55" s="289">
        <f t="shared" si="18"/>
        <v>1.6048499359775887</v>
      </c>
      <c r="N55" s="289">
        <f t="shared" si="18"/>
        <v>1.692525713315171</v>
      </c>
      <c r="O55" s="289">
        <f t="shared" si="18"/>
        <v>1.7334025269142597</v>
      </c>
      <c r="P55" s="289">
        <f t="shared" si="18"/>
        <v>1.7710223085648851</v>
      </c>
      <c r="Q55" s="289">
        <f t="shared" si="18"/>
        <v>1.8054186663492733</v>
      </c>
      <c r="R55" s="289">
        <f t="shared" si="18"/>
        <v>1.8366904306730651</v>
      </c>
    </row>
    <row r="57" spans="2:18">
      <c r="B57" s="293" t="s">
        <v>479</v>
      </c>
      <c r="C57" s="294"/>
      <c r="D57" s="295">
        <f>D55*D50</f>
        <v>6.1093087847236632E-2</v>
      </c>
      <c r="E57" s="295">
        <f t="shared" ref="E57:R57" si="19">E55*E50</f>
        <v>5.1916977980429532E-2</v>
      </c>
      <c r="F57" s="295">
        <f t="shared" si="19"/>
        <v>1.3252249000633253E-2</v>
      </c>
      <c r="G57" s="295">
        <f t="shared" si="19"/>
        <v>2.0614470924880259E-2</v>
      </c>
      <c r="H57" s="295">
        <f t="shared" si="19"/>
        <v>6.3433601834547174E-2</v>
      </c>
      <c r="I57" s="295">
        <f t="shared" si="19"/>
        <v>5.0338417235788503E-2</v>
      </c>
      <c r="J57" s="295">
        <f t="shared" si="19"/>
        <v>5.4694206825831322E-2</v>
      </c>
      <c r="K57" s="295">
        <f t="shared" si="19"/>
        <v>5.8779278666445209E-2</v>
      </c>
      <c r="L57" s="295">
        <f t="shared" si="19"/>
        <v>6.2443852305044054E-2</v>
      </c>
      <c r="M57" s="295">
        <f t="shared" si="19"/>
        <v>6.5671230230298555E-2</v>
      </c>
      <c r="N57" s="295">
        <f t="shared" si="19"/>
        <v>9.2726180473121297E-2</v>
      </c>
      <c r="O57" s="295">
        <f t="shared" si="19"/>
        <v>9.4386369395534797E-2</v>
      </c>
      <c r="P57" s="295">
        <f t="shared" si="19"/>
        <v>9.5763249524413993E-2</v>
      </c>
      <c r="Q57" s="295">
        <f t="shared" si="19"/>
        <v>9.6896447793035842E-2</v>
      </c>
      <c r="R57" s="295">
        <f t="shared" si="19"/>
        <v>9.7818660362532048E-2</v>
      </c>
    </row>
  </sheetData>
  <mergeCells count="5">
    <mergeCell ref="B20:R20"/>
    <mergeCell ref="B14:R14"/>
    <mergeCell ref="B40:R40"/>
    <mergeCell ref="B46:R46"/>
    <mergeCell ref="B9:R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9:R53"/>
  <sheetViews>
    <sheetView showGridLines="0" topLeftCell="A31" workbookViewId="0">
      <selection activeCell="C51" sqref="C51"/>
    </sheetView>
  </sheetViews>
  <sheetFormatPr defaultRowHeight="15"/>
  <cols>
    <col min="1" max="1" width="1.85546875" customWidth="1"/>
    <col min="2" max="2" width="20" bestFit="1" customWidth="1"/>
  </cols>
  <sheetData>
    <row r="9" spans="1:18">
      <c r="A9" s="301"/>
      <c r="B9" s="344" t="s">
        <v>490</v>
      </c>
      <c r="C9" s="344"/>
      <c r="D9" s="344"/>
      <c r="E9" s="344"/>
      <c r="F9" s="344"/>
      <c r="G9" s="344"/>
      <c r="H9" s="344"/>
      <c r="I9" s="344"/>
      <c r="J9" s="344"/>
      <c r="K9" s="344"/>
      <c r="L9" s="344"/>
      <c r="M9" s="344"/>
      <c r="N9" s="344"/>
      <c r="O9" s="344"/>
      <c r="P9" s="344"/>
      <c r="Q9" s="344"/>
      <c r="R9" s="344"/>
    </row>
    <row r="11" spans="1:18">
      <c r="B11" s="11" t="s">
        <v>13</v>
      </c>
      <c r="C11" s="11"/>
      <c r="D11" s="11">
        <v>2021</v>
      </c>
      <c r="E11" s="11">
        <f>D11+1</f>
        <v>2022</v>
      </c>
      <c r="F11" s="11">
        <f t="shared" ref="F11:R11" si="0">E11+1</f>
        <v>2023</v>
      </c>
      <c r="G11" s="11">
        <f t="shared" si="0"/>
        <v>2024</v>
      </c>
      <c r="H11" s="11">
        <f t="shared" si="0"/>
        <v>2025</v>
      </c>
      <c r="I11" s="11">
        <f t="shared" si="0"/>
        <v>2026</v>
      </c>
      <c r="J11" s="11">
        <f t="shared" si="0"/>
        <v>2027</v>
      </c>
      <c r="K11" s="11">
        <f t="shared" si="0"/>
        <v>2028</v>
      </c>
      <c r="L11" s="11">
        <f t="shared" si="0"/>
        <v>2029</v>
      </c>
      <c r="M11" s="11">
        <f t="shared" si="0"/>
        <v>2030</v>
      </c>
      <c r="N11" s="11">
        <f t="shared" si="0"/>
        <v>2031</v>
      </c>
      <c r="O11" s="11">
        <f t="shared" si="0"/>
        <v>2032</v>
      </c>
      <c r="P11" s="11">
        <f t="shared" si="0"/>
        <v>2033</v>
      </c>
      <c r="Q11" s="11">
        <f t="shared" si="0"/>
        <v>2034</v>
      </c>
      <c r="R11" s="11">
        <f t="shared" si="0"/>
        <v>2035</v>
      </c>
    </row>
    <row r="12" spans="1:18">
      <c r="D12" s="269" t="s">
        <v>398</v>
      </c>
      <c r="E12" s="244" t="s">
        <v>398</v>
      </c>
      <c r="F12" s="244" t="s">
        <v>398</v>
      </c>
      <c r="G12" s="244" t="s">
        <v>398</v>
      </c>
      <c r="H12" s="244" t="s">
        <v>398</v>
      </c>
      <c r="I12" s="243" t="s">
        <v>399</v>
      </c>
      <c r="J12" s="243" t="s">
        <v>399</v>
      </c>
      <c r="K12" s="243" t="s">
        <v>399</v>
      </c>
      <c r="L12" s="243" t="s">
        <v>399</v>
      </c>
      <c r="M12" s="243" t="s">
        <v>399</v>
      </c>
      <c r="N12" s="243" t="s">
        <v>399</v>
      </c>
      <c r="O12" s="243" t="s">
        <v>399</v>
      </c>
      <c r="P12" s="243" t="s">
        <v>399</v>
      </c>
      <c r="Q12" s="243" t="s">
        <v>399</v>
      </c>
      <c r="R12" s="243" t="s">
        <v>399</v>
      </c>
    </row>
    <row r="14" spans="1:18">
      <c r="B14" s="352" t="s">
        <v>480</v>
      </c>
      <c r="C14" s="352"/>
      <c r="D14" s="352"/>
      <c r="E14" s="352"/>
      <c r="F14" s="352"/>
      <c r="G14" s="352"/>
      <c r="H14" s="352"/>
      <c r="I14" s="352"/>
      <c r="J14" s="352"/>
      <c r="K14" s="352"/>
      <c r="L14" s="352"/>
      <c r="M14" s="352"/>
      <c r="N14" s="352"/>
      <c r="O14" s="352"/>
      <c r="P14" s="352"/>
      <c r="Q14" s="352"/>
      <c r="R14" s="352"/>
    </row>
    <row r="16" spans="1:18">
      <c r="B16" t="s">
        <v>481</v>
      </c>
      <c r="D16" s="15">
        <f>'Balance Sheet'!D26-'Balance Sheet'!D35</f>
        <v>1032.19</v>
      </c>
      <c r="E16" s="15">
        <f>'Balance Sheet'!E26-'Balance Sheet'!E35</f>
        <v>1363.6600000000003</v>
      </c>
      <c r="F16" s="15">
        <f>'Balance Sheet'!F26-'Balance Sheet'!F35</f>
        <v>1411.6199999999994</v>
      </c>
      <c r="G16" s="15">
        <f>'Balance Sheet'!G26-'Balance Sheet'!G35</f>
        <v>1397.9400000000005</v>
      </c>
      <c r="H16" s="15">
        <f>'Balance Sheet'!H26-'Balance Sheet'!H35</f>
        <v>1765.13</v>
      </c>
      <c r="I16" s="15">
        <f>'Balance Sheet'!I26-'Balance Sheet'!I35</f>
        <v>2187.8529950384618</v>
      </c>
      <c r="J16" s="15">
        <f>'Balance Sheet'!J26-'Balance Sheet'!J35</f>
        <v>2704.5020274386297</v>
      </c>
      <c r="K16" s="15">
        <f>'Balance Sheet'!K26-'Balance Sheet'!K35</f>
        <v>3335.8146435384897</v>
      </c>
      <c r="L16" s="15">
        <f>'Balance Sheet'!L26-'Balance Sheet'!L35</f>
        <v>4111.070221639342</v>
      </c>
      <c r="M16" s="15">
        <f>'Balance Sheet'!M26-'Balance Sheet'!M35</f>
        <v>5067.1302420457778</v>
      </c>
      <c r="N16" s="15">
        <f>'Balance Sheet'!N26-'Balance Sheet'!N35</f>
        <v>6953.6451953685391</v>
      </c>
      <c r="O16" s="15">
        <f>'Balance Sheet'!O26-'Balance Sheet'!O35</f>
        <v>9271.2358200035051</v>
      </c>
      <c r="P16" s="15">
        <f>'Balance Sheet'!P26-'Balance Sheet'!P35</f>
        <v>12128.806510383725</v>
      </c>
      <c r="Q16" s="15">
        <f>'Balance Sheet'!Q26-'Balance Sheet'!Q35</f>
        <v>15663.518948124089</v>
      </c>
      <c r="R16" s="15">
        <f>'Balance Sheet'!R26-'Balance Sheet'!R35</f>
        <v>20048.48657471568</v>
      </c>
    </row>
    <row r="17" spans="2:18">
      <c r="B17" t="s">
        <v>49</v>
      </c>
      <c r="D17" s="15">
        <f>'Balance Sheet'!D28</f>
        <v>8655.48</v>
      </c>
      <c r="E17" s="15">
        <f>'Balance Sheet'!E28</f>
        <v>9746.3300000000017</v>
      </c>
      <c r="F17" s="15">
        <f>'Balance Sheet'!F28</f>
        <v>10279.01</v>
      </c>
      <c r="G17" s="15">
        <f>'Balance Sheet'!G28</f>
        <v>12035.720000000001</v>
      </c>
      <c r="H17" s="15">
        <f>'Balance Sheet'!H28</f>
        <v>13152.02</v>
      </c>
      <c r="I17" s="15">
        <f>'Balance Sheet'!I28</f>
        <v>15924.706311092228</v>
      </c>
      <c r="J17" s="15">
        <f>'Balance Sheet'!J28</f>
        <v>18162.447950918664</v>
      </c>
      <c r="K17" s="15">
        <f>'Balance Sheet'!K28</f>
        <v>20996.86503761974</v>
      </c>
      <c r="L17" s="15">
        <f>'Balance Sheet'!L28</f>
        <v>24595.117319442248</v>
      </c>
      <c r="M17" s="15">
        <f>'Balance Sheet'!M28</f>
        <v>29173.707521993514</v>
      </c>
      <c r="N17" s="15">
        <f>'Balance Sheet'!N28</f>
        <v>34220.332759104844</v>
      </c>
      <c r="O17" s="15">
        <f>'Balance Sheet'!O28</f>
        <v>41493.045906370098</v>
      </c>
      <c r="P17" s="15">
        <f>'Balance Sheet'!P28</f>
        <v>50599.853769974216</v>
      </c>
      <c r="Q17" s="15">
        <f>'Balance Sheet'!Q28</f>
        <v>62021.248898953883</v>
      </c>
      <c r="R17" s="15">
        <f>'Balance Sheet'!R28</f>
        <v>76365.849932329904</v>
      </c>
    </row>
    <row r="18" spans="2:18">
      <c r="B18" s="287" t="s">
        <v>480</v>
      </c>
      <c r="C18" s="287"/>
      <c r="D18" s="289">
        <f>D16/D17</f>
        <v>0.11925277396516427</v>
      </c>
      <c r="E18" s="289">
        <f t="shared" ref="E18:R18" si="1">E16/E17</f>
        <v>0.13991522963002484</v>
      </c>
      <c r="F18" s="289">
        <f t="shared" si="1"/>
        <v>0.13733034601581276</v>
      </c>
      <c r="G18" s="289">
        <f t="shared" si="1"/>
        <v>0.11614926236236806</v>
      </c>
      <c r="H18" s="289">
        <f t="shared" si="1"/>
        <v>0.13420980199239357</v>
      </c>
      <c r="I18" s="289">
        <f t="shared" si="1"/>
        <v>0.13738733715387455</v>
      </c>
      <c r="J18" s="289">
        <f t="shared" si="1"/>
        <v>0.14890625067431149</v>
      </c>
      <c r="K18" s="289">
        <f t="shared" si="1"/>
        <v>0.15887203339935582</v>
      </c>
      <c r="L18" s="289">
        <f t="shared" si="1"/>
        <v>0.16714985207204411</v>
      </c>
      <c r="M18" s="289">
        <f t="shared" si="1"/>
        <v>0.17368825125245951</v>
      </c>
      <c r="N18" s="289">
        <f t="shared" si="1"/>
        <v>0.20320215014619972</v>
      </c>
      <c r="O18" s="289">
        <f t="shared" si="1"/>
        <v>0.22344071440125743</v>
      </c>
      <c r="P18" s="289">
        <f t="shared" si="1"/>
        <v>0.23970042612219797</v>
      </c>
      <c r="Q18" s="289">
        <f t="shared" si="1"/>
        <v>0.25255084710795445</v>
      </c>
      <c r="R18" s="289">
        <f t="shared" si="1"/>
        <v>0.26253209507235564</v>
      </c>
    </row>
    <row r="20" spans="2:18">
      <c r="B20" s="352" t="s">
        <v>482</v>
      </c>
      <c r="C20" s="352"/>
      <c r="D20" s="352"/>
      <c r="E20" s="352"/>
      <c r="F20" s="352"/>
      <c r="G20" s="352"/>
      <c r="H20" s="352"/>
      <c r="I20" s="352"/>
      <c r="J20" s="352"/>
      <c r="K20" s="352"/>
      <c r="L20" s="352"/>
      <c r="M20" s="352"/>
      <c r="N20" s="352"/>
      <c r="O20" s="352"/>
      <c r="P20" s="352"/>
      <c r="Q20" s="352"/>
      <c r="R20" s="352"/>
    </row>
    <row r="22" spans="2:18">
      <c r="B22" t="s">
        <v>417</v>
      </c>
      <c r="D22" s="15">
        <f>'P&amp;L Statement'!D37*'P&amp;L Statement'!D32</f>
        <v>392.99999999999977</v>
      </c>
      <c r="E22" s="15">
        <f>'P&amp;L Statement'!E37*'P&amp;L Statement'!E32</f>
        <v>338.38999999999993</v>
      </c>
      <c r="F22" s="15">
        <f>'P&amp;L Statement'!F37*'P&amp;L Statement'!F32</f>
        <v>-46.630000000000791</v>
      </c>
      <c r="G22" s="15">
        <f>'P&amp;L Statement'!G37*'P&amp;L Statement'!G32</f>
        <v>104.86999999999983</v>
      </c>
      <c r="H22" s="15">
        <f>'P&amp;L Statement'!H37*'P&amp;L Statement'!H32</f>
        <v>652.2900000000011</v>
      </c>
      <c r="I22" s="15">
        <f>'P&amp;L Statement'!I37*'P&amp;L Statement'!I32</f>
        <v>626.7579853870742</v>
      </c>
      <c r="J22" s="15">
        <f>'P&amp;L Statement'!J37*'P&amp;L Statement'!J32</f>
        <v>776.68443066722762</v>
      </c>
      <c r="K22" s="15">
        <f>'P&amp;L Statement'!K37*'P&amp;L Statement'!K32</f>
        <v>964.95619131474962</v>
      </c>
      <c r="L22" s="15">
        <f>'P&amp;L Statement'!L37*'P&amp;L Statement'!L32</f>
        <v>1200.7911389799801</v>
      </c>
      <c r="M22" s="15">
        <f>'P&amp;L Statement'!M37*'P&amp;L Statement'!M32</f>
        <v>1497.9443004140296</v>
      </c>
      <c r="N22" s="15">
        <f>'P&amp;L Statement'!N37*'P&amp;L Statement'!N32</f>
        <v>2480.9355789981478</v>
      </c>
      <c r="O22" s="15">
        <f>'P&amp;L Statement'!O37*'P&amp;L Statement'!O32</f>
        <v>3062.0585156019224</v>
      </c>
      <c r="P22" s="15">
        <f>'P&amp;L Statement'!P37*'P&amp;L Statement'!P32</f>
        <v>3788.5849035274123</v>
      </c>
      <c r="Q22" s="15">
        <f>'P&amp;L Statement'!Q37*'P&amp;L Statement'!Q32</f>
        <v>4698.6949603662688</v>
      </c>
      <c r="R22" s="15">
        <f>'P&amp;L Statement'!R37*'P&amp;L Statement'!R32</f>
        <v>5840.4967772845557</v>
      </c>
    </row>
    <row r="23" spans="2:18">
      <c r="B23" t="s">
        <v>49</v>
      </c>
      <c r="D23" s="15">
        <f>D17</f>
        <v>8655.48</v>
      </c>
      <c r="E23" s="15">
        <f t="shared" ref="E23:R23" si="2">E17</f>
        <v>9746.3300000000017</v>
      </c>
      <c r="F23" s="15">
        <f t="shared" si="2"/>
        <v>10279.01</v>
      </c>
      <c r="G23" s="15">
        <f t="shared" si="2"/>
        <v>12035.720000000001</v>
      </c>
      <c r="H23" s="15">
        <f t="shared" si="2"/>
        <v>13152.02</v>
      </c>
      <c r="I23" s="15">
        <f t="shared" si="2"/>
        <v>15924.706311092228</v>
      </c>
      <c r="J23" s="15">
        <f t="shared" si="2"/>
        <v>18162.447950918664</v>
      </c>
      <c r="K23" s="15">
        <f t="shared" si="2"/>
        <v>20996.86503761974</v>
      </c>
      <c r="L23" s="15">
        <f t="shared" si="2"/>
        <v>24595.117319442248</v>
      </c>
      <c r="M23" s="15">
        <f t="shared" si="2"/>
        <v>29173.707521993514</v>
      </c>
      <c r="N23" s="15">
        <f t="shared" si="2"/>
        <v>34220.332759104844</v>
      </c>
      <c r="O23" s="15">
        <f t="shared" si="2"/>
        <v>41493.045906370098</v>
      </c>
      <c r="P23" s="15">
        <f t="shared" si="2"/>
        <v>50599.853769974216</v>
      </c>
      <c r="Q23" s="15">
        <f t="shared" si="2"/>
        <v>62021.248898953883</v>
      </c>
      <c r="R23" s="15">
        <f t="shared" si="2"/>
        <v>76365.849932329904</v>
      </c>
    </row>
    <row r="24" spans="2:18">
      <c r="B24" s="287" t="s">
        <v>482</v>
      </c>
      <c r="C24" s="287"/>
      <c r="D24" s="289">
        <f>D22/D23</f>
        <v>4.540476091447266E-2</v>
      </c>
      <c r="E24" s="289">
        <f t="shared" ref="E24:R24" si="3">E22/E23</f>
        <v>3.4719735531220458E-2</v>
      </c>
      <c r="F24" s="289">
        <f t="shared" si="3"/>
        <v>-4.5364290919067875E-3</v>
      </c>
      <c r="G24" s="289">
        <f t="shared" si="3"/>
        <v>8.7132302845197313E-3</v>
      </c>
      <c r="H24" s="289">
        <f t="shared" si="3"/>
        <v>4.9596183704100287E-2</v>
      </c>
      <c r="I24" s="289">
        <f t="shared" si="3"/>
        <v>3.935758519769441E-2</v>
      </c>
      <c r="J24" s="289">
        <f t="shared" si="3"/>
        <v>4.2763202007025852E-2</v>
      </c>
      <c r="K24" s="289">
        <f t="shared" si="3"/>
        <v>4.5957155488967207E-2</v>
      </c>
      <c r="L24" s="289">
        <f t="shared" si="3"/>
        <v>4.882233832772833E-2</v>
      </c>
      <c r="M24" s="289">
        <f t="shared" si="3"/>
        <v>5.1345695410319629E-2</v>
      </c>
      <c r="N24" s="289">
        <f t="shared" si="3"/>
        <v>7.2498873592573607E-2</v>
      </c>
      <c r="O24" s="289">
        <f t="shared" si="3"/>
        <v>7.3796908583465284E-2</v>
      </c>
      <c r="P24" s="289">
        <f t="shared" si="3"/>
        <v>7.4873435815649453E-2</v>
      </c>
      <c r="Q24" s="289">
        <f t="shared" si="3"/>
        <v>7.5759437995540302E-2</v>
      </c>
      <c r="R24" s="289">
        <f t="shared" si="3"/>
        <v>7.6480478937378388E-2</v>
      </c>
    </row>
    <row r="26" spans="2:18">
      <c r="B26" s="352" t="s">
        <v>483</v>
      </c>
      <c r="C26" s="352"/>
      <c r="D26" s="352"/>
      <c r="E26" s="352"/>
      <c r="F26" s="352"/>
      <c r="G26" s="352"/>
      <c r="H26" s="352"/>
      <c r="I26" s="352"/>
      <c r="J26" s="352"/>
      <c r="K26" s="352"/>
      <c r="L26" s="352"/>
      <c r="M26" s="352"/>
      <c r="N26" s="352"/>
      <c r="O26" s="352"/>
      <c r="P26" s="352"/>
      <c r="Q26" s="352"/>
      <c r="R26" s="352"/>
    </row>
    <row r="28" spans="2:18">
      <c r="B28" t="s">
        <v>157</v>
      </c>
      <c r="D28" s="15">
        <f>'P&amp;L Statement'!D23</f>
        <v>607.46999999999969</v>
      </c>
      <c r="E28" s="15">
        <f>'P&amp;L Statement'!E23</f>
        <v>644.29</v>
      </c>
      <c r="F28" s="15">
        <f>'P&amp;L Statement'!F23</f>
        <v>532.7499999999992</v>
      </c>
      <c r="G28" s="15">
        <f>'P&amp;L Statement'!G23</f>
        <v>427.02999999999986</v>
      </c>
      <c r="H28" s="15">
        <f>'P&amp;L Statement'!H23</f>
        <v>1054.4000000000012</v>
      </c>
      <c r="I28" s="15">
        <f>'P&amp;L Statement'!I23</f>
        <v>1117.3104183303942</v>
      </c>
      <c r="J28" s="15">
        <f>'P&amp;L Statement'!J23</f>
        <v>1393.2327280020991</v>
      </c>
      <c r="K28" s="15">
        <f>'P&amp;L Statement'!K23</f>
        <v>1746.9458740116747</v>
      </c>
      <c r="L28" s="15">
        <f>'P&amp;L Statement'!L23</f>
        <v>2198.949848099579</v>
      </c>
      <c r="M28" s="15">
        <f>'P&amp;L Statement'!M23</f>
        <v>2779.3127316848318</v>
      </c>
      <c r="N28" s="15">
        <f>'P&amp;L Statement'!N23</f>
        <v>4598.8462277802564</v>
      </c>
      <c r="O28" s="15">
        <f>'P&amp;L Statement'!O23</f>
        <v>5718.3259817063781</v>
      </c>
      <c r="P28" s="15">
        <f>'P&amp;L Statement'!P23</f>
        <v>7132.004542927958</v>
      </c>
      <c r="Q28" s="15">
        <f>'P&amp;L Statement'!Q23</f>
        <v>8919.6561430183574</v>
      </c>
      <c r="R28" s="15">
        <f>'P&amp;L Statement'!R23</f>
        <v>11182.305282018408</v>
      </c>
    </row>
    <row r="29" spans="2:18">
      <c r="B29" t="s">
        <v>49</v>
      </c>
      <c r="D29" s="15">
        <f>D23</f>
        <v>8655.48</v>
      </c>
      <c r="E29" s="15">
        <f t="shared" ref="E29:R29" si="4">E23</f>
        <v>9746.3300000000017</v>
      </c>
      <c r="F29" s="15">
        <f t="shared" si="4"/>
        <v>10279.01</v>
      </c>
      <c r="G29" s="15">
        <f t="shared" si="4"/>
        <v>12035.720000000001</v>
      </c>
      <c r="H29" s="15">
        <f t="shared" si="4"/>
        <v>13152.02</v>
      </c>
      <c r="I29" s="15">
        <f t="shared" si="4"/>
        <v>15924.706311092228</v>
      </c>
      <c r="J29" s="15">
        <f t="shared" si="4"/>
        <v>18162.447950918664</v>
      </c>
      <c r="K29" s="15">
        <f t="shared" si="4"/>
        <v>20996.86503761974</v>
      </c>
      <c r="L29" s="15">
        <f t="shared" si="4"/>
        <v>24595.117319442248</v>
      </c>
      <c r="M29" s="15">
        <f t="shared" si="4"/>
        <v>29173.707521993514</v>
      </c>
      <c r="N29" s="15">
        <f t="shared" si="4"/>
        <v>34220.332759104844</v>
      </c>
      <c r="O29" s="15">
        <f t="shared" si="4"/>
        <v>41493.045906370098</v>
      </c>
      <c r="P29" s="15">
        <f t="shared" si="4"/>
        <v>50599.853769974216</v>
      </c>
      <c r="Q29" s="15">
        <f t="shared" si="4"/>
        <v>62021.248898953883</v>
      </c>
      <c r="R29" s="15">
        <f t="shared" si="4"/>
        <v>76365.849932329904</v>
      </c>
    </row>
    <row r="30" spans="2:18">
      <c r="B30" s="287" t="s">
        <v>483</v>
      </c>
      <c r="C30" s="287"/>
      <c r="D30" s="289">
        <f>D28/D29</f>
        <v>7.0183282729553959E-2</v>
      </c>
      <c r="E30" s="289">
        <f t="shared" ref="E30:R30" si="5">E28/E29</f>
        <v>6.6105908583025591E-2</v>
      </c>
      <c r="F30" s="289">
        <f t="shared" si="5"/>
        <v>5.1828921267709556E-2</v>
      </c>
      <c r="G30" s="289">
        <f t="shared" si="5"/>
        <v>3.5480220543515455E-2</v>
      </c>
      <c r="H30" s="289">
        <f t="shared" si="5"/>
        <v>8.0170194388390625E-2</v>
      </c>
      <c r="I30" s="289">
        <f t="shared" si="5"/>
        <v>7.0162073730184932E-2</v>
      </c>
      <c r="J30" s="289">
        <f t="shared" si="5"/>
        <v>7.6709523505152227E-2</v>
      </c>
      <c r="K30" s="289">
        <f t="shared" si="5"/>
        <v>8.3200319232499723E-2</v>
      </c>
      <c r="L30" s="289">
        <f t="shared" si="5"/>
        <v>8.9405950764110662E-2</v>
      </c>
      <c r="M30" s="289">
        <f t="shared" si="5"/>
        <v>9.5267724528655118E-2</v>
      </c>
      <c r="N30" s="289">
        <f t="shared" si="5"/>
        <v>0.13438929013794185</v>
      </c>
      <c r="O30" s="289">
        <f t="shared" si="5"/>
        <v>0.13781408081271973</v>
      </c>
      <c r="P30" s="289">
        <f t="shared" si="5"/>
        <v>0.14094911371384369</v>
      </c>
      <c r="Q30" s="289">
        <f t="shared" si="5"/>
        <v>0.14381613239601831</v>
      </c>
      <c r="R30" s="289">
        <f t="shared" si="5"/>
        <v>0.14643070550419313</v>
      </c>
    </row>
    <row r="32" spans="2:18">
      <c r="B32" s="352" t="s">
        <v>484</v>
      </c>
      <c r="C32" s="352"/>
      <c r="D32" s="352"/>
      <c r="E32" s="352"/>
      <c r="F32" s="352"/>
      <c r="G32" s="352"/>
      <c r="H32" s="352"/>
      <c r="I32" s="352"/>
      <c r="J32" s="352"/>
      <c r="K32" s="352"/>
      <c r="L32" s="352"/>
      <c r="M32" s="352"/>
      <c r="N32" s="352"/>
      <c r="O32" s="352"/>
      <c r="P32" s="352"/>
      <c r="Q32" s="352"/>
      <c r="R32" s="352"/>
    </row>
    <row r="33" spans="2:18">
      <c r="D33" s="296">
        <v>1001.95</v>
      </c>
      <c r="E33" s="296">
        <v>1245.4000000000001</v>
      </c>
      <c r="F33" s="296">
        <v>818.25</v>
      </c>
      <c r="G33" s="296">
        <v>1103.55</v>
      </c>
      <c r="H33" s="296">
        <v>1377</v>
      </c>
      <c r="I33" s="296">
        <f>H33*(1.07)</f>
        <v>1473.39</v>
      </c>
      <c r="J33" s="296">
        <f t="shared" ref="J33:R33" si="6">I33*(1.07)</f>
        <v>1576.5273000000002</v>
      </c>
      <c r="K33" s="296">
        <f t="shared" si="6"/>
        <v>1686.8842110000003</v>
      </c>
      <c r="L33" s="296">
        <f t="shared" si="6"/>
        <v>1804.9661057700005</v>
      </c>
      <c r="M33" s="296">
        <f t="shared" si="6"/>
        <v>1931.3137331739006</v>
      </c>
      <c r="N33" s="296">
        <f t="shared" si="6"/>
        <v>2066.5056944960738</v>
      </c>
      <c r="O33" s="296">
        <f t="shared" si="6"/>
        <v>2211.1610931107989</v>
      </c>
      <c r="P33" s="296">
        <f t="shared" si="6"/>
        <v>2365.9423696285548</v>
      </c>
      <c r="Q33" s="296">
        <f t="shared" si="6"/>
        <v>2531.5583355025537</v>
      </c>
      <c r="R33" s="296">
        <f t="shared" si="6"/>
        <v>2708.7674189877325</v>
      </c>
    </row>
    <row r="34" spans="2:18">
      <c r="B34" t="s">
        <v>301</v>
      </c>
      <c r="D34" s="15">
        <f>D33*'Balance Sheet'!D45</f>
        <v>33144.506000000001</v>
      </c>
      <c r="E34" s="15">
        <f>E33*'Balance Sheet'!E45</f>
        <v>41197.832000000002</v>
      </c>
      <c r="F34" s="15">
        <f>F33*'Balance Sheet'!F45</f>
        <v>27067.71</v>
      </c>
      <c r="G34" s="15">
        <f>G33*'Balance Sheet'!G45</f>
        <v>36505.433999999994</v>
      </c>
      <c r="H34" s="15">
        <f>H33*'Balance Sheet'!H45</f>
        <v>45551.159999999996</v>
      </c>
      <c r="I34" s="15">
        <f>I33*'Balance Sheet'!I45</f>
        <v>48739.741200000004</v>
      </c>
      <c r="J34" s="15">
        <f>J33*'Balance Sheet'!J45</f>
        <v>52151.523084</v>
      </c>
      <c r="K34" s="15">
        <f>K33*'Balance Sheet'!K45</f>
        <v>55802.12969988001</v>
      </c>
      <c r="L34" s="15">
        <f>L33*'Balance Sheet'!L45</f>
        <v>59708.278778871616</v>
      </c>
      <c r="M34" s="15">
        <f>M33*'Balance Sheet'!M45</f>
        <v>63887.85829339263</v>
      </c>
      <c r="N34" s="15">
        <f>N33*'Balance Sheet'!N45</f>
        <v>68360.008373930119</v>
      </c>
      <c r="O34" s="15">
        <f>O33*'Balance Sheet'!O45</f>
        <v>73145.208960105228</v>
      </c>
      <c r="P34" s="15">
        <f>P33*'Balance Sheet'!P45</f>
        <v>78265.373587312584</v>
      </c>
      <c r="Q34" s="15">
        <f>Q33*'Balance Sheet'!Q45</f>
        <v>83743.949738424475</v>
      </c>
      <c r="R34" s="15">
        <f>R33*'Balance Sheet'!R45</f>
        <v>89606.026220114189</v>
      </c>
    </row>
    <row r="35" spans="2:18">
      <c r="B35" t="s">
        <v>485</v>
      </c>
      <c r="D35" s="15">
        <f>'Balance Sheet'!D40</f>
        <v>892.96</v>
      </c>
      <c r="E35" s="15">
        <f>'Balance Sheet'!E40</f>
        <v>958.65999999999985</v>
      </c>
      <c r="F35" s="15">
        <f>'Balance Sheet'!F40</f>
        <v>1389.02</v>
      </c>
      <c r="G35" s="15">
        <f>'Balance Sheet'!G40</f>
        <v>1876.3600000000001</v>
      </c>
      <c r="H35" s="15">
        <f>'Balance Sheet'!H40</f>
        <v>2040.8799999999999</v>
      </c>
      <c r="I35" s="15">
        <f>'Balance Sheet'!I40</f>
        <v>2040.8799999999999</v>
      </c>
      <c r="J35" s="15">
        <f>'Balance Sheet'!J40</f>
        <v>2040.8799999999999</v>
      </c>
      <c r="K35" s="15">
        <f>'Balance Sheet'!K40</f>
        <v>2040.8799999999999</v>
      </c>
      <c r="L35" s="15">
        <f>'Balance Sheet'!L40</f>
        <v>2040.8799999999999</v>
      </c>
      <c r="M35" s="15">
        <f>'Balance Sheet'!M40</f>
        <v>2040.8799999999999</v>
      </c>
      <c r="N35" s="15">
        <f>'Balance Sheet'!N40</f>
        <v>2040.8799999999999</v>
      </c>
      <c r="O35" s="15">
        <f>'Balance Sheet'!O40</f>
        <v>2040.8799999999999</v>
      </c>
      <c r="P35" s="15">
        <f>'Balance Sheet'!P40</f>
        <v>2040.8799999999999</v>
      </c>
      <c r="Q35" s="15">
        <f>'Balance Sheet'!Q40</f>
        <v>2040.8799999999999</v>
      </c>
      <c r="R35" s="15">
        <f>'Balance Sheet'!R40</f>
        <v>2040.8799999999999</v>
      </c>
    </row>
    <row r="36" spans="2:18">
      <c r="B36" s="287" t="s">
        <v>484</v>
      </c>
      <c r="C36" s="287"/>
      <c r="D36" s="289">
        <f>D34/D35</f>
        <v>37.117570775846623</v>
      </c>
      <c r="E36" s="289">
        <f t="shared" ref="E36:H36" si="7">E34/E35</f>
        <v>42.974393424154556</v>
      </c>
      <c r="F36" s="289">
        <f t="shared" si="7"/>
        <v>19.486911635541606</v>
      </c>
      <c r="G36" s="289">
        <f t="shared" si="7"/>
        <v>19.455453111343235</v>
      </c>
      <c r="H36" s="289">
        <f t="shared" si="7"/>
        <v>22.31937203559249</v>
      </c>
      <c r="I36" s="289">
        <f t="shared" ref="I36:R36" si="8">I34/I35</f>
        <v>23.881728078083967</v>
      </c>
      <c r="J36" s="289">
        <f t="shared" si="8"/>
        <v>25.553449043549843</v>
      </c>
      <c r="K36" s="289">
        <f t="shared" si="8"/>
        <v>27.342190476598336</v>
      </c>
      <c r="L36" s="289">
        <f t="shared" si="8"/>
        <v>29.256143809960221</v>
      </c>
      <c r="M36" s="289">
        <f t="shared" si="8"/>
        <v>31.304073876657437</v>
      </c>
      <c r="N36" s="289">
        <f t="shared" si="8"/>
        <v>33.49535904802346</v>
      </c>
      <c r="O36" s="289">
        <f t="shared" si="8"/>
        <v>35.840034181385107</v>
      </c>
      <c r="P36" s="289">
        <f t="shared" si="8"/>
        <v>38.348836574082057</v>
      </c>
      <c r="Q36" s="289">
        <f t="shared" si="8"/>
        <v>41.033255134267804</v>
      </c>
      <c r="R36" s="289">
        <f t="shared" si="8"/>
        <v>43.905582993666556</v>
      </c>
    </row>
    <row r="37" spans="2:18">
      <c r="E37" s="29">
        <f>E33/D33-1</f>
        <v>0.24297619641698698</v>
      </c>
      <c r="F37" s="29">
        <f t="shared" ref="F37:H37" si="9">F33/E33-1</f>
        <v>-0.34298217440179868</v>
      </c>
      <c r="G37" s="29">
        <f t="shared" si="9"/>
        <v>0.34867094408799271</v>
      </c>
      <c r="H37" s="29">
        <f t="shared" si="9"/>
        <v>0.24779121924697578</v>
      </c>
    </row>
    <row r="38" spans="2:18">
      <c r="B38" s="352" t="s">
        <v>486</v>
      </c>
      <c r="C38" s="352"/>
      <c r="D38" s="352"/>
      <c r="E38" s="352"/>
      <c r="F38" s="352"/>
      <c r="G38" s="352"/>
      <c r="H38" s="352"/>
      <c r="I38" s="352"/>
      <c r="J38" s="352"/>
      <c r="K38" s="352"/>
      <c r="L38" s="352"/>
      <c r="M38" s="352"/>
      <c r="N38" s="352"/>
      <c r="O38" s="352"/>
      <c r="P38" s="352"/>
      <c r="Q38" s="352"/>
      <c r="R38" s="352"/>
    </row>
    <row r="40" spans="2:18">
      <c r="B40" t="s">
        <v>289</v>
      </c>
      <c r="D40" s="15">
        <f>'P&amp;L Statement'!D13</f>
        <v>7555.78</v>
      </c>
      <c r="E40" s="15">
        <f>'P&amp;L Statement'!E13</f>
        <v>7934.45</v>
      </c>
      <c r="F40" s="15">
        <f>'P&amp;L Statement'!F13</f>
        <v>9498.77</v>
      </c>
      <c r="G40" s="15">
        <f>'P&amp;L Statement'!G13</f>
        <v>12481.21</v>
      </c>
      <c r="H40" s="15">
        <f>'P&amp;L Statement'!H13</f>
        <v>15412.79</v>
      </c>
      <c r="I40" s="15">
        <f>'P&amp;L Statement'!I13</f>
        <v>19042.454400000002</v>
      </c>
      <c r="J40" s="15">
        <f>'P&amp;L Statement'!J13</f>
        <v>23649.727274000004</v>
      </c>
      <c r="K40" s="15">
        <f>'P&amp;L Statement'!K13</f>
        <v>29544.853363740003</v>
      </c>
      <c r="L40" s="15">
        <f>'P&amp;L Statement'!L13</f>
        <v>37104.966424777405</v>
      </c>
      <c r="M40" s="15">
        <f>'P&amp;L Statement'!M13</f>
        <v>46819.422648900189</v>
      </c>
      <c r="N40" s="15">
        <f>'P&amp;L Statement'!N13</f>
        <v>57918.793112986437</v>
      </c>
      <c r="O40" s="15">
        <f>'P&amp;L Statement'!O13</f>
        <v>71924.150623471302</v>
      </c>
      <c r="P40" s="15">
        <f>'P&amp;L Statement'!P13</f>
        <v>89613.469836745338</v>
      </c>
      <c r="Q40" s="15">
        <f>'P&amp;L Statement'!Q13</f>
        <v>111974.32047246565</v>
      </c>
      <c r="R40" s="15">
        <f>'P&amp;L Statement'!R13</f>
        <v>140260.42580092567</v>
      </c>
    </row>
    <row r="41" spans="2:18">
      <c r="B41" t="s">
        <v>49</v>
      </c>
      <c r="D41" s="15">
        <f>D29</f>
        <v>8655.48</v>
      </c>
      <c r="E41" s="15">
        <f t="shared" ref="E41:R41" si="10">E29</f>
        <v>9746.3300000000017</v>
      </c>
      <c r="F41" s="15">
        <f t="shared" si="10"/>
        <v>10279.01</v>
      </c>
      <c r="G41" s="15">
        <f t="shared" si="10"/>
        <v>12035.720000000001</v>
      </c>
      <c r="H41" s="15">
        <f t="shared" si="10"/>
        <v>13152.02</v>
      </c>
      <c r="I41" s="15">
        <f t="shared" si="10"/>
        <v>15924.706311092228</v>
      </c>
      <c r="J41" s="15">
        <f t="shared" si="10"/>
        <v>18162.447950918664</v>
      </c>
      <c r="K41" s="15">
        <f t="shared" si="10"/>
        <v>20996.86503761974</v>
      </c>
      <c r="L41" s="15">
        <f t="shared" si="10"/>
        <v>24595.117319442248</v>
      </c>
      <c r="M41" s="15">
        <f t="shared" si="10"/>
        <v>29173.707521993514</v>
      </c>
      <c r="N41" s="15">
        <f t="shared" si="10"/>
        <v>34220.332759104844</v>
      </c>
      <c r="O41" s="15">
        <f t="shared" si="10"/>
        <v>41493.045906370098</v>
      </c>
      <c r="P41" s="15">
        <f t="shared" si="10"/>
        <v>50599.853769974216</v>
      </c>
      <c r="Q41" s="15">
        <f t="shared" si="10"/>
        <v>62021.248898953883</v>
      </c>
      <c r="R41" s="15">
        <f t="shared" si="10"/>
        <v>76365.849932329904</v>
      </c>
    </row>
    <row r="42" spans="2:18">
      <c r="B42" s="287" t="s">
        <v>486</v>
      </c>
      <c r="C42" s="292"/>
      <c r="D42" s="288">
        <f>D40/D41</f>
        <v>0.8729475430594259</v>
      </c>
      <c r="E42" s="288">
        <f t="shared" ref="E42:R42" si="11">E40/E41</f>
        <v>0.81409617774074938</v>
      </c>
      <c r="F42" s="288">
        <f t="shared" si="11"/>
        <v>0.92409385728781279</v>
      </c>
      <c r="G42" s="288">
        <f t="shared" si="11"/>
        <v>1.037013988361311</v>
      </c>
      <c r="H42" s="288">
        <f t="shared" si="11"/>
        <v>1.171895267799167</v>
      </c>
      <c r="I42" s="288">
        <f t="shared" si="11"/>
        <v>1.1957805706429971</v>
      </c>
      <c r="J42" s="288">
        <f t="shared" si="11"/>
        <v>1.3021222325266892</v>
      </c>
      <c r="K42" s="288">
        <f t="shared" si="11"/>
        <v>1.4071078378036421</v>
      </c>
      <c r="L42" s="288">
        <f t="shared" si="11"/>
        <v>1.5086314060980803</v>
      </c>
      <c r="M42" s="288">
        <f t="shared" si="11"/>
        <v>1.6048499359775887</v>
      </c>
      <c r="N42" s="288">
        <f t="shared" si="11"/>
        <v>1.692525713315171</v>
      </c>
      <c r="O42" s="288">
        <f t="shared" si="11"/>
        <v>1.7334025269142597</v>
      </c>
      <c r="P42" s="288">
        <f t="shared" si="11"/>
        <v>1.7710223085648851</v>
      </c>
      <c r="Q42" s="288">
        <f t="shared" si="11"/>
        <v>1.8054186663492733</v>
      </c>
      <c r="R42" s="288">
        <f t="shared" si="11"/>
        <v>1.8366904306730651</v>
      </c>
    </row>
    <row r="44" spans="2:18">
      <c r="B44" s="352" t="s">
        <v>487</v>
      </c>
      <c r="C44" s="352"/>
      <c r="D44" s="352"/>
      <c r="E44" s="352"/>
      <c r="F44" s="352"/>
      <c r="G44" s="352"/>
      <c r="H44" s="352"/>
      <c r="I44" s="352"/>
      <c r="J44" s="352"/>
      <c r="K44" s="352"/>
      <c r="L44" s="352"/>
      <c r="M44" s="352"/>
      <c r="N44" s="352"/>
      <c r="O44" s="352"/>
      <c r="P44" s="352"/>
      <c r="Q44" s="352"/>
      <c r="R44" s="352"/>
    </row>
    <row r="46" spans="2:18">
      <c r="B46" s="297" t="s">
        <v>488</v>
      </c>
      <c r="C46" s="297"/>
      <c r="D46" s="298">
        <f>($D$49*D18)+(D24*$D$50)+(D30*$D$51)+(D36*$D$52)+(D42*$D$53)</f>
        <v>23.581764835613384</v>
      </c>
      <c r="E46" s="298">
        <f t="shared" ref="E46:R46" si="12">($D$49*E18)+(E24*$D$50)+(E30*$D$51)+(E36*$D$52)+(E42*$D$53)</f>
        <v>27.033387635857203</v>
      </c>
      <c r="F46" s="298">
        <f t="shared" si="12"/>
        <v>12.945721693286524</v>
      </c>
      <c r="G46" s="298">
        <f t="shared" si="12"/>
        <v>12.978948220194022</v>
      </c>
      <c r="H46" s="298">
        <f t="shared" si="12"/>
        <v>15.058566550212962</v>
      </c>
      <c r="I46" s="298">
        <f t="shared" si="12"/>
        <v>15.976317684664409</v>
      </c>
      <c r="J46" s="298">
        <f t="shared" si="12"/>
        <v>17.125889069842607</v>
      </c>
      <c r="K46" s="298">
        <f t="shared" si="12"/>
        <v>18.341969634993674</v>
      </c>
      <c r="L46" s="298">
        <f t="shared" si="12"/>
        <v>19.626288425741048</v>
      </c>
      <c r="M46" s="298">
        <f t="shared" si="12"/>
        <v>20.981987627994013</v>
      </c>
      <c r="N46" s="298">
        <f t="shared" si="12"/>
        <v>22.578566802789496</v>
      </c>
      <c r="O46" s="298">
        <f t="shared" si="12"/>
        <v>24.063654031725662</v>
      </c>
      <c r="P46" s="298">
        <f t="shared" si="12"/>
        <v>25.637919649758349</v>
      </c>
      <c r="Q46" s="298">
        <f t="shared" si="12"/>
        <v>27.309089213540116</v>
      </c>
      <c r="R46" s="298">
        <f t="shared" si="12"/>
        <v>29.085372739635993</v>
      </c>
    </row>
    <row r="47" spans="2:18">
      <c r="B47" s="299" t="s">
        <v>489</v>
      </c>
      <c r="C47" s="299"/>
      <c r="D47" s="300" t="str">
        <f>IF(D46&lt;1.81,"Distressed Zone",IF(D46&gt;3,"Strong","Grey Zone"))</f>
        <v>Strong</v>
      </c>
      <c r="E47" s="300" t="str">
        <f t="shared" ref="E47:R47" si="13">IF(E46&lt;1.81,"Distressed Zone",IF(E46&gt;3,"Strong","Grey Zone"))</f>
        <v>Strong</v>
      </c>
      <c r="F47" s="300" t="str">
        <f t="shared" si="13"/>
        <v>Strong</v>
      </c>
      <c r="G47" s="300" t="str">
        <f t="shared" si="13"/>
        <v>Strong</v>
      </c>
      <c r="H47" s="300" t="str">
        <f t="shared" si="13"/>
        <v>Strong</v>
      </c>
      <c r="I47" s="300" t="str">
        <f t="shared" si="13"/>
        <v>Strong</v>
      </c>
      <c r="J47" s="300" t="str">
        <f t="shared" si="13"/>
        <v>Strong</v>
      </c>
      <c r="K47" s="300" t="str">
        <f t="shared" si="13"/>
        <v>Strong</v>
      </c>
      <c r="L47" s="300" t="str">
        <f t="shared" si="13"/>
        <v>Strong</v>
      </c>
      <c r="M47" s="300" t="str">
        <f t="shared" si="13"/>
        <v>Strong</v>
      </c>
      <c r="N47" s="300" t="str">
        <f t="shared" si="13"/>
        <v>Strong</v>
      </c>
      <c r="O47" s="300" t="str">
        <f t="shared" si="13"/>
        <v>Strong</v>
      </c>
      <c r="P47" s="300" t="str">
        <f t="shared" si="13"/>
        <v>Strong</v>
      </c>
      <c r="Q47" s="300" t="str">
        <f t="shared" si="13"/>
        <v>Strong</v>
      </c>
      <c r="R47" s="300" t="str">
        <f t="shared" si="13"/>
        <v>Strong</v>
      </c>
    </row>
    <row r="49" spans="4:4">
      <c r="D49" s="296">
        <v>1.2</v>
      </c>
    </row>
    <row r="50" spans="4:4">
      <c r="D50" s="296">
        <v>1.4</v>
      </c>
    </row>
    <row r="51" spans="4:4">
      <c r="D51" s="296">
        <v>3.3</v>
      </c>
    </row>
    <row r="52" spans="4:4">
      <c r="D52" s="296">
        <v>0.6</v>
      </c>
    </row>
    <row r="53" spans="4:4">
      <c r="D53" s="296">
        <v>1</v>
      </c>
    </row>
  </sheetData>
  <mergeCells count="7">
    <mergeCell ref="B9:R9"/>
    <mergeCell ref="B14:R14"/>
    <mergeCell ref="B20:R20"/>
    <mergeCell ref="B38:R38"/>
    <mergeCell ref="B44:R44"/>
    <mergeCell ref="B26:R26"/>
    <mergeCell ref="B32:R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Assumptions</vt:lpstr>
      <vt:lpstr>Historical P&amp;L</vt:lpstr>
      <vt:lpstr>Historical B_sheet</vt:lpstr>
      <vt:lpstr>Historical Cash Flow</vt:lpstr>
      <vt:lpstr>B_Sheet</vt:lpstr>
      <vt:lpstr>Common Size Statement</vt:lpstr>
      <vt:lpstr>Balance Sheet</vt:lpstr>
      <vt:lpstr>Cost Build Up</vt:lpstr>
      <vt:lpstr>Revenue Build Up</vt:lpstr>
      <vt:lpstr>P&amp;L Statement</vt:lpstr>
      <vt:lpstr>CashFlow</vt:lpstr>
      <vt:lpstr>Schedules</vt:lpstr>
      <vt:lpstr>Working capital</vt:lpstr>
      <vt:lpstr>Market Return</vt:lpstr>
      <vt:lpstr>Equity Return</vt:lpstr>
      <vt:lpstr>Comps Data</vt:lpstr>
      <vt:lpstr>Comps Valuation</vt:lpstr>
      <vt:lpstr>WACC</vt:lpstr>
      <vt:lpstr>DCF</vt:lpstr>
      <vt:lpstr>Football Field Analysis</vt:lpstr>
      <vt:lpstr>Ratios Analysis</vt:lpstr>
      <vt:lpstr>Dupont Analysis</vt:lpstr>
      <vt:lpstr>Altman's Z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Dhiraj Kumar</dc:creator>
  <cp:lastModifiedBy>Dhiraj Kumar</cp:lastModifiedBy>
  <dcterms:created xsi:type="dcterms:W3CDTF">2025-07-17T10:55:05Z</dcterms:created>
  <dcterms:modified xsi:type="dcterms:W3CDTF">2025-07-20T14:55:18Z</dcterms:modified>
</cp:coreProperties>
</file>