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iraj Kumar\OneDrive\Desktop\all models\"/>
    </mc:Choice>
  </mc:AlternateContent>
  <bookViews>
    <workbookView xWindow="0" yWindow="0" windowWidth="20490" windowHeight="7650" tabRatio="651" activeTab="3"/>
  </bookViews>
  <sheets>
    <sheet name="historical" sheetId="1" r:id="rId1"/>
    <sheet name="model" sheetId="3" r:id="rId2"/>
    <sheet name="Scenarios" sheetId="5" r:id="rId3"/>
    <sheet name="Comps" sheetId="7" r:id="rId4"/>
    <sheet name="Comps data" sheetId="13" r:id="rId5"/>
    <sheet name="Market return" sheetId="12" r:id="rId6"/>
    <sheet name="Beta" sheetId="16" r:id="rId7"/>
    <sheet name="WACC" sheetId="15" r:id="rId8"/>
    <sheet name="Summary" sheetId="18" r:id="rId9"/>
    <sheet name="ratio Analysis" sheetId="19" r:id="rId10"/>
    <sheet name="Sheet1" sheetId="2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2" i="3" l="1"/>
  <c r="E134" i="3"/>
  <c r="J159" i="3" l="1"/>
  <c r="H18" i="15"/>
  <c r="G31" i="7" l="1"/>
  <c r="T28" i="7"/>
  <c r="J33" i="7"/>
  <c r="H32" i="7"/>
  <c r="I31" i="7"/>
  <c r="H31" i="7"/>
  <c r="U28" i="7"/>
  <c r="V25" i="7"/>
  <c r="U25" i="7"/>
  <c r="V24" i="7"/>
  <c r="U24" i="7"/>
  <c r="V23" i="7"/>
  <c r="U23" i="7"/>
  <c r="V22" i="7"/>
  <c r="U22" i="7"/>
  <c r="V21" i="7"/>
  <c r="U21" i="7"/>
  <c r="V20" i="7"/>
  <c r="U20" i="7"/>
  <c r="T25" i="7"/>
  <c r="T24" i="7"/>
  <c r="T21" i="7"/>
  <c r="T20" i="7"/>
  <c r="I12" i="3" l="1"/>
  <c r="G6" i="3" l="1"/>
  <c r="I5" i="5"/>
  <c r="H52" i="3" l="1"/>
  <c r="C36" i="19" l="1"/>
  <c r="G36" i="19"/>
  <c r="F36" i="19"/>
  <c r="E36" i="19"/>
  <c r="D36" i="19"/>
  <c r="G35" i="19"/>
  <c r="F35" i="19"/>
  <c r="E35" i="19"/>
  <c r="D35" i="19"/>
  <c r="G34" i="19"/>
  <c r="F34" i="19"/>
  <c r="E34" i="19"/>
  <c r="D34" i="19"/>
  <c r="G33" i="19"/>
  <c r="F33" i="19"/>
  <c r="E33" i="19"/>
  <c r="D33" i="19"/>
  <c r="C35" i="19"/>
  <c r="C34" i="19"/>
  <c r="C33" i="19"/>
  <c r="G31" i="19"/>
  <c r="F31" i="19"/>
  <c r="E31" i="19"/>
  <c r="D31" i="19"/>
  <c r="G30" i="19"/>
  <c r="F30" i="19"/>
  <c r="E30" i="19"/>
  <c r="D30" i="19"/>
  <c r="G29" i="19"/>
  <c r="F29" i="19"/>
  <c r="E29" i="19"/>
  <c r="D29" i="19"/>
  <c r="G28" i="19"/>
  <c r="F28" i="19"/>
  <c r="E28" i="19"/>
  <c r="D28" i="19"/>
  <c r="G27" i="19"/>
  <c r="F27" i="19"/>
  <c r="E27" i="19"/>
  <c r="D27" i="19"/>
  <c r="C31" i="19"/>
  <c r="C30" i="19"/>
  <c r="C29" i="19"/>
  <c r="C28" i="19"/>
  <c r="C27" i="19"/>
  <c r="G25" i="19"/>
  <c r="F25" i="19"/>
  <c r="E25" i="19"/>
  <c r="D25" i="19"/>
  <c r="D23" i="19"/>
  <c r="E23" i="19"/>
  <c r="F23" i="19"/>
  <c r="G23" i="19"/>
  <c r="D24" i="19"/>
  <c r="E24" i="19"/>
  <c r="F24" i="19"/>
  <c r="G24" i="19"/>
  <c r="C25" i="19"/>
  <c r="C24" i="19"/>
  <c r="G21" i="19"/>
  <c r="F21" i="19"/>
  <c r="E21" i="19"/>
  <c r="D21" i="19"/>
  <c r="G20" i="19"/>
  <c r="F20" i="19"/>
  <c r="E20" i="19"/>
  <c r="D20" i="19"/>
  <c r="G19" i="19"/>
  <c r="F19" i="19"/>
  <c r="E19" i="19"/>
  <c r="D19" i="19"/>
  <c r="C20" i="19"/>
  <c r="C21" i="19"/>
  <c r="C19" i="19"/>
  <c r="G17" i="19"/>
  <c r="F17" i="19"/>
  <c r="E17" i="19"/>
  <c r="D17" i="19"/>
  <c r="G16" i="19"/>
  <c r="F16" i="19"/>
  <c r="E16" i="19"/>
  <c r="D16" i="19"/>
  <c r="G15" i="19"/>
  <c r="F15" i="19"/>
  <c r="E15" i="19"/>
  <c r="D15" i="19"/>
  <c r="G14" i="19"/>
  <c r="F14" i="19"/>
  <c r="E14" i="19"/>
  <c r="D14" i="19"/>
  <c r="G13" i="19"/>
  <c r="F13" i="19"/>
  <c r="E13" i="19"/>
  <c r="D13" i="19"/>
  <c r="C17" i="19"/>
  <c r="C16" i="19"/>
  <c r="C15" i="19"/>
  <c r="C14" i="19"/>
  <c r="C13" i="19"/>
  <c r="G11" i="19"/>
  <c r="F11" i="19"/>
  <c r="E11" i="19"/>
  <c r="D11" i="19"/>
  <c r="G10" i="19"/>
  <c r="F10" i="19"/>
  <c r="E10" i="19"/>
  <c r="D10" i="19"/>
  <c r="G8" i="19"/>
  <c r="F8" i="19"/>
  <c r="E8" i="19"/>
  <c r="D8" i="19"/>
  <c r="G9" i="19"/>
  <c r="F9" i="19"/>
  <c r="E9" i="19"/>
  <c r="D9" i="19"/>
  <c r="G7" i="19"/>
  <c r="F7" i="19"/>
  <c r="E7" i="19"/>
  <c r="D7" i="19"/>
  <c r="K129" i="1" l="1"/>
  <c r="H54" i="3"/>
  <c r="H35" i="3"/>
  <c r="J7" i="18" l="1"/>
  <c r="J6" i="18"/>
  <c r="K7" i="16"/>
  <c r="K6" i="16"/>
  <c r="J8" i="18" s="1"/>
  <c r="J9" i="18" s="1"/>
  <c r="I9" i="18"/>
  <c r="I7" i="18"/>
  <c r="L142" i="3"/>
  <c r="I141" i="3"/>
  <c r="J141" i="3" s="1"/>
  <c r="K141" i="3" s="1"/>
  <c r="L141" i="3" s="1"/>
  <c r="M141" i="3" s="1"/>
  <c r="H142" i="3"/>
  <c r="K142" i="3" s="1"/>
  <c r="L144" i="3" s="1"/>
  <c r="I142" i="3" l="1"/>
  <c r="M142" i="3"/>
  <c r="N142" i="3" s="1"/>
  <c r="J142" i="3"/>
  <c r="K144" i="3" s="1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K8" i="16" s="1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J144" i="3" l="1"/>
  <c r="I144" i="3"/>
  <c r="M144" i="3"/>
  <c r="J21" i="15"/>
  <c r="K19" i="15"/>
  <c r="K18" i="15"/>
  <c r="J16" i="15"/>
  <c r="J15" i="15"/>
  <c r="J14" i="15"/>
  <c r="J13" i="15"/>
  <c r="J12" i="15"/>
  <c r="J11" i="15"/>
  <c r="J10" i="15"/>
  <c r="J9" i="15"/>
  <c r="J8" i="15"/>
  <c r="J19" i="15" s="1"/>
  <c r="J15" i="13"/>
  <c r="D16" i="15"/>
  <c r="D15" i="15"/>
  <c r="D14" i="15"/>
  <c r="D13" i="15"/>
  <c r="D12" i="15"/>
  <c r="D11" i="15"/>
  <c r="D10" i="15"/>
  <c r="D9" i="15"/>
  <c r="D8" i="15"/>
  <c r="R28" i="7"/>
  <c r="Q28" i="7"/>
  <c r="P28" i="7"/>
  <c r="K28" i="7"/>
  <c r="J28" i="7"/>
  <c r="H28" i="7"/>
  <c r="E135" i="3" s="1"/>
  <c r="E28" i="7"/>
  <c r="D28" i="7"/>
  <c r="G28" i="7"/>
  <c r="E16" i="7"/>
  <c r="E15" i="7"/>
  <c r="E14" i="7"/>
  <c r="E13" i="7"/>
  <c r="E12" i="7"/>
  <c r="E11" i="7"/>
  <c r="E10" i="7"/>
  <c r="E9" i="7"/>
  <c r="E8" i="7"/>
  <c r="R16" i="7"/>
  <c r="Q16" i="7"/>
  <c r="P16" i="7"/>
  <c r="R15" i="7"/>
  <c r="Q15" i="7"/>
  <c r="P15" i="7"/>
  <c r="R14" i="7"/>
  <c r="Q14" i="7"/>
  <c r="P14" i="7"/>
  <c r="R13" i="7"/>
  <c r="Q13" i="7"/>
  <c r="P13" i="7"/>
  <c r="R12" i="7"/>
  <c r="Q12" i="7"/>
  <c r="P12" i="7"/>
  <c r="R11" i="7"/>
  <c r="Q11" i="7"/>
  <c r="P11" i="7"/>
  <c r="R10" i="7"/>
  <c r="Q10" i="7"/>
  <c r="P10" i="7"/>
  <c r="R9" i="7"/>
  <c r="Q9" i="7"/>
  <c r="P9" i="7"/>
  <c r="K16" i="7"/>
  <c r="J16" i="7"/>
  <c r="G16" i="15" s="1"/>
  <c r="K15" i="7"/>
  <c r="J15" i="7"/>
  <c r="G15" i="15" s="1"/>
  <c r="K14" i="7"/>
  <c r="J14" i="7"/>
  <c r="G14" i="15" s="1"/>
  <c r="K13" i="7"/>
  <c r="J13" i="7"/>
  <c r="G13" i="15" s="1"/>
  <c r="K12" i="7"/>
  <c r="J12" i="7"/>
  <c r="G12" i="15" s="1"/>
  <c r="K11" i="7"/>
  <c r="J11" i="7"/>
  <c r="G11" i="15" s="1"/>
  <c r="K10" i="7"/>
  <c r="J10" i="7"/>
  <c r="G10" i="15" s="1"/>
  <c r="K9" i="7"/>
  <c r="J9" i="7"/>
  <c r="G9" i="15" s="1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R8" i="7"/>
  <c r="Q8" i="7"/>
  <c r="P8" i="7"/>
  <c r="K8" i="7"/>
  <c r="J8" i="7"/>
  <c r="G8" i="15" s="1"/>
  <c r="H8" i="7"/>
  <c r="G8" i="7"/>
  <c r="D16" i="7"/>
  <c r="D15" i="7"/>
  <c r="D14" i="7"/>
  <c r="D13" i="7"/>
  <c r="D12" i="7"/>
  <c r="D11" i="7"/>
  <c r="D10" i="7"/>
  <c r="D9" i="7"/>
  <c r="D8" i="7"/>
  <c r="I28" i="7" l="1"/>
  <c r="I32" i="7"/>
  <c r="G21" i="15"/>
  <c r="E32" i="15" s="1"/>
  <c r="V28" i="7"/>
  <c r="F21" i="15"/>
  <c r="E31" i="15" s="1"/>
  <c r="J18" i="15"/>
  <c r="J165" i="3"/>
  <c r="M159" i="3" s="1"/>
  <c r="I33" i="7"/>
  <c r="H21" i="15" l="1"/>
  <c r="E33" i="15"/>
  <c r="I21" i="15"/>
  <c r="I11" i="12"/>
  <c r="E42" i="15" s="1"/>
  <c r="E43" i="15" s="1"/>
  <c r="I10" i="12"/>
  <c r="K33" i="7"/>
  <c r="K32" i="7"/>
  <c r="K31" i="7"/>
  <c r="I16" i="7"/>
  <c r="I15" i="7"/>
  <c r="I14" i="7"/>
  <c r="I13" i="7"/>
  <c r="I12" i="7"/>
  <c r="I11" i="7"/>
  <c r="I10" i="7"/>
  <c r="I9" i="7"/>
  <c r="I8" i="7"/>
  <c r="L9" i="7" l="1"/>
  <c r="F9" i="15"/>
  <c r="L13" i="7"/>
  <c r="F13" i="15"/>
  <c r="L10" i="7"/>
  <c r="F10" i="15"/>
  <c r="L14" i="7"/>
  <c r="F14" i="15"/>
  <c r="V11" i="7"/>
  <c r="F11" i="15"/>
  <c r="V15" i="7"/>
  <c r="F15" i="15"/>
  <c r="L8" i="7"/>
  <c r="T8" i="7" s="1"/>
  <c r="V8" i="7"/>
  <c r="F8" i="15"/>
  <c r="L12" i="7"/>
  <c r="U12" i="7" s="1"/>
  <c r="F12" i="15"/>
  <c r="L16" i="7"/>
  <c r="T16" i="7" s="1"/>
  <c r="F16" i="15"/>
  <c r="L15" i="7"/>
  <c r="U15" i="7" s="1"/>
  <c r="U8" i="7"/>
  <c r="L28" i="7"/>
  <c r="L11" i="7"/>
  <c r="U11" i="7" s="1"/>
  <c r="U9" i="7"/>
  <c r="T9" i="7"/>
  <c r="U16" i="7"/>
  <c r="U13" i="7"/>
  <c r="T13" i="7"/>
  <c r="U10" i="7"/>
  <c r="T10" i="7"/>
  <c r="U14" i="7"/>
  <c r="T14" i="7"/>
  <c r="V12" i="7"/>
  <c r="V16" i="7"/>
  <c r="V9" i="7"/>
  <c r="V13" i="7"/>
  <c r="V10" i="7"/>
  <c r="V14" i="7"/>
  <c r="Q94" i="3"/>
  <c r="M94" i="3"/>
  <c r="M67" i="3"/>
  <c r="N67" i="3" s="1"/>
  <c r="N121" i="3"/>
  <c r="O121" i="3" s="1"/>
  <c r="P121" i="3" s="1"/>
  <c r="Q121" i="3" s="1"/>
  <c r="K18" i="3"/>
  <c r="K17" i="3"/>
  <c r="H17" i="3"/>
  <c r="L13" i="3"/>
  <c r="I9" i="3"/>
  <c r="I8" i="3"/>
  <c r="J7" i="3"/>
  <c r="L110" i="3"/>
  <c r="K110" i="3"/>
  <c r="J110" i="3"/>
  <c r="I110" i="3"/>
  <c r="H110" i="3"/>
  <c r="L109" i="3"/>
  <c r="K109" i="3"/>
  <c r="J109" i="3"/>
  <c r="I109" i="3"/>
  <c r="L108" i="3"/>
  <c r="K108" i="3"/>
  <c r="J108" i="3"/>
  <c r="I108" i="3"/>
  <c r="H109" i="3"/>
  <c r="H108" i="3"/>
  <c r="L107" i="3"/>
  <c r="K107" i="3"/>
  <c r="J107" i="3"/>
  <c r="I107" i="3"/>
  <c r="H107" i="3"/>
  <c r="L101" i="3"/>
  <c r="K101" i="3"/>
  <c r="J101" i="3"/>
  <c r="I101" i="3"/>
  <c r="H101" i="3"/>
  <c r="L97" i="3"/>
  <c r="K97" i="3"/>
  <c r="J97" i="3"/>
  <c r="I97" i="3"/>
  <c r="L96" i="3"/>
  <c r="K96" i="3"/>
  <c r="J96" i="3"/>
  <c r="I96" i="3"/>
  <c r="L95" i="3"/>
  <c r="K95" i="3"/>
  <c r="J95" i="3"/>
  <c r="I95" i="3"/>
  <c r="H97" i="3"/>
  <c r="H96" i="3"/>
  <c r="H95" i="3"/>
  <c r="L94" i="3"/>
  <c r="K94" i="3"/>
  <c r="J94" i="3"/>
  <c r="I94" i="3"/>
  <c r="H94" i="3"/>
  <c r="L90" i="3"/>
  <c r="K90" i="3"/>
  <c r="J90" i="3"/>
  <c r="I90" i="3"/>
  <c r="L89" i="3"/>
  <c r="K89" i="3"/>
  <c r="J89" i="3"/>
  <c r="I89" i="3"/>
  <c r="L88" i="3"/>
  <c r="K88" i="3"/>
  <c r="J88" i="3"/>
  <c r="I88" i="3"/>
  <c r="L87" i="3"/>
  <c r="K87" i="3"/>
  <c r="J87" i="3"/>
  <c r="I87" i="3"/>
  <c r="L86" i="3"/>
  <c r="K86" i="3"/>
  <c r="J86" i="3"/>
  <c r="I86" i="3"/>
  <c r="L85" i="3"/>
  <c r="L91" i="3" s="1"/>
  <c r="K85" i="3"/>
  <c r="K91" i="3" s="1"/>
  <c r="J85" i="3"/>
  <c r="J91" i="3" s="1"/>
  <c r="I85" i="3"/>
  <c r="I91" i="3" s="1"/>
  <c r="H90" i="3"/>
  <c r="H89" i="3"/>
  <c r="H88" i="3"/>
  <c r="H87" i="3"/>
  <c r="H86" i="3"/>
  <c r="H85" i="3"/>
  <c r="H91" i="3" s="1"/>
  <c r="L79" i="3"/>
  <c r="L116" i="3" s="1"/>
  <c r="K79" i="3"/>
  <c r="K116" i="3" s="1"/>
  <c r="J79" i="3"/>
  <c r="J116" i="3" s="1"/>
  <c r="I79" i="3"/>
  <c r="I116" i="3" s="1"/>
  <c r="L80" i="3"/>
  <c r="K80" i="3"/>
  <c r="J80" i="3"/>
  <c r="I80" i="3"/>
  <c r="H80" i="3"/>
  <c r="H79" i="3"/>
  <c r="H116" i="3" s="1"/>
  <c r="L78" i="3"/>
  <c r="K78" i="3"/>
  <c r="J78" i="3"/>
  <c r="I78" i="3"/>
  <c r="H78" i="3"/>
  <c r="I93" i="1"/>
  <c r="I92" i="1"/>
  <c r="I97" i="1"/>
  <c r="E95" i="1"/>
  <c r="F95" i="1"/>
  <c r="G95" i="1"/>
  <c r="H95" i="1"/>
  <c r="F97" i="1"/>
  <c r="G97" i="1"/>
  <c r="H97" i="1"/>
  <c r="L70" i="3"/>
  <c r="E162" i="3" s="1"/>
  <c r="J161" i="3" s="1"/>
  <c r="K70" i="3"/>
  <c r="J70" i="3"/>
  <c r="I70" i="3"/>
  <c r="H70" i="3"/>
  <c r="L68" i="3"/>
  <c r="K68" i="3"/>
  <c r="J68" i="3"/>
  <c r="I68" i="3"/>
  <c r="L67" i="3"/>
  <c r="L69" i="3" s="1"/>
  <c r="K67" i="3"/>
  <c r="K69" i="3" s="1"/>
  <c r="J67" i="3"/>
  <c r="J69" i="3" s="1"/>
  <c r="I67" i="3"/>
  <c r="I69" i="3" s="1"/>
  <c r="H68" i="3"/>
  <c r="H67" i="3"/>
  <c r="L64" i="3"/>
  <c r="M64" i="3" s="1"/>
  <c r="N64" i="3" s="1"/>
  <c r="O64" i="3" s="1"/>
  <c r="P64" i="3" s="1"/>
  <c r="Q64" i="3" s="1"/>
  <c r="K64" i="3"/>
  <c r="J64" i="3"/>
  <c r="I64" i="3"/>
  <c r="H64" i="3"/>
  <c r="L63" i="3"/>
  <c r="L122" i="3" s="1"/>
  <c r="E161" i="3" s="1"/>
  <c r="J160" i="3" s="1"/>
  <c r="K63" i="3"/>
  <c r="K122" i="3" s="1"/>
  <c r="L120" i="3" s="1"/>
  <c r="L121" i="3" s="1"/>
  <c r="J63" i="3"/>
  <c r="J122" i="3" s="1"/>
  <c r="K120" i="3" s="1"/>
  <c r="K12" i="3" s="1"/>
  <c r="I63" i="3"/>
  <c r="I122" i="3" s="1"/>
  <c r="J120" i="3" s="1"/>
  <c r="H63" i="3"/>
  <c r="H122" i="3" s="1"/>
  <c r="I120" i="3" s="1"/>
  <c r="L61" i="3"/>
  <c r="M61" i="3" s="1"/>
  <c r="N61" i="3" s="1"/>
  <c r="O61" i="3" s="1"/>
  <c r="P61" i="3" s="1"/>
  <c r="Q61" i="3" s="1"/>
  <c r="K61" i="3"/>
  <c r="J61" i="3"/>
  <c r="I61" i="3"/>
  <c r="H61" i="3"/>
  <c r="L60" i="3"/>
  <c r="L18" i="3" s="1"/>
  <c r="K60" i="3"/>
  <c r="J60" i="3"/>
  <c r="J18" i="3" s="1"/>
  <c r="I60" i="3"/>
  <c r="I18" i="3" s="1"/>
  <c r="H60" i="3"/>
  <c r="H18" i="3" s="1"/>
  <c r="L55" i="3"/>
  <c r="M55" i="3" s="1"/>
  <c r="N55" i="3" s="1"/>
  <c r="O55" i="3" s="1"/>
  <c r="P55" i="3" s="1"/>
  <c r="Q55" i="3" s="1"/>
  <c r="K55" i="3"/>
  <c r="J55" i="3"/>
  <c r="I55" i="3"/>
  <c r="H55" i="3"/>
  <c r="L54" i="3"/>
  <c r="M54" i="3" s="1"/>
  <c r="K54" i="3"/>
  <c r="J54" i="3"/>
  <c r="I54" i="3"/>
  <c r="L53" i="3"/>
  <c r="M53" i="3" s="1"/>
  <c r="N53" i="3" s="1"/>
  <c r="O53" i="3" s="1"/>
  <c r="P53" i="3" s="1"/>
  <c r="Q53" i="3" s="1"/>
  <c r="K53" i="3"/>
  <c r="J53" i="3"/>
  <c r="I53" i="3"/>
  <c r="H53" i="3"/>
  <c r="L52" i="3"/>
  <c r="L117" i="3" s="1"/>
  <c r="M114" i="3" s="1"/>
  <c r="K52" i="3"/>
  <c r="K117" i="3" s="1"/>
  <c r="J52" i="3"/>
  <c r="J117" i="3" s="1"/>
  <c r="K114" i="3" s="1"/>
  <c r="I52" i="3"/>
  <c r="I117" i="3" s="1"/>
  <c r="L49" i="3"/>
  <c r="M49" i="3" s="1"/>
  <c r="K49" i="3"/>
  <c r="J49" i="3"/>
  <c r="I49" i="3"/>
  <c r="H49" i="3"/>
  <c r="L48" i="3"/>
  <c r="L17" i="3" s="1"/>
  <c r="K48" i="3"/>
  <c r="J48" i="3"/>
  <c r="J17" i="3" s="1"/>
  <c r="I48" i="3"/>
  <c r="I17" i="3" s="1"/>
  <c r="L47" i="3"/>
  <c r="L16" i="3" s="1"/>
  <c r="K47" i="3"/>
  <c r="K16" i="3" s="1"/>
  <c r="J47" i="3"/>
  <c r="J16" i="3" s="1"/>
  <c r="I47" i="3"/>
  <c r="I16" i="3" s="1"/>
  <c r="H48" i="3"/>
  <c r="H47" i="3"/>
  <c r="H16" i="3" s="1"/>
  <c r="M16" i="3" s="1"/>
  <c r="N16" i="3" s="1"/>
  <c r="O16" i="3" s="1"/>
  <c r="P16" i="3" s="1"/>
  <c r="Q16" i="3" s="1"/>
  <c r="H46" i="3"/>
  <c r="L46" i="3"/>
  <c r="M46" i="3" s="1"/>
  <c r="N46" i="3" s="1"/>
  <c r="O46" i="3" s="1"/>
  <c r="P46" i="3" s="1"/>
  <c r="Q46" i="3" s="1"/>
  <c r="K46" i="3"/>
  <c r="J46" i="3"/>
  <c r="I46" i="3"/>
  <c r="L45" i="3"/>
  <c r="E160" i="3" s="1"/>
  <c r="J162" i="3" s="1"/>
  <c r="K45" i="3"/>
  <c r="J45" i="3"/>
  <c r="I45" i="3"/>
  <c r="H45" i="3"/>
  <c r="L37" i="3"/>
  <c r="K37" i="3"/>
  <c r="J37" i="3"/>
  <c r="I37" i="3"/>
  <c r="H37" i="3"/>
  <c r="L35" i="3"/>
  <c r="K35" i="3"/>
  <c r="K13" i="3" s="1"/>
  <c r="J35" i="3"/>
  <c r="J13" i="3" s="1"/>
  <c r="I35" i="3"/>
  <c r="I13" i="3" s="1"/>
  <c r="L34" i="3"/>
  <c r="L123" i="3" s="1"/>
  <c r="K34" i="3"/>
  <c r="K123" i="3" s="1"/>
  <c r="J34" i="3"/>
  <c r="J123" i="3" s="1"/>
  <c r="I34" i="3"/>
  <c r="I123" i="3" s="1"/>
  <c r="H34" i="3"/>
  <c r="H123" i="3" s="1"/>
  <c r="H32" i="3"/>
  <c r="L32" i="3"/>
  <c r="K32" i="3"/>
  <c r="K11" i="3" s="1"/>
  <c r="J32" i="3"/>
  <c r="I32" i="3"/>
  <c r="L29" i="3"/>
  <c r="L9" i="3" s="1"/>
  <c r="K29" i="3"/>
  <c r="K9" i="3" s="1"/>
  <c r="J29" i="3"/>
  <c r="J9" i="3" s="1"/>
  <c r="I29" i="3"/>
  <c r="H29" i="3"/>
  <c r="H9" i="3" s="1"/>
  <c r="L30" i="3"/>
  <c r="L10" i="3" s="1"/>
  <c r="K30" i="3"/>
  <c r="K10" i="3" s="1"/>
  <c r="J30" i="3"/>
  <c r="J10" i="3" s="1"/>
  <c r="I30" i="3"/>
  <c r="I10" i="3" s="1"/>
  <c r="H30" i="3"/>
  <c r="H10" i="3" s="1"/>
  <c r="L26" i="3"/>
  <c r="L8" i="3" s="1"/>
  <c r="K26" i="3"/>
  <c r="K8" i="3" s="1"/>
  <c r="J26" i="3"/>
  <c r="J8" i="3" s="1"/>
  <c r="I26" i="3"/>
  <c r="H26" i="3"/>
  <c r="H8" i="3" s="1"/>
  <c r="M8" i="3" s="1"/>
  <c r="N8" i="3" s="1"/>
  <c r="O8" i="3" s="1"/>
  <c r="P8" i="3" s="1"/>
  <c r="Q8" i="3" s="1"/>
  <c r="L25" i="3"/>
  <c r="L7" i="3" s="1"/>
  <c r="K25" i="3"/>
  <c r="K19" i="3" s="1"/>
  <c r="J25" i="3"/>
  <c r="J19" i="3" s="1"/>
  <c r="I25" i="3"/>
  <c r="H25" i="3"/>
  <c r="H19" i="3" s="1"/>
  <c r="H2" i="3"/>
  <c r="T15" i="7" l="1"/>
  <c r="N54" i="3"/>
  <c r="N87" i="3" s="1"/>
  <c r="M10" i="3"/>
  <c r="N10" i="3" s="1"/>
  <c r="O10" i="3" s="1"/>
  <c r="P10" i="3" s="1"/>
  <c r="Q10" i="3" s="1"/>
  <c r="M17" i="3"/>
  <c r="N17" i="3" s="1"/>
  <c r="O17" i="3" s="1"/>
  <c r="P17" i="3" s="1"/>
  <c r="Q17" i="3" s="1"/>
  <c r="M9" i="3"/>
  <c r="N9" i="3" s="1"/>
  <c r="O9" i="3" s="1"/>
  <c r="P9" i="3" s="1"/>
  <c r="Q9" i="3" s="1"/>
  <c r="N49" i="3"/>
  <c r="M110" i="3"/>
  <c r="M18" i="3"/>
  <c r="N18" i="3" s="1"/>
  <c r="O18" i="3" s="1"/>
  <c r="P18" i="3" s="1"/>
  <c r="Q18" i="3" s="1"/>
  <c r="I13" i="15"/>
  <c r="H13" i="15"/>
  <c r="L13" i="15" s="1"/>
  <c r="H117" i="3"/>
  <c r="I114" i="3" s="1"/>
  <c r="J98" i="3"/>
  <c r="K7" i="3"/>
  <c r="L19" i="3"/>
  <c r="M19" i="3" s="1"/>
  <c r="N19" i="3" s="1"/>
  <c r="O19" i="3" s="1"/>
  <c r="P19" i="3" s="1"/>
  <c r="Q19" i="3" s="1"/>
  <c r="M70" i="3"/>
  <c r="N70" i="3" s="1"/>
  <c r="O70" i="3" s="1"/>
  <c r="P70" i="3" s="1"/>
  <c r="Q70" i="3" s="1"/>
  <c r="N94" i="3"/>
  <c r="T12" i="7"/>
  <c r="I16" i="15"/>
  <c r="H16" i="15"/>
  <c r="L16" i="15" s="1"/>
  <c r="H8" i="15"/>
  <c r="I8" i="15"/>
  <c r="J12" i="3"/>
  <c r="H15" i="15"/>
  <c r="L15" i="15" s="1"/>
  <c r="I15" i="15"/>
  <c r="H14" i="15"/>
  <c r="L14" i="15" s="1"/>
  <c r="I14" i="15"/>
  <c r="I7" i="3"/>
  <c r="J163" i="3"/>
  <c r="H13" i="3"/>
  <c r="M13" i="3" s="1"/>
  <c r="N13" i="3" s="1"/>
  <c r="O13" i="3" s="1"/>
  <c r="P13" i="3" s="1"/>
  <c r="Q13" i="3" s="1"/>
  <c r="I19" i="3"/>
  <c r="M87" i="3"/>
  <c r="O94" i="3"/>
  <c r="H11" i="15"/>
  <c r="L11" i="15" s="1"/>
  <c r="I11" i="15"/>
  <c r="I10" i="15"/>
  <c r="H10" i="15"/>
  <c r="L10" i="15" s="1"/>
  <c r="H9" i="15"/>
  <c r="L9" i="15" s="1"/>
  <c r="I9" i="15"/>
  <c r="J121" i="3"/>
  <c r="H98" i="3"/>
  <c r="L98" i="3"/>
  <c r="K111" i="3"/>
  <c r="K81" i="3" s="1"/>
  <c r="K82" i="3" s="1"/>
  <c r="M120" i="3"/>
  <c r="M122" i="3" s="1"/>
  <c r="P94" i="3"/>
  <c r="I12" i="15"/>
  <c r="H12" i="15"/>
  <c r="L12" i="15" s="1"/>
  <c r="T11" i="7"/>
  <c r="T22" i="7" s="1"/>
  <c r="T23" i="7"/>
  <c r="G33" i="7"/>
  <c r="O67" i="3"/>
  <c r="L12" i="3"/>
  <c r="M12" i="3" s="1"/>
  <c r="K27" i="3"/>
  <c r="K31" i="3" s="1"/>
  <c r="K33" i="3" s="1"/>
  <c r="K36" i="3" s="1"/>
  <c r="I121" i="3"/>
  <c r="I98" i="3"/>
  <c r="I100" i="3" s="1"/>
  <c r="I102" i="3" s="1"/>
  <c r="H111" i="3"/>
  <c r="H81" i="3" s="1"/>
  <c r="H82" i="3" s="1"/>
  <c r="L111" i="3"/>
  <c r="L81" i="3" s="1"/>
  <c r="L82" i="3" s="1"/>
  <c r="L100" i="3" s="1"/>
  <c r="L102" i="3" s="1"/>
  <c r="M101" i="3" s="1"/>
  <c r="I111" i="3"/>
  <c r="I81" i="3" s="1"/>
  <c r="I82" i="3" s="1"/>
  <c r="I27" i="3"/>
  <c r="I31" i="3" s="1"/>
  <c r="I33" i="3" s="1"/>
  <c r="I36" i="3" s="1"/>
  <c r="H69" i="3"/>
  <c r="K98" i="3"/>
  <c r="J111" i="3"/>
  <c r="J81" i="3" s="1"/>
  <c r="J82" i="3" s="1"/>
  <c r="J100" i="3" s="1"/>
  <c r="J102" i="3" s="1"/>
  <c r="J114" i="3"/>
  <c r="J115" i="3" s="1"/>
  <c r="H100" i="3"/>
  <c r="H102" i="3" s="1"/>
  <c r="L114" i="3"/>
  <c r="L11" i="3" s="1"/>
  <c r="K115" i="3"/>
  <c r="L115" i="3"/>
  <c r="K121" i="3"/>
  <c r="L56" i="3"/>
  <c r="K65" i="3"/>
  <c r="K71" i="3" s="1"/>
  <c r="H56" i="3"/>
  <c r="C23" i="19" s="1"/>
  <c r="L65" i="3"/>
  <c r="L71" i="3" s="1"/>
  <c r="L74" i="3" s="1"/>
  <c r="L3" i="3" s="1"/>
  <c r="J27" i="3"/>
  <c r="J31" i="3" s="1"/>
  <c r="J33" i="3" s="1"/>
  <c r="J36" i="3" s="1"/>
  <c r="J38" i="3" s="1"/>
  <c r="J15" i="3" s="1"/>
  <c r="J56" i="3"/>
  <c r="I56" i="3"/>
  <c r="I65" i="3"/>
  <c r="I71" i="3" s="1"/>
  <c r="I74" i="3" s="1"/>
  <c r="I3" i="3" s="1"/>
  <c r="H65" i="3"/>
  <c r="H71" i="3" s="1"/>
  <c r="H27" i="3"/>
  <c r="H31" i="3" s="1"/>
  <c r="H33" i="3" s="1"/>
  <c r="L27" i="3"/>
  <c r="L31" i="3" s="1"/>
  <c r="L33" i="3" s="1"/>
  <c r="L36" i="3" s="1"/>
  <c r="K56" i="3"/>
  <c r="J65" i="3"/>
  <c r="J71" i="3" s="1"/>
  <c r="F155" i="1"/>
  <c r="G155" i="1" s="1"/>
  <c r="H155" i="1" s="1"/>
  <c r="I155" i="1" s="1"/>
  <c r="H127" i="1"/>
  <c r="G127" i="1"/>
  <c r="E141" i="1"/>
  <c r="F141" i="1"/>
  <c r="F130" i="1"/>
  <c r="F99" i="1"/>
  <c r="G99" i="1" s="1"/>
  <c r="H99" i="1" s="1"/>
  <c r="I99" i="1" s="1"/>
  <c r="E97" i="1"/>
  <c r="F31" i="1"/>
  <c r="G31" i="1" s="1"/>
  <c r="H31" i="1" s="1"/>
  <c r="I31" i="1" s="1"/>
  <c r="F4" i="1"/>
  <c r="H74" i="3" l="1"/>
  <c r="H3" i="3" s="1"/>
  <c r="I38" i="3"/>
  <c r="I15" i="3" s="1"/>
  <c r="I14" i="3"/>
  <c r="I11" i="3"/>
  <c r="I115" i="3"/>
  <c r="K38" i="3"/>
  <c r="K15" i="3" s="1"/>
  <c r="K14" i="3"/>
  <c r="J14" i="3"/>
  <c r="H33" i="7"/>
  <c r="L33" i="7"/>
  <c r="O49" i="3"/>
  <c r="N110" i="3"/>
  <c r="K100" i="3"/>
  <c r="K102" i="3" s="1"/>
  <c r="E7" i="5"/>
  <c r="H7" i="5" s="1"/>
  <c r="E6" i="5"/>
  <c r="H6" i="5" s="1"/>
  <c r="I6" i="5" s="1"/>
  <c r="J6" i="5" s="1"/>
  <c r="K6" i="5" s="1"/>
  <c r="L6" i="5" s="1"/>
  <c r="E5" i="5"/>
  <c r="H5" i="5" s="1"/>
  <c r="J5" i="5" s="1"/>
  <c r="K5" i="5" s="1"/>
  <c r="L5" i="5" s="1"/>
  <c r="L8" i="15"/>
  <c r="H19" i="15"/>
  <c r="O54" i="3"/>
  <c r="O87" i="3" s="1"/>
  <c r="G4" i="1"/>
  <c r="I2" i="3"/>
  <c r="H38" i="3"/>
  <c r="H15" i="3" s="1"/>
  <c r="H36" i="3"/>
  <c r="H14" i="3" s="1"/>
  <c r="E36" i="15"/>
  <c r="N12" i="3"/>
  <c r="O12" i="3" s="1"/>
  <c r="P12" i="3" s="1"/>
  <c r="Q12" i="3" s="1"/>
  <c r="G32" i="7"/>
  <c r="J32" i="7" s="1"/>
  <c r="L32" i="7" s="1"/>
  <c r="N120" i="3"/>
  <c r="N122" i="3" s="1"/>
  <c r="M63" i="3"/>
  <c r="I19" i="15"/>
  <c r="I18" i="15"/>
  <c r="E28" i="15" s="1"/>
  <c r="E29" i="15" s="1"/>
  <c r="J11" i="3"/>
  <c r="J31" i="7"/>
  <c r="L31" i="7" s="1"/>
  <c r="P67" i="3"/>
  <c r="M123" i="3"/>
  <c r="N123" i="3"/>
  <c r="K73" i="3"/>
  <c r="L38" i="3"/>
  <c r="L15" i="3" s="1"/>
  <c r="L14" i="3"/>
  <c r="M14" i="3" s="1"/>
  <c r="K74" i="3"/>
  <c r="K3" i="3" s="1"/>
  <c r="L73" i="3"/>
  <c r="I73" i="3"/>
  <c r="J73" i="3"/>
  <c r="J74" i="3"/>
  <c r="J3" i="3" s="1"/>
  <c r="H73" i="3"/>
  <c r="L19" i="15" l="1"/>
  <c r="L18" i="15"/>
  <c r="P54" i="3"/>
  <c r="P87" i="3" s="1"/>
  <c r="M11" i="3"/>
  <c r="M116" i="3" s="1"/>
  <c r="N97" i="3"/>
  <c r="N34" i="3"/>
  <c r="H8" i="18"/>
  <c r="H9" i="18" s="1"/>
  <c r="H6" i="18"/>
  <c r="H7" i="18" s="1"/>
  <c r="P49" i="3"/>
  <c r="O110" i="3"/>
  <c r="M15" i="3"/>
  <c r="N15" i="3" s="1"/>
  <c r="O15" i="3" s="1"/>
  <c r="P15" i="3" s="1"/>
  <c r="Q15" i="3" s="1"/>
  <c r="M97" i="3"/>
  <c r="M34" i="3"/>
  <c r="N63" i="3"/>
  <c r="O120" i="3"/>
  <c r="O122" i="3" s="1"/>
  <c r="H4" i="1"/>
  <c r="J2" i="3"/>
  <c r="I7" i="5"/>
  <c r="J7" i="5" s="1"/>
  <c r="K7" i="5" s="1"/>
  <c r="L7" i="5" s="1"/>
  <c r="M7" i="3" a="1"/>
  <c r="N14" i="3"/>
  <c r="O14" i="3" s="1"/>
  <c r="P14" i="3" s="1"/>
  <c r="Q14" i="3" s="1"/>
  <c r="E37" i="15"/>
  <c r="Q67" i="3"/>
  <c r="O63" i="3" l="1"/>
  <c r="P120" i="3"/>
  <c r="P122" i="3" s="1"/>
  <c r="Q54" i="3"/>
  <c r="Q87" i="3" s="1"/>
  <c r="O7" i="3"/>
  <c r="P7" i="3"/>
  <c r="N7" i="3"/>
  <c r="Q7" i="3"/>
  <c r="M7" i="3"/>
  <c r="M25" i="3" s="1"/>
  <c r="M115" i="3" s="1"/>
  <c r="I150" i="3" s="1"/>
  <c r="O123" i="3"/>
  <c r="Q49" i="3"/>
  <c r="Q110" i="3" s="1"/>
  <c r="P110" i="3"/>
  <c r="I4" i="1"/>
  <c r="L2" i="3" s="1"/>
  <c r="M2" i="3" s="1"/>
  <c r="K2" i="3"/>
  <c r="N11" i="3"/>
  <c r="O11" i="3" s="1"/>
  <c r="P11" i="3" s="1"/>
  <c r="Q11" i="3" s="1"/>
  <c r="M32" i="3"/>
  <c r="E38" i="15"/>
  <c r="E44" i="15"/>
  <c r="E45" i="15" s="1"/>
  <c r="E131" i="3"/>
  <c r="I95" i="1"/>
  <c r="H7" i="19" l="1"/>
  <c r="H20" i="19"/>
  <c r="I149" i="3"/>
  <c r="M79" i="3"/>
  <c r="O97" i="3"/>
  <c r="O34" i="3"/>
  <c r="P63" i="3"/>
  <c r="P123" i="3"/>
  <c r="Q120" i="3"/>
  <c r="Q122" i="3" s="1"/>
  <c r="N2" i="3"/>
  <c r="H4" i="5"/>
  <c r="M35" i="3"/>
  <c r="N25" i="3"/>
  <c r="M47" i="3"/>
  <c r="H27" i="19" s="1"/>
  <c r="M26" i="3"/>
  <c r="M29" i="3"/>
  <c r="M30" i="3"/>
  <c r="H19" i="19" s="1"/>
  <c r="E47" i="15"/>
  <c r="H33" i="19" l="1"/>
  <c r="I7" i="19"/>
  <c r="M107" i="3"/>
  <c r="O2" i="3"/>
  <c r="I4" i="5"/>
  <c r="N30" i="3"/>
  <c r="I19" i="19" s="1"/>
  <c r="N35" i="3"/>
  <c r="N29" i="3"/>
  <c r="N115" i="3"/>
  <c r="N26" i="3"/>
  <c r="O25" i="3"/>
  <c r="N47" i="3"/>
  <c r="N107" i="3" s="1"/>
  <c r="M85" i="3"/>
  <c r="M117" i="3"/>
  <c r="M80" i="3"/>
  <c r="M89" i="3"/>
  <c r="P97" i="3"/>
  <c r="P34" i="3"/>
  <c r="Q63" i="3"/>
  <c r="Q123" i="3"/>
  <c r="M27" i="3"/>
  <c r="M48" i="3"/>
  <c r="M108" i="3" s="1"/>
  <c r="M60" i="3"/>
  <c r="H28" i="19" s="1"/>
  <c r="H34" i="19" l="1"/>
  <c r="H29" i="19"/>
  <c r="M31" i="3"/>
  <c r="H13" i="19"/>
  <c r="J7" i="19"/>
  <c r="I27" i="19"/>
  <c r="Q97" i="3"/>
  <c r="Q34" i="3"/>
  <c r="J150" i="3"/>
  <c r="N85" i="3"/>
  <c r="M109" i="3"/>
  <c r="M111" i="3" s="1"/>
  <c r="I151" i="3" s="1"/>
  <c r="M65" i="3"/>
  <c r="P2" i="3"/>
  <c r="J4" i="5"/>
  <c r="N114" i="3"/>
  <c r="N116" i="3" s="1"/>
  <c r="N32" i="3" s="1"/>
  <c r="M52" i="3"/>
  <c r="H30" i="19" s="1"/>
  <c r="P25" i="3"/>
  <c r="O35" i="3"/>
  <c r="O29" i="3"/>
  <c r="O30" i="3"/>
  <c r="J19" i="19" s="1"/>
  <c r="O115" i="3"/>
  <c r="O47" i="3"/>
  <c r="O107" i="3" s="1"/>
  <c r="O26" i="3"/>
  <c r="N80" i="3"/>
  <c r="N89" i="3"/>
  <c r="M91" i="3"/>
  <c r="N27" i="3"/>
  <c r="N48" i="3"/>
  <c r="N108" i="3" s="1"/>
  <c r="N60" i="3"/>
  <c r="I28" i="19" s="1"/>
  <c r="I34" i="19" l="1"/>
  <c r="N31" i="3"/>
  <c r="N33" i="3" s="1"/>
  <c r="N36" i="3" s="1"/>
  <c r="I13" i="19"/>
  <c r="K7" i="19"/>
  <c r="I29" i="19"/>
  <c r="I35" i="19" s="1"/>
  <c r="H35" i="19"/>
  <c r="M81" i="3"/>
  <c r="I33" i="19"/>
  <c r="J27" i="19"/>
  <c r="J33" i="19" s="1"/>
  <c r="M33" i="3"/>
  <c r="H8" i="19"/>
  <c r="H14" i="19"/>
  <c r="J149" i="3"/>
  <c r="I20" i="19"/>
  <c r="N79" i="3"/>
  <c r="N117" i="3"/>
  <c r="O114" i="3" s="1"/>
  <c r="O116" i="3" s="1"/>
  <c r="O32" i="3" s="1"/>
  <c r="N91" i="3"/>
  <c r="O85" i="3"/>
  <c r="K150" i="3"/>
  <c r="P115" i="3"/>
  <c r="P26" i="3"/>
  <c r="P30" i="3"/>
  <c r="K19" i="19" s="1"/>
  <c r="Q25" i="3"/>
  <c r="P47" i="3"/>
  <c r="K27" i="19" s="1"/>
  <c r="K33" i="19" s="1"/>
  <c r="P35" i="3"/>
  <c r="P29" i="3"/>
  <c r="Q2" i="3"/>
  <c r="L4" i="5" s="1"/>
  <c r="K4" i="5"/>
  <c r="O80" i="3"/>
  <c r="O89" i="3"/>
  <c r="O91" i="3" s="1"/>
  <c r="N65" i="3"/>
  <c r="N109" i="3"/>
  <c r="N111" i="3" s="1"/>
  <c r="O27" i="3"/>
  <c r="O60" i="3"/>
  <c r="J28" i="19" s="1"/>
  <c r="O48" i="3"/>
  <c r="O108" i="3" s="1"/>
  <c r="P107" i="3" l="1"/>
  <c r="J34" i="19"/>
  <c r="H25" i="19"/>
  <c r="H9" i="19"/>
  <c r="H21" i="19"/>
  <c r="M36" i="3"/>
  <c r="H15" i="19"/>
  <c r="I146" i="3"/>
  <c r="I147" i="3" s="1"/>
  <c r="I148" i="3" s="1"/>
  <c r="I152" i="3" s="1"/>
  <c r="I154" i="3" s="1"/>
  <c r="H36" i="19"/>
  <c r="J29" i="19"/>
  <c r="O31" i="3"/>
  <c r="J13" i="19"/>
  <c r="I36" i="19"/>
  <c r="I8" i="19"/>
  <c r="I14" i="19"/>
  <c r="L7" i="19"/>
  <c r="N7" i="19" s="1"/>
  <c r="K149" i="3"/>
  <c r="J20" i="19"/>
  <c r="N37" i="3"/>
  <c r="N38" i="3" s="1"/>
  <c r="N96" i="3" s="1"/>
  <c r="I16" i="19"/>
  <c r="J146" i="3"/>
  <c r="I21" i="19"/>
  <c r="I15" i="19"/>
  <c r="I25" i="19"/>
  <c r="I9" i="19"/>
  <c r="O117" i="3"/>
  <c r="P114" i="3" s="1"/>
  <c r="P116" i="3" s="1"/>
  <c r="N52" i="3"/>
  <c r="I30" i="19" s="1"/>
  <c r="J151" i="3"/>
  <c r="N81" i="3"/>
  <c r="Q30" i="3"/>
  <c r="L19" i="19" s="1"/>
  <c r="N19" i="19" s="1"/>
  <c r="Q115" i="3"/>
  <c r="Q29" i="3"/>
  <c r="Q47" i="3"/>
  <c r="Q107" i="3" s="1"/>
  <c r="Q35" i="3"/>
  <c r="Q26" i="3"/>
  <c r="Q27" i="3" s="1"/>
  <c r="L13" i="19" s="1"/>
  <c r="O109" i="3"/>
  <c r="O111" i="3" s="1"/>
  <c r="O65" i="3"/>
  <c r="P89" i="3"/>
  <c r="P80" i="3"/>
  <c r="P27" i="3"/>
  <c r="P60" i="3"/>
  <c r="K28" i="19" s="1"/>
  <c r="P48" i="3"/>
  <c r="K29" i="19" s="1"/>
  <c r="K35" i="19" s="1"/>
  <c r="P85" i="3"/>
  <c r="L150" i="3"/>
  <c r="J147" i="3"/>
  <c r="J148" i="3" s="1"/>
  <c r="O79" i="3"/>
  <c r="O33" i="3"/>
  <c r="O52" i="3" l="1"/>
  <c r="J30" i="19" s="1"/>
  <c r="K34" i="19"/>
  <c r="K36" i="19" s="1"/>
  <c r="L27" i="19"/>
  <c r="J35" i="19"/>
  <c r="P91" i="3"/>
  <c r="P31" i="3"/>
  <c r="K13" i="19"/>
  <c r="M37" i="3"/>
  <c r="M38" i="3" s="1"/>
  <c r="I10" i="19" s="1"/>
  <c r="H16" i="19"/>
  <c r="P108" i="3"/>
  <c r="N13" i="19"/>
  <c r="J14" i="19"/>
  <c r="J8" i="19"/>
  <c r="I17" i="19"/>
  <c r="N78" i="3"/>
  <c r="N82" i="3" s="1"/>
  <c r="N98" i="3"/>
  <c r="J9" i="19"/>
  <c r="J15" i="19"/>
  <c r="J25" i="19"/>
  <c r="J21" i="19"/>
  <c r="Q31" i="3"/>
  <c r="J152" i="3"/>
  <c r="J154" i="3" s="1"/>
  <c r="Q48" i="3"/>
  <c r="Q108" i="3" s="1"/>
  <c r="Q60" i="3"/>
  <c r="L28" i="19" s="1"/>
  <c r="Q85" i="3"/>
  <c r="M150" i="3"/>
  <c r="P65" i="3"/>
  <c r="P109" i="3"/>
  <c r="P111" i="3" s="1"/>
  <c r="Q89" i="3"/>
  <c r="Q91" i="3" s="1"/>
  <c r="Q80" i="3"/>
  <c r="O81" i="3"/>
  <c r="K151" i="3"/>
  <c r="O36" i="3"/>
  <c r="K146" i="3"/>
  <c r="P117" i="3"/>
  <c r="P32" i="3"/>
  <c r="L34" i="19" l="1"/>
  <c r="N34" i="19" s="1"/>
  <c r="N28" i="19"/>
  <c r="L29" i="19"/>
  <c r="M96" i="3"/>
  <c r="M68" i="3" s="1"/>
  <c r="M78" i="3"/>
  <c r="M82" i="3" s="1"/>
  <c r="H10" i="19"/>
  <c r="H17" i="19"/>
  <c r="J36" i="19"/>
  <c r="N100" i="3"/>
  <c r="L8" i="19"/>
  <c r="L14" i="19"/>
  <c r="K14" i="19"/>
  <c r="K8" i="19"/>
  <c r="L33" i="19"/>
  <c r="N27" i="19"/>
  <c r="L149" i="3"/>
  <c r="K20" i="19"/>
  <c r="O37" i="3"/>
  <c r="O38" i="3" s="1"/>
  <c r="O96" i="3" s="1"/>
  <c r="J16" i="19"/>
  <c r="P81" i="3"/>
  <c r="L151" i="3"/>
  <c r="Q65" i="3"/>
  <c r="Q109" i="3"/>
  <c r="Q111" i="3" s="1"/>
  <c r="K147" i="3"/>
  <c r="K148" i="3" s="1"/>
  <c r="K152" i="3" s="1"/>
  <c r="K154" i="3" s="1"/>
  <c r="P79" i="3"/>
  <c r="P33" i="3"/>
  <c r="Q114" i="3"/>
  <c r="Q116" i="3" s="1"/>
  <c r="P52" i="3"/>
  <c r="K30" i="19" s="1"/>
  <c r="N14" i="19" l="1"/>
  <c r="N8" i="19"/>
  <c r="M69" i="3"/>
  <c r="N68" i="3"/>
  <c r="N69" i="3" s="1"/>
  <c r="L35" i="19"/>
  <c r="N35" i="19" s="1"/>
  <c r="N29" i="19"/>
  <c r="N33" i="19"/>
  <c r="H11" i="19"/>
  <c r="M98" i="3"/>
  <c r="M100" i="3" s="1"/>
  <c r="M102" i="3" s="1"/>
  <c r="I11" i="19"/>
  <c r="K25" i="19"/>
  <c r="K21" i="19"/>
  <c r="K15" i="19"/>
  <c r="K9" i="19"/>
  <c r="O98" i="3"/>
  <c r="J11" i="19"/>
  <c r="O78" i="3"/>
  <c r="O82" i="3" s="1"/>
  <c r="J10" i="19"/>
  <c r="J17" i="19"/>
  <c r="M151" i="3"/>
  <c r="Q81" i="3"/>
  <c r="P36" i="3"/>
  <c r="L146" i="3"/>
  <c r="Q117" i="3"/>
  <c r="Q52" i="3" s="1"/>
  <c r="L30" i="19" s="1"/>
  <c r="N30" i="19" s="1"/>
  <c r="Q32" i="3"/>
  <c r="L36" i="19" l="1"/>
  <c r="N36" i="19" s="1"/>
  <c r="O68" i="3"/>
  <c r="O69" i="3" s="1"/>
  <c r="J24" i="19" s="1"/>
  <c r="O100" i="3"/>
  <c r="I31" i="19"/>
  <c r="N71" i="3"/>
  <c r="I24" i="19"/>
  <c r="M71" i="3"/>
  <c r="H31" i="19"/>
  <c r="H24" i="19"/>
  <c r="M45" i="3"/>
  <c r="M56" i="3" s="1"/>
  <c r="H23" i="19" s="1"/>
  <c r="N101" i="3"/>
  <c r="N102" i="3" s="1"/>
  <c r="P37" i="3"/>
  <c r="P38" i="3" s="1"/>
  <c r="K16" i="19"/>
  <c r="M149" i="3"/>
  <c r="L20" i="19"/>
  <c r="N20" i="19" s="1"/>
  <c r="L147" i="3"/>
  <c r="L148" i="3" s="1"/>
  <c r="L152" i="3" s="1"/>
  <c r="L154" i="3" s="1"/>
  <c r="Q79" i="3"/>
  <c r="Q33" i="3"/>
  <c r="O71" i="3" l="1"/>
  <c r="J31" i="19"/>
  <c r="O101" i="3"/>
  <c r="N45" i="3"/>
  <c r="N56" i="3" s="1"/>
  <c r="I23" i="19" s="1"/>
  <c r="M74" i="3"/>
  <c r="M73" i="3"/>
  <c r="O102" i="3"/>
  <c r="L9" i="19"/>
  <c r="N9" i="19" s="1"/>
  <c r="L21" i="19"/>
  <c r="N21" i="19" s="1"/>
  <c r="L15" i="19"/>
  <c r="N15" i="19" s="1"/>
  <c r="L25" i="19"/>
  <c r="N25" i="19" s="1"/>
  <c r="P96" i="3"/>
  <c r="K17" i="19"/>
  <c r="K10" i="19"/>
  <c r="P78" i="3"/>
  <c r="P82" i="3" s="1"/>
  <c r="Q36" i="3"/>
  <c r="M146" i="3"/>
  <c r="Q142" i="3" s="1"/>
  <c r="P101" i="3" l="1"/>
  <c r="O45" i="3"/>
  <c r="O56" i="3" s="1"/>
  <c r="N74" i="3"/>
  <c r="N73" i="3"/>
  <c r="Q37" i="3"/>
  <c r="Q38" i="3" s="1"/>
  <c r="Q96" i="3" s="1"/>
  <c r="L16" i="19"/>
  <c r="N16" i="19" s="1"/>
  <c r="P98" i="3"/>
  <c r="P100" i="3" s="1"/>
  <c r="K11" i="19"/>
  <c r="P68" i="3"/>
  <c r="P69" i="3" s="1"/>
  <c r="M147" i="3"/>
  <c r="M148" i="3" s="1"/>
  <c r="M152" i="3" s="1"/>
  <c r="Q143" i="3" s="1"/>
  <c r="Q78" i="3" l="1"/>
  <c r="Q82" i="3" s="1"/>
  <c r="P102" i="3"/>
  <c r="Q101" i="3" s="1"/>
  <c r="J23" i="19"/>
  <c r="O74" i="3"/>
  <c r="O73" i="3"/>
  <c r="P45" i="3"/>
  <c r="P56" i="3" s="1"/>
  <c r="P71" i="3"/>
  <c r="K31" i="19"/>
  <c r="K24" i="19"/>
  <c r="Q98" i="3"/>
  <c r="L11" i="19"/>
  <c r="N11" i="19" s="1"/>
  <c r="L10" i="19"/>
  <c r="N10" i="19" s="1"/>
  <c r="L17" i="19"/>
  <c r="N17" i="19" s="1"/>
  <c r="M154" i="3"/>
  <c r="Q144" i="3"/>
  <c r="N152" i="3" s="1"/>
  <c r="Q68" i="3"/>
  <c r="Q69" i="3" s="1"/>
  <c r="N154" i="3" l="1"/>
  <c r="Q100" i="3"/>
  <c r="Q102" i="3" s="1"/>
  <c r="Q45" i="3" s="1"/>
  <c r="Q56" i="3" s="1"/>
  <c r="L23" i="19" s="1"/>
  <c r="P74" i="3"/>
  <c r="Q71" i="3"/>
  <c r="L31" i="19"/>
  <c r="N31" i="19" s="1"/>
  <c r="L24" i="19"/>
  <c r="N24" i="19" s="1"/>
  <c r="P73" i="3"/>
  <c r="K23" i="19"/>
  <c r="E159" i="3" l="1"/>
  <c r="E163" i="3" s="1"/>
  <c r="E165" i="3" s="1"/>
  <c r="N23" i="19"/>
  <c r="Q73" i="3"/>
  <c r="Q74" i="3"/>
  <c r="I183" i="3" l="1"/>
  <c r="M160" i="3"/>
  <c r="M161" i="3" s="1"/>
  <c r="I174" i="3"/>
</calcChain>
</file>

<file path=xl/sharedStrings.xml><?xml version="1.0" encoding="utf-8"?>
<sst xmlns="http://schemas.openxmlformats.org/spreadsheetml/2006/main" count="603" uniqueCount="452">
  <si>
    <t>Alkem Laboratories Limited</t>
  </si>
  <si>
    <t>Historical Information</t>
  </si>
  <si>
    <t>Income Statement</t>
  </si>
  <si>
    <t>1 Income</t>
  </si>
  <si>
    <t>(a) Revenue from operations</t>
  </si>
  <si>
    <t>(b) Other income</t>
  </si>
  <si>
    <t>Total income</t>
  </si>
  <si>
    <t>2 Expenses</t>
  </si>
  <si>
    <t>(a) Cost of materials consumed</t>
  </si>
  <si>
    <t>(b) Purchases of stock-in-trade</t>
  </si>
  <si>
    <t>(d) Employee benefits expense</t>
  </si>
  <si>
    <t>(e) Finance costs</t>
  </si>
  <si>
    <t>(f ) Depreciation and amortisation expense</t>
  </si>
  <si>
    <t>(g) Other expenses</t>
  </si>
  <si>
    <t>Total expenses</t>
  </si>
  <si>
    <t>(a) Current tax</t>
  </si>
  <si>
    <t>(b) Deferred tax charge/(credit) (net)</t>
  </si>
  <si>
    <t>Total tax expenses (a + b)</t>
  </si>
  <si>
    <t>Interest</t>
  </si>
  <si>
    <t>(c) Changes in inventories of finished goods, work-in-progress and stock-in-trade</t>
  </si>
  <si>
    <t>Tax adjustment of earlier periods</t>
  </si>
  <si>
    <t>Profit for the year (5) - (6)</t>
  </si>
  <si>
    <t>Profit attributable to Non-Controlling Interest</t>
  </si>
  <si>
    <t>Profit attributable to Owners of the Company (7) - (8)</t>
  </si>
  <si>
    <t>Tax expense</t>
  </si>
  <si>
    <t>Profit before tax (3) + (4)</t>
  </si>
  <si>
    <t>Profit before exceptional items and tax (1) - (2)</t>
  </si>
  <si>
    <t>Exceptional items</t>
  </si>
  <si>
    <t>Balance Sheet</t>
  </si>
  <si>
    <t>ASSETS</t>
  </si>
  <si>
    <t>Non-current assets</t>
  </si>
  <si>
    <t>(a) Property, plant and equipment</t>
  </si>
  <si>
    <t>(b) Capital work in progress</t>
  </si>
  <si>
    <t>(c) Goodwill</t>
  </si>
  <si>
    <t>(d) Other intangible assets</t>
  </si>
  <si>
    <t>(e) Goodwill on consolidation</t>
  </si>
  <si>
    <t>(f ) Financial assets</t>
  </si>
  <si>
    <t>(i) Investments</t>
  </si>
  <si>
    <t>(ii) Loans</t>
  </si>
  <si>
    <t>(iii) Other financial assets</t>
  </si>
  <si>
    <t>(g) Deferred tax assets (net)</t>
  </si>
  <si>
    <t>(h) Non-current tax assets (net)</t>
  </si>
  <si>
    <t>(i) Other non-current assets</t>
  </si>
  <si>
    <t>Total non-current assets</t>
  </si>
  <si>
    <t>Current assets</t>
  </si>
  <si>
    <t>(a) Inventories</t>
  </si>
  <si>
    <t>(b) Financial assets</t>
  </si>
  <si>
    <t>(ii) Trade receivables</t>
  </si>
  <si>
    <t>(iii) Cash and cash equivalents</t>
  </si>
  <si>
    <t>(iv) Bank balances other than (iii) above</t>
  </si>
  <si>
    <t>(v) Loans</t>
  </si>
  <si>
    <t>(vi) Other financial assets</t>
  </si>
  <si>
    <t>(c) Other current assets</t>
  </si>
  <si>
    <t>(d) Non-current assets held for sale</t>
  </si>
  <si>
    <t>Total current assets</t>
  </si>
  <si>
    <t>TOTAL ASSETS</t>
  </si>
  <si>
    <t>EQUITY AND LIABILITIES</t>
  </si>
  <si>
    <t>Equity</t>
  </si>
  <si>
    <t>(a) Equity share capital</t>
  </si>
  <si>
    <t>(b) Other equity</t>
  </si>
  <si>
    <t>Equity attributable to owners of the Company</t>
  </si>
  <si>
    <t>(c) Non-controlling interest</t>
  </si>
  <si>
    <t>Total Equity</t>
  </si>
  <si>
    <t>Liabilities</t>
  </si>
  <si>
    <t>Non-current liabilities</t>
  </si>
  <si>
    <t>(a) Financial liabilities</t>
  </si>
  <si>
    <t>(i) Borrowings</t>
  </si>
  <si>
    <t>(b) Provisions</t>
  </si>
  <si>
    <t>(c) Deferred tax liabilities (net)</t>
  </si>
  <si>
    <t>(d) Other non-current liabilities</t>
  </si>
  <si>
    <t>Total non-current liabilities</t>
  </si>
  <si>
    <t>Current liabilities</t>
  </si>
  <si>
    <t>(ii) Trade payables</t>
  </si>
  <si>
    <t>Dues of micro and small enterprises</t>
  </si>
  <si>
    <t>Dues of creditors other than micro and small enterprises</t>
  </si>
  <si>
    <t>(iii) Other financial liabilities</t>
  </si>
  <si>
    <t>(b) Other current liabilities</t>
  </si>
  <si>
    <t>(c) Provisions</t>
  </si>
  <si>
    <t>(d) Current tax liabilities (net)</t>
  </si>
  <si>
    <t>Total current liabilities</t>
  </si>
  <si>
    <t>Total Liabilities</t>
  </si>
  <si>
    <t>TOTAL EQUITY AND LIABILITIES</t>
  </si>
  <si>
    <t>Right of use assets</t>
  </si>
  <si>
    <t>Intangible assets under development</t>
  </si>
  <si>
    <t>Lease Laibilities</t>
  </si>
  <si>
    <t>Other financial liabilities</t>
  </si>
  <si>
    <t>Cashflow Statement</t>
  </si>
  <si>
    <t>Profit before tax</t>
  </si>
  <si>
    <t>Adjustments for:</t>
  </si>
  <si>
    <t>Depreciation and amortisation expense</t>
  </si>
  <si>
    <t>Profit on sale of investments</t>
  </si>
  <si>
    <t>Unrealised loss on fair valuation of investments (net)</t>
  </si>
  <si>
    <t>Profit) / loss on sale of property plant and equipment (net)</t>
  </si>
  <si>
    <t>Employee stock compensation expenses</t>
  </si>
  <si>
    <t>Unrealised foreign currency (gain) / loss on revaluation (net)</t>
  </si>
  <si>
    <t>Dividend Income</t>
  </si>
  <si>
    <t>Impairment loss on property, plant and equipment</t>
  </si>
  <si>
    <t>Interest Income</t>
  </si>
  <si>
    <t>Interest expenses</t>
  </si>
  <si>
    <t>Allowances for doubtful debts</t>
  </si>
  <si>
    <t>Rent income</t>
  </si>
  <si>
    <t>Subtotal of Adjustments</t>
  </si>
  <si>
    <t>Operating profit before working capital changes</t>
  </si>
  <si>
    <t>Changes in working capital:</t>
  </si>
  <si>
    <t>Increase) / Decrease in trade receivables</t>
  </si>
  <si>
    <t>Decrease/(Increase) in loans, other financial assets and other assets</t>
  </si>
  <si>
    <t>Increase) / Decrease in inventories</t>
  </si>
  <si>
    <t>Decrease) / Increase in trade payable, other financial liabilities and other liabilities</t>
  </si>
  <si>
    <t>Decrease) / Increase in provisions</t>
  </si>
  <si>
    <t>Subtotal of adjustments</t>
  </si>
  <si>
    <t>Cash generated from operations</t>
  </si>
  <si>
    <t>Less: Income taxes paid (net of refund)</t>
  </si>
  <si>
    <t>Net Cash generated from operating activities</t>
  </si>
  <si>
    <t>Purchases of property, plant and equipment</t>
  </si>
  <si>
    <t>Sale of property, plant and equipment</t>
  </si>
  <si>
    <t>Proceeds from sale of investments (net)</t>
  </si>
  <si>
    <t>Purchase of Investments (net)</t>
  </si>
  <si>
    <t>Dividend received</t>
  </si>
  <si>
    <t>Interest received</t>
  </si>
  <si>
    <t>Rent received</t>
  </si>
  <si>
    <t>Net cash (used in) investing activities</t>
  </si>
  <si>
    <t>(Repayment) of / Proceeds from non-current borrowings (net)</t>
  </si>
  <si>
    <t>(Repayment) of / Proceeds from current borrowings (net)</t>
  </si>
  <si>
    <t>Dividends and corporate dividend tax paid</t>
  </si>
  <si>
    <t>Repayment of lease liabilities</t>
  </si>
  <si>
    <t>Interest and bank charges paid</t>
  </si>
  <si>
    <t>Net cash (used in)/generated from financing activities</t>
  </si>
  <si>
    <t>Add/Less: Effect of exchange difference on foreign currency cash and cash equivalents</t>
  </si>
  <si>
    <t>Cash &amp; Cash Equivalents as at the end of the year (D+E) (Refer Note 3.9)</t>
  </si>
  <si>
    <t>Investment) made / Redemption of bank deposits having maturity of more than 3 months</t>
  </si>
  <si>
    <t>Liabilities no longer required written back</t>
  </si>
  <si>
    <t>Recovery of Bad debts</t>
  </si>
  <si>
    <t>Profit on sale of brand (net)</t>
  </si>
  <si>
    <t>(A) Cash Flow from Operating Activities:</t>
  </si>
  <si>
    <t>(B) Cash Flow from Investing Activities:</t>
  </si>
  <si>
    <t>( C ) Cash Flow from Financing Activities:</t>
  </si>
  <si>
    <t>(D) Net (decrease)/increase in Cash and Cash Equivalents (A+B+C)</t>
  </si>
  <si>
    <t>( E )Cash &amp; Cash Equivalents as at the beginning of the year (Refer Note 3.9)</t>
  </si>
  <si>
    <t>Proceeds from issue of compulsory convertible preferance shares</t>
  </si>
  <si>
    <t>Segmented Revenue</t>
  </si>
  <si>
    <t>Other Countries</t>
  </si>
  <si>
    <t>India</t>
  </si>
  <si>
    <t>United States of America</t>
  </si>
  <si>
    <t>Total</t>
  </si>
  <si>
    <t>Sales</t>
  </si>
  <si>
    <t>Expenses</t>
  </si>
  <si>
    <t>Operating Profit</t>
  </si>
  <si>
    <t>Other Income</t>
  </si>
  <si>
    <t>Depreciation</t>
  </si>
  <si>
    <t>Tax</t>
  </si>
  <si>
    <t>Net profit</t>
  </si>
  <si>
    <t>Quarterly Financials</t>
  </si>
  <si>
    <t>Financial Statement and DCF Model</t>
  </si>
  <si>
    <t>Historical Period</t>
  </si>
  <si>
    <t>Forecasted Peroiod</t>
  </si>
  <si>
    <t>INCOME</t>
  </si>
  <si>
    <t>Revenue</t>
  </si>
  <si>
    <t>Cost of Goods Sold (COGS)</t>
  </si>
  <si>
    <t xml:space="preserve"> </t>
  </si>
  <si>
    <t>Gross Profit</t>
  </si>
  <si>
    <t>EXPENSES</t>
  </si>
  <si>
    <t>Salaries and Benefits</t>
  </si>
  <si>
    <t>Others SG&amp;A Expenses</t>
  </si>
  <si>
    <t>EBITDA</t>
  </si>
  <si>
    <t>Deperciation &amp; Amotisartion Exp.</t>
  </si>
  <si>
    <t>EBIT</t>
  </si>
  <si>
    <t>Other Income (Expenses)</t>
  </si>
  <si>
    <t>Earning Before Tax (EBT)</t>
  </si>
  <si>
    <t>Taxes</t>
  </si>
  <si>
    <t>Net Earnings</t>
  </si>
  <si>
    <t>Balance sheet</t>
  </si>
  <si>
    <t>₹  MM</t>
  </si>
  <si>
    <t>Assets</t>
  </si>
  <si>
    <t>Current Assets</t>
  </si>
  <si>
    <t>Non-Current assets</t>
  </si>
  <si>
    <t>Cash</t>
  </si>
  <si>
    <t>Bank Deposit</t>
  </si>
  <si>
    <t>Account Receivable</t>
  </si>
  <si>
    <t>Inventories</t>
  </si>
  <si>
    <t>other current assets</t>
  </si>
  <si>
    <t>Property, plant, equipment</t>
  </si>
  <si>
    <t>Goodwill</t>
  </si>
  <si>
    <t>Financial Assets</t>
  </si>
  <si>
    <t>other Non-Current Assets</t>
  </si>
  <si>
    <t>Total Assets</t>
  </si>
  <si>
    <t>Current Liabilities</t>
  </si>
  <si>
    <t>Account Payables</t>
  </si>
  <si>
    <t>other Cuurent laibilities</t>
  </si>
  <si>
    <t>Non-Current Liabilities</t>
  </si>
  <si>
    <t>Debt</t>
  </si>
  <si>
    <t>Other Non current Liabilities</t>
  </si>
  <si>
    <t>Shareholders Equity</t>
  </si>
  <si>
    <t>Equity Capital</t>
  </si>
  <si>
    <t>Retained earning</t>
  </si>
  <si>
    <t>Shareholder's Equity</t>
  </si>
  <si>
    <t>Non-controlling Interest</t>
  </si>
  <si>
    <t>Total Liabilities and shareholder's equity</t>
  </si>
  <si>
    <t>Check</t>
  </si>
  <si>
    <t>Master Check</t>
  </si>
  <si>
    <t>CashFlow Statement</t>
  </si>
  <si>
    <t>Operating Cashflow</t>
  </si>
  <si>
    <t>Net Earning</t>
  </si>
  <si>
    <t>Plus- Dep &amp; Amotization</t>
  </si>
  <si>
    <t>Plus/less- adjustment For Operating Assets and Liabilities</t>
  </si>
  <si>
    <t>cashflow From Operation</t>
  </si>
  <si>
    <t>Investing cashflow</t>
  </si>
  <si>
    <t>Investment in Property and Equipment</t>
  </si>
  <si>
    <t>Sale OF property, Plant and Equipment</t>
  </si>
  <si>
    <t>Purchase/sales of Investment</t>
  </si>
  <si>
    <t>CashFlow From Investing</t>
  </si>
  <si>
    <t>Financing CashFlow</t>
  </si>
  <si>
    <t>Issuance(Repayment) of Debt</t>
  </si>
  <si>
    <t>Issuance(Repayment) of Pref. shares (NCI)</t>
  </si>
  <si>
    <t>Interest paid</t>
  </si>
  <si>
    <t>Dividends paid</t>
  </si>
  <si>
    <t>CashFlow From Financing</t>
  </si>
  <si>
    <t xml:space="preserve">Net Increase (Decrease) in Cash </t>
  </si>
  <si>
    <t>Opening Cash Balance</t>
  </si>
  <si>
    <t>Closing Cash Balance</t>
  </si>
  <si>
    <t>Supporting Schedules</t>
  </si>
  <si>
    <t>Working Capital</t>
  </si>
  <si>
    <t>Inventory</t>
  </si>
  <si>
    <t>Others</t>
  </si>
  <si>
    <t>Deperciation schedules</t>
  </si>
  <si>
    <t>PPE Opening</t>
  </si>
  <si>
    <t>Less-Dep</t>
  </si>
  <si>
    <t>PPE Closing</t>
  </si>
  <si>
    <t>Plus -Capex</t>
  </si>
  <si>
    <t>Debt &amp; Interest Schedules</t>
  </si>
  <si>
    <t>Account Receivables</t>
  </si>
  <si>
    <t>Opening Debt</t>
  </si>
  <si>
    <t>Issuance (Repayment)</t>
  </si>
  <si>
    <t>Debt Closing</t>
  </si>
  <si>
    <t>Interest Expenses</t>
  </si>
  <si>
    <t>Ratios &amp; Assumptions</t>
  </si>
  <si>
    <t>Revenue Growth</t>
  </si>
  <si>
    <t>%</t>
  </si>
  <si>
    <t>Units</t>
  </si>
  <si>
    <t>Cost of Goods Sold (%  of Revenue)</t>
  </si>
  <si>
    <t>Salaries and Benefits (% of Revenue)</t>
  </si>
  <si>
    <t>Others SG&amp;A Expenses % of Revenue)</t>
  </si>
  <si>
    <t>Deperciation &amp; Amotisartion Exp. (%of PPE)</t>
  </si>
  <si>
    <t>Interest(% of Debt)</t>
  </si>
  <si>
    <t>Other Income (Expenses) (% of Revenue)</t>
  </si>
  <si>
    <t>Taxe Rate ( % of PBT)</t>
  </si>
  <si>
    <t>Dividends Payout ratio</t>
  </si>
  <si>
    <t>Accounts Recievable</t>
  </si>
  <si>
    <t>Days</t>
  </si>
  <si>
    <t>Accounts Payables</t>
  </si>
  <si>
    <t>Capital Assets Turnover ratio</t>
  </si>
  <si>
    <t>Times</t>
  </si>
  <si>
    <t>Scenarios</t>
  </si>
  <si>
    <t>Growth</t>
  </si>
  <si>
    <t>Base</t>
  </si>
  <si>
    <t>Bull</t>
  </si>
  <si>
    <t>Bear</t>
  </si>
  <si>
    <t>Annual Growth Tapering</t>
  </si>
  <si>
    <t>SCENARIO</t>
  </si>
  <si>
    <t>Plus/Less- Adjustment for non-operating items</t>
  </si>
  <si>
    <t>ALKEM</t>
  </si>
  <si>
    <t>ZYDUSLIFE</t>
  </si>
  <si>
    <t>AUROPHARMA</t>
  </si>
  <si>
    <t>IPCALAB</t>
  </si>
  <si>
    <t>LAURUSLABS</t>
  </si>
  <si>
    <t>AJANTPHARM</t>
  </si>
  <si>
    <t>Abbott India Limited</t>
  </si>
  <si>
    <t>GlaxoSmithKline Pharmaceuticals Limited</t>
  </si>
  <si>
    <t>tax rate</t>
  </si>
  <si>
    <t>Company Name</t>
  </si>
  <si>
    <t>Market Data</t>
  </si>
  <si>
    <t>Price</t>
  </si>
  <si>
    <t>Share</t>
  </si>
  <si>
    <t>Market Cap</t>
  </si>
  <si>
    <t xml:space="preserve">Cash </t>
  </si>
  <si>
    <t>EV</t>
  </si>
  <si>
    <t>(/share)</t>
  </si>
  <si>
    <t>M</t>
  </si>
  <si>
    <t>Financial data</t>
  </si>
  <si>
    <t>Valution</t>
  </si>
  <si>
    <t>EV/Sales</t>
  </si>
  <si>
    <t>EV/EBITDA</t>
  </si>
  <si>
    <t>P/E</t>
  </si>
  <si>
    <t>x</t>
  </si>
  <si>
    <t>Earnings</t>
  </si>
  <si>
    <t>Average</t>
  </si>
  <si>
    <t>Median</t>
  </si>
  <si>
    <t>Metric</t>
  </si>
  <si>
    <t>EV/REVENUE</t>
  </si>
  <si>
    <t>Comps</t>
  </si>
  <si>
    <t>Net Debt</t>
  </si>
  <si>
    <t>Equity Value</t>
  </si>
  <si>
    <t>Comps Valuation</t>
  </si>
  <si>
    <t>Equity Market Returns</t>
  </si>
  <si>
    <t>Date</t>
  </si>
  <si>
    <t>index</t>
  </si>
  <si>
    <t>Closing Price</t>
  </si>
  <si>
    <t>Nifty 50 TRI</t>
  </si>
  <si>
    <t>YearFrac</t>
  </si>
  <si>
    <t>Market Return</t>
  </si>
  <si>
    <t>Index</t>
  </si>
  <si>
    <t xml:space="preserve">company name </t>
  </si>
  <si>
    <t>Ticker</t>
  </si>
  <si>
    <t>Shares</t>
  </si>
  <si>
    <t>Earning</t>
  </si>
  <si>
    <t>Dr. Reddy's Laboratories Limited</t>
  </si>
  <si>
    <t>Lupin Limited</t>
  </si>
  <si>
    <t>Zydus Lifesciences Limited</t>
  </si>
  <si>
    <t>Aurobindo Pharma Limited</t>
  </si>
  <si>
    <t>Ipca Laboratories Limited</t>
  </si>
  <si>
    <t>Laurus Labs Limited</t>
  </si>
  <si>
    <t>Ajanta Pharma Limited</t>
  </si>
  <si>
    <t>data in Millions (INR)</t>
  </si>
  <si>
    <t xml:space="preserve">Share Price </t>
  </si>
  <si>
    <t>WACC</t>
  </si>
  <si>
    <t>Comparables Companies Beta</t>
  </si>
  <si>
    <t>Name</t>
  </si>
  <si>
    <t>equity Value</t>
  </si>
  <si>
    <t>Total Debt</t>
  </si>
  <si>
    <t xml:space="preserve">Debt/Equity </t>
  </si>
  <si>
    <t>Debt/Capital</t>
  </si>
  <si>
    <t>Tax rate</t>
  </si>
  <si>
    <t>Levered Beta</t>
  </si>
  <si>
    <t>Unlevered Beta</t>
  </si>
  <si>
    <t>Alkem Pharma</t>
  </si>
  <si>
    <t>WACC Calculation</t>
  </si>
  <si>
    <t>Target Capital Structure</t>
  </si>
  <si>
    <t>Proportion of Debt</t>
  </si>
  <si>
    <t>Proportion of Equity</t>
  </si>
  <si>
    <t>Current Capital structure</t>
  </si>
  <si>
    <t>Market cap</t>
  </si>
  <si>
    <t>Debt/equity</t>
  </si>
  <si>
    <t>Cost of debt</t>
  </si>
  <si>
    <t>Pre-tax cost of debt</t>
  </si>
  <si>
    <t>After -Tax cost of debt</t>
  </si>
  <si>
    <t>Cost of equity</t>
  </si>
  <si>
    <t>Risk free Rate</t>
  </si>
  <si>
    <t>Equity Market Return</t>
  </si>
  <si>
    <t>Equity risk premium</t>
  </si>
  <si>
    <t>Levered Equity Beta</t>
  </si>
  <si>
    <t>Compant Beta</t>
  </si>
  <si>
    <t>Index close price</t>
  </si>
  <si>
    <t xml:space="preserve">% change in monthly </t>
  </si>
  <si>
    <t>stock price</t>
  </si>
  <si>
    <t>%change monthly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</si>
  <si>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</si>
  <si>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</si>
  <si>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</si>
  <si>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</si>
  <si>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</si>
  <si>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</si>
  <si>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</si>
  <si>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</si>
  <si>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</si>
  <si>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</si>
  <si>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</si>
  <si>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</si>
  <si>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</si>
  <si>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</si>
  <si>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</si>
  <si>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</si>
  <si>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</si>
  <si>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</si>
  <si>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</si>
  <si>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</si>
  <si>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</si>
  <si>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</si>
  <si>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</si>
  <si>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</si>
  <si>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</si>
  <si>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DCF Model</t>
  </si>
  <si>
    <t>Assumptions</t>
  </si>
  <si>
    <t>Transaction Date</t>
  </si>
  <si>
    <t>Fiscal Year End</t>
  </si>
  <si>
    <t xml:space="preserve">Discount Cash flow </t>
  </si>
  <si>
    <t>Entry</t>
  </si>
  <si>
    <t>Time periods</t>
  </si>
  <si>
    <t>year Frac</t>
  </si>
  <si>
    <t>Exit</t>
  </si>
  <si>
    <t>Tax Rate</t>
  </si>
  <si>
    <t>less- cash Taxes</t>
  </si>
  <si>
    <t>NOPAT</t>
  </si>
  <si>
    <t>Less - Capex</t>
  </si>
  <si>
    <t>Less- Change in NWC</t>
  </si>
  <si>
    <t>Unlevered FCFF</t>
  </si>
  <si>
    <t>Terminal Value</t>
  </si>
  <si>
    <t>EV/EBITDA Multiple</t>
  </si>
  <si>
    <t>Perp. Growth</t>
  </si>
  <si>
    <t>Perpetual Growth Rate</t>
  </si>
  <si>
    <t>Discount Rate</t>
  </si>
  <si>
    <t>Transaction FCFF</t>
  </si>
  <si>
    <t>Intrinsic Value</t>
  </si>
  <si>
    <t>Enterpreise Value</t>
  </si>
  <si>
    <t>Plus: Cash &amp; Cash equivalent</t>
  </si>
  <si>
    <t>Less- Debt</t>
  </si>
  <si>
    <t>Less-non- controlling interest</t>
  </si>
  <si>
    <t>Shares Outstanding</t>
  </si>
  <si>
    <t>Equity value per share</t>
  </si>
  <si>
    <t>Market Value</t>
  </si>
  <si>
    <t>Current market price</t>
  </si>
  <si>
    <t>plus- Debt</t>
  </si>
  <si>
    <t>Plus - Non- controlling interest</t>
  </si>
  <si>
    <t>Less- cash &amp; cash Equivalent</t>
  </si>
  <si>
    <t>Equity value/share</t>
  </si>
  <si>
    <t>Rate of Return</t>
  </si>
  <si>
    <t>Current price</t>
  </si>
  <si>
    <t>Target Price</t>
  </si>
  <si>
    <t>Target Price Upside</t>
  </si>
  <si>
    <t>Sensitivity Analysis</t>
  </si>
  <si>
    <t>Sensitivity - Intrinsic Value (Rs/share)</t>
  </si>
  <si>
    <t>Exit Multiple</t>
  </si>
  <si>
    <t>Perpetual Growth rate</t>
  </si>
  <si>
    <t>Valuation Summary- Football Field</t>
  </si>
  <si>
    <t>DCF</t>
  </si>
  <si>
    <t>52-Week Hi/LO</t>
  </si>
  <si>
    <t>High</t>
  </si>
  <si>
    <t>Low</t>
  </si>
  <si>
    <t>Min</t>
  </si>
  <si>
    <t>Max</t>
  </si>
  <si>
    <t>Market Consenses</t>
  </si>
  <si>
    <t>Football Field Data</t>
  </si>
  <si>
    <t>Valuation Summary</t>
  </si>
  <si>
    <t>Year</t>
  </si>
  <si>
    <t>Sales Growth</t>
  </si>
  <si>
    <t>EBITA Growth</t>
  </si>
  <si>
    <t>EBIT Growth</t>
  </si>
  <si>
    <t xml:space="preserve">Net Profit Growth </t>
  </si>
  <si>
    <t>Dividend Growth</t>
  </si>
  <si>
    <t>Gross Margin</t>
  </si>
  <si>
    <t>EBITDA Margin</t>
  </si>
  <si>
    <t>EBIT Margin</t>
  </si>
  <si>
    <t>EBT Margin</t>
  </si>
  <si>
    <t>Net Profit Margin</t>
  </si>
  <si>
    <t>SalesExpense%Sales</t>
  </si>
  <si>
    <t>Dep%Sales</t>
  </si>
  <si>
    <t>OperatingIncome%Sales</t>
  </si>
  <si>
    <t>Return on Capital Employed</t>
  </si>
  <si>
    <t>Return on Equity%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</si>
  <si>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</si>
  <si>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</si>
  <si>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</si>
  <si>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</si>
  <si>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</si>
  <si>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</si>
  <si>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</si>
  <si>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</si>
  <si>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</si>
  <si>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</si>
  <si>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Trend</t>
  </si>
  <si>
    <t>Mean</t>
  </si>
  <si>
    <t>Ratio Analysis</t>
  </si>
  <si>
    <t>75th Percentile</t>
  </si>
  <si>
    <t>25th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</si>
</sst>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8" formatCode="&quot;₹&quot;\ #,##0.00;[Red]&quot;₹&quot;\ \-#,##0.00"/>
    <numFmt numFmtId="43" formatCode="_ * #,##0.00_ ;_ * \-#,##0.00_ ;_ * &quot;-&quot;??_ ;_ @_ "/>
    <numFmt numFmtId="164" formatCode="[$-409]mmm/yy;@"/>
    <numFmt numFmtId="165" formatCode="0\ &quot;A&quot;"/>
    <numFmt numFmtId="166" formatCode="0\ &quot;E&quot;"/>
    <numFmt numFmtId="167" formatCode="#,##0;\(#,##0\);&quot;-&quot;"/>
    <numFmt numFmtId="168" formatCode="0.0%"/>
    <numFmt numFmtId="169" formatCode="0.0&quot;x&quot;"/>
    <numFmt numFmtId="170" formatCode="0.0"/>
    <numFmt numFmtId="171" formatCode="#,##0.0&quot;x&quot;"/>
    <numFmt numFmtId="172" formatCode="_ * #,##0_ ;_ * \-#,##0_ ;_ * &quot;-&quot;??_ ;_ @_ "/>
    <numFmt numFmtId="173" formatCode="0.00&quot;x&quot;"/>
    <numFmt numFmtId="174" formatCode="0&quot;A&quot;"/>
    <numFmt numFmtId="175" formatCode="0&quot;F&quot;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B050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sz val="12"/>
      <color rgb="FF00B050"/>
      <name val="Times New Roman"/>
      <family val="1"/>
    </font>
    <font>
      <b/>
      <sz val="12"/>
      <color theme="2" tint="-0.749992370372631"/>
      <name val="Times New Roman"/>
      <family val="1"/>
    </font>
    <font>
      <b/>
      <sz val="11"/>
      <color rgb="FF00B05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7030A0"/>
      <name val="Times New Roman"/>
      <family val="1"/>
    </font>
    <font>
      <sz val="11"/>
      <color theme="0"/>
      <name val="Times New Roman"/>
      <family val="1"/>
    </font>
    <font>
      <sz val="11"/>
      <color rgb="FF7030A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70C0"/>
      <name val="Times New Roman"/>
      <family val="1"/>
    </font>
    <font>
      <sz val="9"/>
      <color rgb="FF232A31"/>
      <name val="Arial"/>
      <family val="2"/>
    </font>
    <font>
      <sz val="9"/>
      <color rgb="FF232A31"/>
      <name val="Arial"/>
      <family val="2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09">
    <xf numFmtId="0" fontId="0" fillId="0" borderId="0" xfId="0"/>
    <xf numFmtId="4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6" fillId="0" borderId="1" xfId="0" applyFont="1" applyBorder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2" xfId="0" applyBorder="1"/>
    <xf numFmtId="0" fontId="1" fillId="0" borderId="2" xfId="0" applyFont="1" applyBorder="1"/>
    <xf numFmtId="4" fontId="1" fillId="0" borderId="2" xfId="0" applyNumberFormat="1" applyFont="1" applyBorder="1"/>
    <xf numFmtId="164" fontId="6" fillId="0" borderId="1" xfId="0" applyNumberFormat="1" applyFont="1" applyBorder="1"/>
    <xf numFmtId="0" fontId="6" fillId="0" borderId="0" xfId="0" applyFont="1" applyBorder="1"/>
    <xf numFmtId="165" fontId="3" fillId="2" borderId="0" xfId="0" applyNumberFormat="1" applyFont="1" applyFill="1"/>
    <xf numFmtId="166" fontId="3" fillId="2" borderId="0" xfId="0" applyNumberFormat="1" applyFont="1" applyFill="1"/>
    <xf numFmtId="166" fontId="3" fillId="2" borderId="3" xfId="0" applyNumberFormat="1" applyFont="1" applyFill="1" applyBorder="1"/>
    <xf numFmtId="0" fontId="3" fillId="2" borderId="0" xfId="0" applyFont="1" applyFill="1" applyBorder="1"/>
    <xf numFmtId="0" fontId="8" fillId="2" borderId="0" xfId="0" applyFont="1" applyFill="1"/>
    <xf numFmtId="3" fontId="9" fillId="0" borderId="0" xfId="0" applyNumberFormat="1" applyFont="1"/>
    <xf numFmtId="167" fontId="4" fillId="0" borderId="0" xfId="0" applyNumberFormat="1" applyFont="1"/>
    <xf numFmtId="167" fontId="0" fillId="0" borderId="0" xfId="0" applyNumberFormat="1"/>
    <xf numFmtId="167" fontId="5" fillId="0" borderId="0" xfId="0" applyNumberFormat="1" applyFont="1"/>
    <xf numFmtId="167" fontId="10" fillId="0" borderId="0" xfId="0" applyNumberFormat="1" applyFont="1"/>
    <xf numFmtId="0" fontId="5" fillId="0" borderId="5" xfId="0" applyFont="1" applyBorder="1"/>
    <xf numFmtId="3" fontId="5" fillId="0" borderId="5" xfId="0" applyNumberFormat="1" applyFont="1" applyBorder="1"/>
    <xf numFmtId="167" fontId="5" fillId="0" borderId="5" xfId="0" applyNumberFormat="1" applyFont="1" applyBorder="1"/>
    <xf numFmtId="3" fontId="4" fillId="0" borderId="5" xfId="0" applyNumberFormat="1" applyFont="1" applyBorder="1"/>
    <xf numFmtId="167" fontId="1" fillId="0" borderId="5" xfId="0" applyNumberFormat="1" applyFont="1" applyBorder="1"/>
    <xf numFmtId="167" fontId="1" fillId="0" borderId="0" xfId="0" applyNumberFormat="1" applyFont="1"/>
    <xf numFmtId="167" fontId="11" fillId="0" borderId="0" xfId="0" applyNumberFormat="1" applyFont="1"/>
    <xf numFmtId="0" fontId="5" fillId="0" borderId="2" xfId="0" applyFont="1" applyBorder="1"/>
    <xf numFmtId="3" fontId="5" fillId="0" borderId="2" xfId="0" applyNumberFormat="1" applyFont="1" applyBorder="1"/>
    <xf numFmtId="167" fontId="5" fillId="0" borderId="2" xfId="0" applyNumberFormat="1" applyFont="1" applyBorder="1"/>
    <xf numFmtId="167" fontId="1" fillId="0" borderId="2" xfId="0" applyNumberFormat="1" applyFont="1" applyBorder="1"/>
    <xf numFmtId="0" fontId="0" fillId="0" borderId="0" xfId="0" applyBorder="1"/>
    <xf numFmtId="3" fontId="0" fillId="0" borderId="2" xfId="0" applyNumberFormat="1" applyBorder="1"/>
    <xf numFmtId="3" fontId="11" fillId="0" borderId="0" xfId="0" applyNumberFormat="1" applyFont="1"/>
    <xf numFmtId="3" fontId="12" fillId="0" borderId="0" xfId="0" applyNumberFormat="1" applyFont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4" fontId="12" fillId="0" borderId="0" xfId="0" applyNumberFormat="1" applyFont="1"/>
    <xf numFmtId="3" fontId="9" fillId="0" borderId="5" xfId="0" applyNumberFormat="1" applyFont="1" applyBorder="1"/>
    <xf numFmtId="3" fontId="9" fillId="0" borderId="2" xfId="0" applyNumberFormat="1" applyFont="1" applyBorder="1"/>
    <xf numFmtId="0" fontId="0" fillId="3" borderId="0" xfId="0" applyFill="1"/>
    <xf numFmtId="3" fontId="0" fillId="0" borderId="0" xfId="0" applyNumberFormat="1" applyFont="1"/>
    <xf numFmtId="3" fontId="1" fillId="0" borderId="2" xfId="0" applyNumberFormat="1" applyFont="1" applyBorder="1"/>
    <xf numFmtId="0" fontId="1" fillId="0" borderId="5" xfId="0" applyFont="1" applyBorder="1"/>
    <xf numFmtId="3" fontId="1" fillId="0" borderId="5" xfId="0" applyNumberFormat="1" applyFont="1" applyBorder="1"/>
    <xf numFmtId="0" fontId="0" fillId="0" borderId="5" xfId="0" applyBorder="1"/>
    <xf numFmtId="3" fontId="0" fillId="0" borderId="5" xfId="0" applyNumberFormat="1" applyBorder="1"/>
    <xf numFmtId="4" fontId="1" fillId="0" borderId="5" xfId="0" applyNumberFormat="1" applyFont="1" applyBorder="1"/>
    <xf numFmtId="4" fontId="0" fillId="0" borderId="0" xfId="0" applyNumberFormat="1" applyFont="1"/>
    <xf numFmtId="3" fontId="12" fillId="0" borderId="0" xfId="0" applyNumberFormat="1" applyFont="1" applyBorder="1"/>
    <xf numFmtId="0" fontId="1" fillId="0" borderId="0" xfId="0" applyFont="1" applyFill="1" applyBorder="1"/>
    <xf numFmtId="166" fontId="3" fillId="3" borderId="0" xfId="0" applyNumberFormat="1" applyFont="1" applyFill="1" applyBorder="1"/>
    <xf numFmtId="166" fontId="3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165" fontId="13" fillId="3" borderId="0" xfId="0" applyNumberFormat="1" applyFont="1" applyFill="1"/>
    <xf numFmtId="0" fontId="0" fillId="0" borderId="6" xfId="0" applyBorder="1"/>
    <xf numFmtId="0" fontId="1" fillId="0" borderId="6" xfId="0" applyFont="1" applyBorder="1"/>
    <xf numFmtId="4" fontId="1" fillId="0" borderId="6" xfId="0" applyNumberFormat="1" applyFont="1" applyBorder="1"/>
    <xf numFmtId="0" fontId="5" fillId="0" borderId="6" xfId="0" applyFont="1" applyBorder="1"/>
    <xf numFmtId="3" fontId="5" fillId="0" borderId="6" xfId="0" applyNumberFormat="1" applyFont="1" applyBorder="1"/>
    <xf numFmtId="0" fontId="6" fillId="4" borderId="1" xfId="0" applyFont="1" applyFill="1" applyBorder="1"/>
    <xf numFmtId="0" fontId="3" fillId="4" borderId="1" xfId="0" applyFont="1" applyFill="1" applyBorder="1"/>
    <xf numFmtId="3" fontId="1" fillId="0" borderId="6" xfId="0" applyNumberFormat="1" applyFont="1" applyBorder="1"/>
    <xf numFmtId="0" fontId="1" fillId="3" borderId="0" xfId="0" applyFont="1" applyFill="1"/>
    <xf numFmtId="0" fontId="0" fillId="3" borderId="0" xfId="0" applyFont="1" applyFill="1"/>
    <xf numFmtId="167" fontId="0" fillId="0" borderId="0" xfId="0" applyNumberFormat="1" applyFont="1"/>
    <xf numFmtId="167" fontId="12" fillId="0" borderId="0" xfId="0" applyNumberFormat="1" applyFont="1"/>
    <xf numFmtId="167" fontId="15" fillId="0" borderId="0" xfId="0" applyNumberFormat="1" applyFont="1"/>
    <xf numFmtId="0" fontId="6" fillId="3" borderId="0" xfId="0" applyFont="1" applyFill="1"/>
    <xf numFmtId="9" fontId="0" fillId="0" borderId="0" xfId="0" applyNumberFormat="1" applyFont="1"/>
    <xf numFmtId="1" fontId="0" fillId="0" borderId="0" xfId="0" applyNumberFormat="1" applyFont="1"/>
    <xf numFmtId="0" fontId="4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0" borderId="0" xfId="0" applyFont="1" applyBorder="1"/>
    <xf numFmtId="3" fontId="1" fillId="0" borderId="0" xfId="0" applyNumberFormat="1" applyFont="1" applyBorder="1"/>
    <xf numFmtId="4" fontId="1" fillId="0" borderId="0" xfId="0" applyNumberFormat="1" applyFont="1" applyBorder="1"/>
    <xf numFmtId="0" fontId="0" fillId="0" borderId="0" xfId="0" applyFont="1" applyBorder="1"/>
    <xf numFmtId="164" fontId="6" fillId="0" borderId="0" xfId="0" applyNumberFormat="1" applyFont="1" applyBorder="1"/>
    <xf numFmtId="0" fontId="6" fillId="3" borderId="1" xfId="0" applyFont="1" applyFill="1" applyBorder="1"/>
    <xf numFmtId="0" fontId="6" fillId="4" borderId="0" xfId="0" applyFont="1" applyFill="1" applyBorder="1"/>
    <xf numFmtId="4" fontId="0" fillId="0" borderId="0" xfId="0" applyNumberFormat="1" applyFont="1" applyBorder="1"/>
    <xf numFmtId="3" fontId="0" fillId="0" borderId="0" xfId="0" applyNumberFormat="1" applyFont="1" applyBorder="1"/>
    <xf numFmtId="0" fontId="0" fillId="0" borderId="6" xfId="0" applyFont="1" applyBorder="1"/>
    <xf numFmtId="0" fontId="0" fillId="0" borderId="2" xfId="0" applyFont="1" applyBorder="1"/>
    <xf numFmtId="9" fontId="4" fillId="0" borderId="0" xfId="1" applyFont="1"/>
    <xf numFmtId="9" fontId="4" fillId="0" borderId="0" xfId="1" applyFont="1" applyBorder="1"/>
    <xf numFmtId="9" fontId="4" fillId="0" borderId="0" xfId="0" applyNumberFormat="1" applyFont="1"/>
    <xf numFmtId="9" fontId="17" fillId="0" borderId="0" xfId="1" applyFont="1" applyBorder="1"/>
    <xf numFmtId="168" fontId="4" fillId="0" borderId="0" xfId="1" applyNumberFormat="1" applyFont="1"/>
    <xf numFmtId="0" fontId="16" fillId="3" borderId="1" xfId="0" applyFont="1" applyFill="1" applyBorder="1"/>
    <xf numFmtId="0" fontId="0" fillId="0" borderId="1" xfId="0" applyFont="1" applyBorder="1"/>
    <xf numFmtId="168" fontId="0" fillId="0" borderId="0" xfId="1" applyNumberFormat="1" applyFont="1"/>
    <xf numFmtId="167" fontId="1" fillId="0" borderId="0" xfId="0" applyNumberFormat="1" applyFont="1" applyBorder="1"/>
    <xf numFmtId="167" fontId="0" fillId="0" borderId="1" xfId="0" applyNumberFormat="1" applyBorder="1"/>
    <xf numFmtId="168" fontId="0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168" fontId="4" fillId="3" borderId="0" xfId="1" applyNumberFormat="1" applyFont="1" applyFill="1"/>
    <xf numFmtId="9" fontId="4" fillId="3" borderId="0" xfId="1" applyFont="1" applyFill="1"/>
    <xf numFmtId="1" fontId="4" fillId="3" borderId="0" xfId="0" applyNumberFormat="1" applyFont="1" applyFill="1"/>
    <xf numFmtId="169" fontId="4" fillId="3" borderId="0" xfId="0" applyNumberFormat="1" applyFont="1" applyFill="1"/>
    <xf numFmtId="0" fontId="6" fillId="3" borderId="0" xfId="0" applyFont="1" applyFill="1" applyBorder="1"/>
    <xf numFmtId="0" fontId="4" fillId="2" borderId="0" xfId="0" applyFont="1" applyFill="1"/>
    <xf numFmtId="9" fontId="4" fillId="2" borderId="0" xfId="1" applyFont="1" applyFill="1"/>
    <xf numFmtId="0" fontId="0" fillId="2" borderId="0" xfId="0" applyFont="1" applyFill="1"/>
    <xf numFmtId="3" fontId="4" fillId="2" borderId="0" xfId="0" applyNumberFormat="1" applyFont="1" applyFill="1"/>
    <xf numFmtId="3" fontId="4" fillId="2" borderId="0" xfId="0" applyNumberFormat="1" applyFont="1" applyFill="1" applyBorder="1"/>
    <xf numFmtId="0" fontId="18" fillId="2" borderId="0" xfId="0" applyFont="1" applyFill="1" applyBorder="1"/>
    <xf numFmtId="3" fontId="18" fillId="2" borderId="0" xfId="0" applyNumberFormat="1" applyFont="1" applyFill="1"/>
    <xf numFmtId="9" fontId="18" fillId="2" borderId="0" xfId="0" applyNumberFormat="1" applyFont="1" applyFill="1"/>
    <xf numFmtId="168" fontId="18" fillId="2" borderId="0" xfId="1" applyNumberFormat="1" applyFont="1" applyFill="1"/>
    <xf numFmtId="3" fontId="18" fillId="2" borderId="0" xfId="0" applyNumberFormat="1" applyFont="1" applyFill="1" applyBorder="1"/>
    <xf numFmtId="0" fontId="8" fillId="2" borderId="0" xfId="0" applyFont="1" applyFill="1" applyBorder="1"/>
    <xf numFmtId="8" fontId="18" fillId="2" borderId="0" xfId="0" applyNumberFormat="1" applyFont="1" applyFill="1" applyBorder="1"/>
    <xf numFmtId="8" fontId="0" fillId="0" borderId="0" xfId="0" applyNumberFormat="1" applyFont="1" applyBorder="1"/>
    <xf numFmtId="0" fontId="21" fillId="2" borderId="0" xfId="0" applyFont="1" applyFill="1" applyBorder="1"/>
    <xf numFmtId="3" fontId="21" fillId="2" borderId="0" xfId="0" applyNumberFormat="1" applyFont="1" applyFill="1" applyBorder="1"/>
    <xf numFmtId="2" fontId="0" fillId="0" borderId="0" xfId="0" applyNumberFormat="1" applyFont="1"/>
    <xf numFmtId="170" fontId="0" fillId="0" borderId="0" xfId="0" applyNumberFormat="1" applyFont="1"/>
    <xf numFmtId="171" fontId="4" fillId="0" borderId="0" xfId="0" applyNumberFormat="1" applyFont="1" applyBorder="1"/>
    <xf numFmtId="171" fontId="0" fillId="0" borderId="0" xfId="0" applyNumberFormat="1" applyFont="1" applyBorder="1"/>
    <xf numFmtId="169" fontId="8" fillId="2" borderId="0" xfId="0" applyNumberFormat="1" applyFont="1" applyFill="1"/>
    <xf numFmtId="15" fontId="0" fillId="0" borderId="0" xfId="0" applyNumberFormat="1"/>
    <xf numFmtId="0" fontId="18" fillId="2" borderId="0" xfId="0" applyFont="1" applyFill="1"/>
    <xf numFmtId="9" fontId="18" fillId="2" borderId="0" xfId="1" applyFont="1" applyFill="1"/>
    <xf numFmtId="3" fontId="4" fillId="5" borderId="7" xfId="0" applyNumberFormat="1" applyFont="1" applyFill="1" applyBorder="1"/>
    <xf numFmtId="10" fontId="5" fillId="5" borderId="7" xfId="0" applyNumberFormat="1" applyFont="1" applyFill="1" applyBorder="1"/>
    <xf numFmtId="9" fontId="4" fillId="0" borderId="7" xfId="0" applyNumberFormat="1" applyFont="1" applyBorder="1"/>
    <xf numFmtId="168" fontId="4" fillId="0" borderId="7" xfId="1" applyNumberFormat="1" applyFont="1" applyBorder="1"/>
    <xf numFmtId="3" fontId="5" fillId="5" borderId="7" xfId="0" applyNumberFormat="1" applyFont="1" applyFill="1" applyBorder="1"/>
    <xf numFmtId="0" fontId="16" fillId="0" borderId="0" xfId="0" applyFont="1" applyBorder="1"/>
    <xf numFmtId="8" fontId="16" fillId="3" borderId="0" xfId="0" applyNumberFormat="1" applyFont="1" applyFill="1" applyBorder="1" applyAlignment="1">
      <alignment vertical="center"/>
    </xf>
    <xf numFmtId="170" fontId="16" fillId="0" borderId="0" xfId="0" applyNumberFormat="1" applyFont="1" applyBorder="1"/>
    <xf numFmtId="8" fontId="16" fillId="0" borderId="0" xfId="0" applyNumberFormat="1" applyFont="1" applyBorder="1"/>
    <xf numFmtId="172" fontId="16" fillId="0" borderId="0" xfId="2" applyNumberFormat="1" applyFont="1" applyBorder="1"/>
    <xf numFmtId="8" fontId="0" fillId="0" borderId="0" xfId="0" applyNumberFormat="1"/>
    <xf numFmtId="9" fontId="18" fillId="2" borderId="0" xfId="1" applyFont="1" applyFill="1" applyBorder="1"/>
    <xf numFmtId="8" fontId="20" fillId="3" borderId="0" xfId="0" applyNumberFormat="1" applyFont="1" applyFill="1" applyBorder="1" applyAlignment="1">
      <alignment horizontal="right" vertical="center"/>
    </xf>
    <xf numFmtId="8" fontId="18" fillId="2" borderId="0" xfId="0" applyNumberFormat="1" applyFont="1" applyFill="1" applyBorder="1" applyAlignment="1">
      <alignment horizontal="right" vertical="center"/>
    </xf>
    <xf numFmtId="2" fontId="18" fillId="2" borderId="0" xfId="0" applyNumberFormat="1" applyFont="1" applyFill="1" applyBorder="1" applyAlignment="1">
      <alignment horizontal="left" vertical="center"/>
    </xf>
    <xf numFmtId="3" fontId="26" fillId="0" borderId="0" xfId="0" applyNumberFormat="1" applyFont="1" applyBorder="1"/>
    <xf numFmtId="8" fontId="26" fillId="3" borderId="0" xfId="0" applyNumberFormat="1" applyFont="1" applyFill="1" applyBorder="1" applyAlignment="1">
      <alignment vertical="center"/>
    </xf>
    <xf numFmtId="0" fontId="26" fillId="0" borderId="0" xfId="0" applyFont="1" applyBorder="1"/>
    <xf numFmtId="0" fontId="26" fillId="0" borderId="0" xfId="0" applyNumberFormat="1" applyFont="1" applyBorder="1"/>
    <xf numFmtId="172" fontId="4" fillId="0" borderId="0" xfId="2" applyNumberFormat="1" applyFont="1" applyBorder="1"/>
    <xf numFmtId="172" fontId="0" fillId="0" borderId="0" xfId="2" applyNumberFormat="1" applyFont="1" applyBorder="1"/>
    <xf numFmtId="4" fontId="0" fillId="0" borderId="0" xfId="0" applyNumberFormat="1" applyBorder="1"/>
    <xf numFmtId="0" fontId="6" fillId="0" borderId="0" xfId="0" applyFont="1" applyFill="1" applyBorder="1"/>
    <xf numFmtId="0" fontId="0" fillId="7" borderId="0" xfId="0" applyFont="1" applyFill="1"/>
    <xf numFmtId="0" fontId="4" fillId="7" borderId="0" xfId="0" applyFont="1" applyFill="1"/>
    <xf numFmtId="9" fontId="4" fillId="7" borderId="0" xfId="1" applyFont="1" applyFill="1"/>
    <xf numFmtId="9" fontId="4" fillId="7" borderId="0" xfId="0" applyNumberFormat="1" applyFont="1" applyFill="1"/>
    <xf numFmtId="168" fontId="4" fillId="7" borderId="0" xfId="1" applyNumberFormat="1" applyFont="1" applyFill="1"/>
    <xf numFmtId="0" fontId="0" fillId="0" borderId="5" xfId="0" applyFont="1" applyBorder="1"/>
    <xf numFmtId="10" fontId="0" fillId="0" borderId="5" xfId="0" applyNumberFormat="1" applyFont="1" applyBorder="1"/>
    <xf numFmtId="0" fontId="27" fillId="0" borderId="0" xfId="0" applyFont="1"/>
    <xf numFmtId="2" fontId="0" fillId="0" borderId="5" xfId="0" applyNumberFormat="1" applyFont="1" applyBorder="1"/>
    <xf numFmtId="10" fontId="4" fillId="0" borderId="0" xfId="1" applyNumberFormat="1" applyFont="1" applyBorder="1"/>
    <xf numFmtId="0" fontId="4" fillId="7" borderId="0" xfId="0" applyFont="1" applyFill="1" applyBorder="1"/>
    <xf numFmtId="3" fontId="4" fillId="7" borderId="0" xfId="0" applyNumberFormat="1" applyFont="1" applyFill="1" applyBorder="1"/>
    <xf numFmtId="3" fontId="18" fillId="7" borderId="0" xfId="0" applyNumberFormat="1" applyFont="1" applyFill="1" applyBorder="1"/>
    <xf numFmtId="168" fontId="18" fillId="7" borderId="0" xfId="1" applyNumberFormat="1" applyFont="1" applyFill="1" applyBorder="1"/>
    <xf numFmtId="4" fontId="18" fillId="7" borderId="0" xfId="0" applyNumberFormat="1" applyFont="1" applyFill="1" applyBorder="1"/>
    <xf numFmtId="0" fontId="21" fillId="7" borderId="0" xfId="0" applyFont="1" applyFill="1" applyBorder="1"/>
    <xf numFmtId="10" fontId="5" fillId="0" borderId="0" xfId="1" applyNumberFormat="1" applyFont="1" applyBorder="1"/>
    <xf numFmtId="10" fontId="0" fillId="0" borderId="0" xfId="0" applyNumberFormat="1" applyFont="1" applyBorder="1"/>
    <xf numFmtId="2" fontId="0" fillId="0" borderId="0" xfId="0" applyNumberFormat="1" applyFont="1" applyBorder="1"/>
    <xf numFmtId="0" fontId="28" fillId="0" borderId="0" xfId="0" applyFont="1" applyBorder="1"/>
    <xf numFmtId="9" fontId="19" fillId="0" borderId="5" xfId="1" applyFont="1" applyBorder="1"/>
    <xf numFmtId="10" fontId="4" fillId="0" borderId="5" xfId="1" applyNumberFormat="1" applyFont="1" applyBorder="1"/>
    <xf numFmtId="0" fontId="21" fillId="7" borderId="1" xfId="0" applyFont="1" applyFill="1" applyBorder="1"/>
    <xf numFmtId="9" fontId="21" fillId="7" borderId="0" xfId="1" applyFont="1" applyFill="1" applyBorder="1"/>
    <xf numFmtId="3" fontId="21" fillId="7" borderId="0" xfId="0" applyNumberFormat="1" applyFont="1" applyFill="1" applyBorder="1"/>
    <xf numFmtId="9" fontId="21" fillId="7" borderId="0" xfId="0" applyNumberFormat="1" applyFont="1" applyFill="1"/>
    <xf numFmtId="168" fontId="21" fillId="7" borderId="0" xfId="1" applyNumberFormat="1" applyFont="1" applyFill="1"/>
    <xf numFmtId="0" fontId="22" fillId="7" borderId="0" xfId="0" applyFont="1" applyFill="1"/>
    <xf numFmtId="10" fontId="0" fillId="0" borderId="0" xfId="0" applyNumberFormat="1" applyFont="1"/>
    <xf numFmtId="0" fontId="0" fillId="7" borderId="0" xfId="0" applyFont="1" applyFill="1" applyBorder="1"/>
    <xf numFmtId="168" fontId="0" fillId="0" borderId="0" xfId="1" applyNumberFormat="1" applyFont="1" applyBorder="1"/>
    <xf numFmtId="10" fontId="0" fillId="0" borderId="0" xfId="1" applyNumberFormat="1" applyFont="1" applyBorder="1"/>
    <xf numFmtId="10" fontId="1" fillId="0" borderId="0" xfId="1" applyNumberFormat="1" applyFont="1" applyBorder="1"/>
    <xf numFmtId="0" fontId="0" fillId="0" borderId="0" xfId="0" applyFont="1" applyFill="1" applyBorder="1"/>
    <xf numFmtId="0" fontId="8" fillId="7" borderId="0" xfId="0" applyFont="1" applyFill="1" applyBorder="1"/>
    <xf numFmtId="3" fontId="6" fillId="0" borderId="0" xfId="0" applyNumberFormat="1" applyFont="1" applyFill="1" applyBorder="1"/>
    <xf numFmtId="0" fontId="22" fillId="7" borderId="0" xfId="0" applyFont="1" applyFill="1" applyBorder="1"/>
    <xf numFmtId="3" fontId="8" fillId="7" borderId="0" xfId="0" applyNumberFormat="1" applyFont="1" applyFill="1" applyBorder="1"/>
    <xf numFmtId="3" fontId="22" fillId="7" borderId="0" xfId="0" applyNumberFormat="1" applyFont="1" applyFill="1" applyBorder="1"/>
    <xf numFmtId="168" fontId="1" fillId="3" borderId="0" xfId="1" applyNumberFormat="1" applyFont="1" applyFill="1" applyBorder="1"/>
    <xf numFmtId="168" fontId="0" fillId="0" borderId="5" xfId="1" applyNumberFormat="1" applyFont="1" applyBorder="1"/>
    <xf numFmtId="0" fontId="1" fillId="0" borderId="6" xfId="0" applyFont="1" applyFill="1" applyBorder="1"/>
    <xf numFmtId="0" fontId="1" fillId="0" borderId="5" xfId="0" applyFont="1" applyFill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68" fontId="4" fillId="0" borderId="0" xfId="0" applyNumberFormat="1" applyFont="1"/>
    <xf numFmtId="168" fontId="4" fillId="3" borderId="0" xfId="0" applyNumberFormat="1" applyFont="1" applyFill="1"/>
    <xf numFmtId="17" fontId="29" fillId="0" borderId="0" xfId="0" applyNumberFormat="1" applyFont="1"/>
    <xf numFmtId="0" fontId="29" fillId="0" borderId="0" xfId="0" applyFont="1"/>
    <xf numFmtId="17" fontId="29" fillId="3" borderId="0" xfId="0" applyNumberFormat="1" applyFont="1" applyFill="1"/>
    <xf numFmtId="0" fontId="29" fillId="3" borderId="0" xfId="0" applyFont="1" applyFill="1"/>
    <xf numFmtId="9" fontId="0" fillId="0" borderId="0" xfId="1" applyFont="1"/>
    <xf numFmtId="0" fontId="0" fillId="0" borderId="0" xfId="0" applyFill="1" applyBorder="1" applyAlignment="1"/>
    <xf numFmtId="0" fontId="0" fillId="0" borderId="8" xfId="0" applyFill="1" applyBorder="1" applyAlignment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 applyAlignment="1">
      <alignment horizontal="centerContinuous"/>
    </xf>
    <xf numFmtId="0" fontId="1" fillId="10" borderId="8" xfId="0" applyFont="1" applyFill="1" applyBorder="1" applyAlignment="1"/>
    <xf numFmtId="2" fontId="1" fillId="10" borderId="0" xfId="0" applyNumberFormat="1" applyFont="1" applyFill="1"/>
    <xf numFmtId="0" fontId="0" fillId="2" borderId="0" xfId="0" applyFill="1"/>
    <xf numFmtId="0" fontId="8" fillId="7" borderId="0" xfId="0" applyFont="1" applyFill="1"/>
    <xf numFmtId="0" fontId="1" fillId="0" borderId="1" xfId="0" applyFont="1" applyBorder="1"/>
    <xf numFmtId="170" fontId="0" fillId="0" borderId="0" xfId="0" applyNumberFormat="1"/>
    <xf numFmtId="0" fontId="30" fillId="0" borderId="0" xfId="0" applyFont="1"/>
    <xf numFmtId="4" fontId="30" fillId="0" borderId="0" xfId="0" applyNumberFormat="1" applyFont="1"/>
    <xf numFmtId="0" fontId="30" fillId="0" borderId="0" xfId="0" applyNumberFormat="1" applyFont="1"/>
    <xf numFmtId="2" fontId="30" fillId="0" borderId="0" xfId="0" applyNumberFormat="1" applyFont="1"/>
    <xf numFmtId="2" fontId="32" fillId="0" borderId="0" xfId="0" applyNumberFormat="1" applyFont="1"/>
    <xf numFmtId="4" fontId="0" fillId="0" borderId="5" xfId="0" applyNumberFormat="1" applyBorder="1"/>
    <xf numFmtId="0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" fontId="1" fillId="0" borderId="5" xfId="0" applyNumberFormat="1" applyFont="1" applyBorder="1"/>
    <xf numFmtId="1" fontId="0" fillId="0" borderId="5" xfId="0" applyNumberFormat="1" applyBorder="1"/>
    <xf numFmtId="0" fontId="30" fillId="0" borderId="5" xfId="0" applyFont="1" applyBorder="1"/>
    <xf numFmtId="4" fontId="30" fillId="0" borderId="5" xfId="0" applyNumberFormat="1" applyFont="1" applyBorder="1"/>
    <xf numFmtId="14" fontId="30" fillId="0" borderId="5" xfId="0" applyNumberFormat="1" applyFont="1" applyBorder="1"/>
    <xf numFmtId="8" fontId="1" fillId="0" borderId="0" xfId="0" applyNumberFormat="1" applyFont="1"/>
    <xf numFmtId="8" fontId="22" fillId="7" borderId="0" xfId="0" applyNumberFormat="1" applyFont="1" applyFill="1"/>
    <xf numFmtId="4" fontId="22" fillId="7" borderId="0" xfId="0" applyNumberFormat="1" applyFont="1" applyFill="1"/>
    <xf numFmtId="4" fontId="1" fillId="0" borderId="1" xfId="0" applyNumberFormat="1" applyFont="1" applyBorder="1"/>
    <xf numFmtId="168" fontId="12" fillId="0" borderId="0" xfId="1" applyNumberFormat="1" applyFont="1"/>
    <xf numFmtId="173" fontId="12" fillId="0" borderId="0" xfId="0" applyNumberFormat="1" applyFont="1"/>
    <xf numFmtId="10" fontId="12" fillId="0" borderId="0" xfId="0" applyNumberFormat="1" applyFont="1"/>
    <xf numFmtId="2" fontId="12" fillId="0" borderId="0" xfId="0" applyNumberFormat="1" applyFont="1"/>
    <xf numFmtId="14" fontId="31" fillId="0" borderId="0" xfId="0" applyNumberFormat="1" applyFont="1"/>
    <xf numFmtId="9" fontId="31" fillId="0" borderId="0" xfId="0" applyNumberFormat="1" applyFont="1"/>
    <xf numFmtId="3" fontId="31" fillId="0" borderId="0" xfId="0" applyNumberFormat="1" applyFont="1"/>
    <xf numFmtId="0" fontId="0" fillId="0" borderId="10" xfId="0" applyBorder="1"/>
    <xf numFmtId="173" fontId="1" fillId="0" borderId="1" xfId="0" applyNumberFormat="1" applyFont="1" applyBorder="1"/>
    <xf numFmtId="4" fontId="0" fillId="0" borderId="11" xfId="0" applyNumberFormat="1" applyBorder="1"/>
    <xf numFmtId="170" fontId="0" fillId="0" borderId="0" xfId="0" applyNumberFormat="1" applyBorder="1"/>
    <xf numFmtId="10" fontId="1" fillId="0" borderId="10" xfId="1" applyNumberFormat="1" applyFont="1" applyBorder="1"/>
    <xf numFmtId="170" fontId="0" fillId="0" borderId="0" xfId="0" applyNumberFormat="1" applyFont="1" applyBorder="1"/>
    <xf numFmtId="170" fontId="0" fillId="9" borderId="0" xfId="0" applyNumberFormat="1" applyFill="1" applyBorder="1"/>
    <xf numFmtId="170" fontId="0" fillId="8" borderId="0" xfId="0" applyNumberFormat="1" applyFill="1" applyBorder="1"/>
    <xf numFmtId="3" fontId="8" fillId="0" borderId="11" xfId="0" applyNumberFormat="1" applyFont="1" applyBorder="1"/>
    <xf numFmtId="9" fontId="1" fillId="0" borderId="1" xfId="0" applyNumberFormat="1" applyFont="1" applyBorder="1"/>
    <xf numFmtId="170" fontId="0" fillId="8" borderId="0" xfId="0" applyNumberFormat="1" applyFill="1"/>
    <xf numFmtId="170" fontId="0" fillId="11" borderId="0" xfId="0" applyNumberFormat="1" applyFill="1"/>
    <xf numFmtId="2" fontId="4" fillId="0" borderId="0" xfId="1" applyNumberFormat="1" applyFont="1"/>
    <xf numFmtId="0" fontId="22" fillId="2" borderId="0" xfId="0" applyFont="1" applyFill="1"/>
    <xf numFmtId="0" fontId="0" fillId="0" borderId="7" xfId="0" applyBorder="1"/>
    <xf numFmtId="0" fontId="25" fillId="0" borderId="7" xfId="0" applyFont="1" applyBorder="1"/>
    <xf numFmtId="0" fontId="24" fillId="0" borderId="7" xfId="0" applyFont="1" applyBorder="1"/>
    <xf numFmtId="2" fontId="23" fillId="0" borderId="7" xfId="0" applyNumberFormat="1" applyFont="1" applyBorder="1" applyAlignment="1">
      <alignment vertical="center"/>
    </xf>
    <xf numFmtId="10" fontId="23" fillId="0" borderId="7" xfId="0" applyNumberFormat="1" applyFont="1" applyBorder="1" applyAlignment="1">
      <alignment horizontal="right" vertical="center"/>
    </xf>
    <xf numFmtId="2" fontId="23" fillId="6" borderId="7" xfId="0" applyNumberFormat="1" applyFont="1" applyFill="1" applyBorder="1" applyAlignment="1">
      <alignment vertical="center"/>
    </xf>
    <xf numFmtId="10" fontId="23" fillId="6" borderId="7" xfId="0" applyNumberFormat="1" applyFont="1" applyFill="1" applyBorder="1" applyAlignment="1">
      <alignment vertical="center"/>
    </xf>
    <xf numFmtId="10" fontId="23" fillId="0" borderId="7" xfId="0" applyNumberFormat="1" applyFont="1" applyBorder="1" applyAlignment="1">
      <alignment vertical="center"/>
    </xf>
    <xf numFmtId="8" fontId="23" fillId="0" borderId="7" xfId="0" applyNumberFormat="1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10" fontId="0" fillId="0" borderId="7" xfId="0" applyNumberFormat="1" applyBorder="1"/>
    <xf numFmtId="174" fontId="22" fillId="12" borderId="0" xfId="0" applyNumberFormat="1" applyFont="1" applyFill="1"/>
    <xf numFmtId="0" fontId="22" fillId="12" borderId="0" xfId="0" applyFont="1" applyFill="1"/>
    <xf numFmtId="175" fontId="22" fillId="13" borderId="0" xfId="0" applyNumberFormat="1" applyFont="1" applyFill="1"/>
    <xf numFmtId="1" fontId="0" fillId="0" borderId="0" xfId="0" applyNumberFormat="1" applyBorder="1"/>
    <xf numFmtId="0" fontId="0" fillId="0" borderId="1" xfId="0" applyBorder="1"/>
    <xf numFmtId="1" fontId="0" fillId="0" borderId="1" xfId="0" applyNumberFormat="1" applyBorder="1"/>
    <xf numFmtId="173" fontId="0" fillId="0" borderId="5" xfId="0" applyNumberFormat="1" applyBorder="1"/>
    <xf numFmtId="173" fontId="0" fillId="0" borderId="0" xfId="0" applyNumberFormat="1" applyBorder="1"/>
    <xf numFmtId="173" fontId="0" fillId="0" borderId="1" xfId="0" applyNumberFormat="1" applyBorder="1"/>
    <xf numFmtId="9" fontId="0" fillId="0" borderId="5" xfId="1" applyFont="1" applyBorder="1"/>
    <xf numFmtId="9" fontId="0" fillId="0" borderId="0" xfId="1" applyFont="1" applyBorder="1"/>
    <xf numFmtId="9" fontId="0" fillId="0" borderId="1" xfId="1" applyFont="1" applyBorder="1"/>
    <xf numFmtId="0" fontId="1" fillId="5" borderId="0" xfId="0" applyFont="1" applyFill="1"/>
    <xf numFmtId="9" fontId="0" fillId="0" borderId="5" xfId="0" applyNumberFormat="1" applyBorder="1"/>
    <xf numFmtId="9" fontId="0" fillId="0" borderId="0" xfId="0" applyNumberFormat="1" applyBorder="1"/>
    <xf numFmtId="2" fontId="0" fillId="0" borderId="1" xfId="0" applyNumberFormat="1" applyBorder="1"/>
    <xf numFmtId="9" fontId="0" fillId="0" borderId="1" xfId="0" applyNumberFormat="1" applyBorder="1"/>
    <xf numFmtId="1" fontId="3" fillId="14" borderId="1" xfId="0" applyNumberFormat="1" applyFont="1" applyFill="1" applyBorder="1"/>
    <xf numFmtId="0" fontId="18" fillId="3" borderId="0" xfId="0" applyFont="1" applyFill="1" applyBorder="1"/>
    <xf numFmtId="3" fontId="18" fillId="3" borderId="0" xfId="0" applyNumberFormat="1" applyFont="1" applyFill="1" applyBorder="1"/>
    <xf numFmtId="0" fontId="8" fillId="3" borderId="0" xfId="0" applyFont="1" applyFill="1"/>
    <xf numFmtId="169" fontId="8" fillId="3" borderId="0" xfId="0" applyNumberFormat="1" applyFont="1" applyFill="1"/>
    <xf numFmtId="169" fontId="22" fillId="2" borderId="0" xfId="0" applyNumberFormat="1" applyFont="1" applyFill="1"/>
    <xf numFmtId="0" fontId="22" fillId="7" borderId="0" xfId="0" applyFont="1" applyFill="1" applyBorder="1" applyAlignment="1">
      <alignment horizontal="center"/>
    </xf>
    <xf numFmtId="0" fontId="33" fillId="7" borderId="0" xfId="0" applyFont="1" applyFill="1" applyAlignment="1">
      <alignment horizontal="center" vertical="center" textRotation="180" wrapText="1"/>
    </xf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2" fillId="12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Valuation Summary</a:t>
            </a:r>
          </a:p>
          <a:p>
            <a:pPr>
              <a:defRPr b="1"/>
            </a:pPr>
            <a:endParaRPr lang="en-IN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37176748255303"/>
          <c:y val="0.12358791040690464"/>
          <c:w val="0.82843455614559802"/>
          <c:h val="0.74351512809365083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Summary!$H$5:$K$5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Market Consenses</c:v>
                </c:pt>
              </c:strCache>
            </c:strRef>
          </c:cat>
          <c:val>
            <c:numRef>
              <c:f>Summary!$H$6:$K$6</c:f>
              <c:numCache>
                <c:formatCode>0</c:formatCode>
                <c:ptCount val="4"/>
                <c:pt idx="0">
                  <c:v>6656.1578473054342</c:v>
                </c:pt>
                <c:pt idx="1">
                  <c:v>7481.3567070055788</c:v>
                </c:pt>
                <c:pt idx="2">
                  <c:v>6167.8</c:v>
                </c:pt>
                <c:pt idx="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4-4615-A8BE-7B0CB5052F4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Summary!$H$5:$K$5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Market Consenses</c:v>
                </c:pt>
              </c:strCache>
            </c:strRef>
          </c:cat>
          <c:val>
            <c:numRef>
              <c:f>Summary!$H$7:$K$7</c:f>
              <c:numCache>
                <c:formatCode>0</c:formatCode>
                <c:ptCount val="4"/>
                <c:pt idx="0">
                  <c:v>6656.1578473054342</c:v>
                </c:pt>
                <c:pt idx="1">
                  <c:v>7481.3567070055788</c:v>
                </c:pt>
                <c:pt idx="2">
                  <c:v>6167.8</c:v>
                </c:pt>
                <c:pt idx="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4-4615-A8BE-7B0CB5052F4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Summary!$H$5:$K$5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Market Consenses</c:v>
                </c:pt>
              </c:strCache>
            </c:strRef>
          </c:cat>
          <c:val>
            <c:numRef>
              <c:f>Summary!$H$8:$K$8</c:f>
              <c:numCache>
                <c:formatCode>0</c:formatCode>
                <c:ptCount val="4"/>
                <c:pt idx="0">
                  <c:v>4581.1472561639021</c:v>
                </c:pt>
                <c:pt idx="1">
                  <c:v>5359.987939138784</c:v>
                </c:pt>
                <c:pt idx="2">
                  <c:v>4634.8999999999996</c:v>
                </c:pt>
                <c:pt idx="3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4-4615-A8BE-7B0CB5052F4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Summary!$H$5:$K$5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Market Consenses</c:v>
                </c:pt>
              </c:strCache>
            </c:strRef>
          </c:cat>
          <c:val>
            <c:numRef>
              <c:f>Summary!$H$9:$K$9</c:f>
              <c:numCache>
                <c:formatCode>0</c:formatCode>
                <c:ptCount val="4"/>
                <c:pt idx="0">
                  <c:v>4581.1472561639021</c:v>
                </c:pt>
                <c:pt idx="1">
                  <c:v>5359.987939138784</c:v>
                </c:pt>
                <c:pt idx="2">
                  <c:v>4634.8999999999996</c:v>
                </c:pt>
                <c:pt idx="3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4-4615-A8BE-7B0CB5052F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94754984"/>
        <c:axId val="494755640"/>
      </c:stockChart>
      <c:dateAx>
        <c:axId val="49475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5640"/>
        <c:crosses val="autoZero"/>
        <c:auto val="0"/>
        <c:lblOffset val="100"/>
        <c:baseTimeUnit val="days"/>
      </c:dateAx>
      <c:valAx>
        <c:axId val="494755640"/>
        <c:scaling>
          <c:orientation val="minMax"/>
          <c:min val="30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11</xdr:row>
      <xdr:rowOff>123825</xdr:rowOff>
    </xdr:from>
    <xdr:to>
      <xdr:col>5</xdr:col>
      <xdr:colOff>419100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628650</xdr:colOff>
      <xdr:row>20</xdr:row>
      <xdr:rowOff>142875</xdr:rowOff>
    </xdr:from>
    <xdr:to>
      <xdr:col>5</xdr:col>
      <xdr:colOff>276225</xdr:colOff>
      <xdr:row>20</xdr:row>
      <xdr:rowOff>152400</xdr:rowOff>
    </xdr:to>
    <xdr:cxnSp macro="">
      <xdr:nvCxnSpPr>
        <xdr:cNvPr id="4" name="Straight Connector 3"/>
        <xdr:cNvCxnSpPr/>
      </xdr:nvCxnSpPr>
      <xdr:spPr>
        <a:xfrm>
          <a:off x="885825" y="4219575"/>
          <a:ext cx="4162425" cy="9525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1"/>
  <sheetViews>
    <sheetView showGridLines="0" topLeftCell="A128" workbookViewId="0">
      <selection activeCell="E128" sqref="E128"/>
    </sheetView>
  </sheetViews>
  <sheetFormatPr defaultRowHeight="15" x14ac:dyDescent="0.25"/>
  <cols>
    <col min="1" max="3" width="1.28515625" customWidth="1"/>
    <col min="4" max="4" width="82.140625" bestFit="1" customWidth="1"/>
    <col min="5" max="5" width="10.5703125" bestFit="1" customWidth="1"/>
    <col min="6" max="6" width="10.85546875" bestFit="1" customWidth="1"/>
    <col min="7" max="7" width="11.85546875" bestFit="1" customWidth="1"/>
    <col min="8" max="9" width="12.140625" bestFit="1" customWidth="1"/>
    <col min="10" max="10" width="10.85546875" bestFit="1" customWidth="1"/>
    <col min="11" max="11" width="11.28515625" bestFit="1" customWidth="1"/>
    <col min="12" max="12" width="10.42578125" bestFit="1" customWidth="1"/>
    <col min="13" max="13" width="10.5703125" bestFit="1" customWidth="1"/>
    <col min="14" max="14" width="10.85546875" bestFit="1" customWidth="1"/>
  </cols>
  <sheetData>
    <row r="1" spans="1:9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.2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5.75" x14ac:dyDescent="0.25">
      <c r="A4" s="73" t="s">
        <v>2</v>
      </c>
      <c r="B4" s="73"/>
      <c r="C4" s="73"/>
      <c r="D4" s="73"/>
      <c r="E4" s="73">
        <v>2019</v>
      </c>
      <c r="F4" s="73">
        <f>E4+1</f>
        <v>2020</v>
      </c>
      <c r="G4" s="73">
        <f>F4+1</f>
        <v>2021</v>
      </c>
      <c r="H4" s="73">
        <f>G4+1</f>
        <v>2022</v>
      </c>
      <c r="I4" s="73">
        <f>H4+1</f>
        <v>2023</v>
      </c>
    </row>
    <row r="5" spans="1:9" x14ac:dyDescent="0.25">
      <c r="D5" s="6" t="s">
        <v>3</v>
      </c>
      <c r="E5" s="6"/>
      <c r="F5" s="6"/>
      <c r="G5" s="6"/>
      <c r="H5" s="6"/>
      <c r="I5" s="6"/>
    </row>
    <row r="6" spans="1:9" x14ac:dyDescent="0.25">
      <c r="D6" s="6" t="s">
        <v>4</v>
      </c>
      <c r="E6" s="7">
        <v>73571.899999999994</v>
      </c>
      <c r="F6" s="7">
        <v>83443.600000000006</v>
      </c>
      <c r="G6" s="7">
        <v>88650.1</v>
      </c>
      <c r="H6" s="7">
        <v>106341.9</v>
      </c>
      <c r="I6" s="7">
        <v>115992.6</v>
      </c>
    </row>
    <row r="7" spans="1:9" x14ac:dyDescent="0.25">
      <c r="D7" s="6" t="s">
        <v>5</v>
      </c>
      <c r="E7" s="7">
        <v>877</v>
      </c>
      <c r="F7" s="7">
        <v>1042.2</v>
      </c>
      <c r="G7" s="7">
        <v>2332.1</v>
      </c>
      <c r="H7" s="7">
        <v>1626.5</v>
      </c>
      <c r="I7" s="7">
        <v>2160.8000000000002</v>
      </c>
    </row>
    <row r="8" spans="1:9" x14ac:dyDescent="0.25">
      <c r="D8" s="30" t="s">
        <v>6</v>
      </c>
      <c r="E8" s="31">
        <v>74448.899999999994</v>
      </c>
      <c r="F8" s="31">
        <v>84485.8</v>
      </c>
      <c r="G8" s="31">
        <v>90982.2</v>
      </c>
      <c r="H8" s="31">
        <v>107968.4</v>
      </c>
      <c r="I8" s="31">
        <v>118153.4</v>
      </c>
    </row>
    <row r="9" spans="1:9" x14ac:dyDescent="0.25">
      <c r="D9" s="6" t="s">
        <v>7</v>
      </c>
      <c r="E9" s="7"/>
      <c r="F9" s="7"/>
      <c r="G9" s="7"/>
      <c r="H9" s="7"/>
      <c r="I9" s="7"/>
    </row>
    <row r="10" spans="1:9" x14ac:dyDescent="0.25">
      <c r="D10" s="6" t="s">
        <v>8</v>
      </c>
      <c r="E10" s="7">
        <v>18111.400000000001</v>
      </c>
      <c r="F10" s="7">
        <v>21318.3</v>
      </c>
      <c r="G10" s="7">
        <v>23945.4</v>
      </c>
      <c r="H10" s="7">
        <v>32260.6</v>
      </c>
      <c r="I10" s="7">
        <v>30569.200000000001</v>
      </c>
    </row>
    <row r="11" spans="1:9" x14ac:dyDescent="0.25">
      <c r="D11" s="6" t="s">
        <v>9</v>
      </c>
      <c r="E11" s="7">
        <v>11301.9</v>
      </c>
      <c r="F11" s="7">
        <v>14430.6</v>
      </c>
      <c r="G11" s="7">
        <v>14377.6</v>
      </c>
      <c r="H11" s="7">
        <v>14897.1</v>
      </c>
      <c r="I11" s="7">
        <v>13875.5</v>
      </c>
    </row>
    <row r="12" spans="1:9" x14ac:dyDescent="0.25">
      <c r="D12" s="6" t="s">
        <v>19</v>
      </c>
      <c r="E12" s="7">
        <v>36.4</v>
      </c>
      <c r="F12" s="7">
        <v>-2299.5</v>
      </c>
      <c r="G12" s="7">
        <v>-3338.4</v>
      </c>
      <c r="H12" s="7">
        <v>-5354.8</v>
      </c>
      <c r="I12" s="7">
        <v>4623.7</v>
      </c>
    </row>
    <row r="13" spans="1:9" x14ac:dyDescent="0.25">
      <c r="D13" s="6" t="s">
        <v>10</v>
      </c>
      <c r="E13" s="7">
        <v>13624.6</v>
      </c>
      <c r="F13" s="7">
        <v>15054.9</v>
      </c>
      <c r="G13" s="7">
        <v>16210.3</v>
      </c>
      <c r="H13" s="7">
        <v>19627.099999999999</v>
      </c>
      <c r="I13" s="7">
        <v>21313.5</v>
      </c>
    </row>
    <row r="14" spans="1:9" x14ac:dyDescent="0.25">
      <c r="D14" s="6" t="s">
        <v>11</v>
      </c>
      <c r="E14" s="7">
        <v>546.29999999999995</v>
      </c>
      <c r="F14" s="7">
        <v>650.6</v>
      </c>
      <c r="G14" s="7">
        <v>589.20000000000005</v>
      </c>
      <c r="H14" s="7">
        <v>523.70000000000005</v>
      </c>
      <c r="I14" s="7">
        <v>1073.5999999999999</v>
      </c>
    </row>
    <row r="15" spans="1:9" x14ac:dyDescent="0.25">
      <c r="D15" s="6" t="s">
        <v>12</v>
      </c>
      <c r="E15" s="7">
        <v>1931.8</v>
      </c>
      <c r="F15" s="7">
        <v>2527.6</v>
      </c>
      <c r="G15" s="7">
        <v>2745.8</v>
      </c>
      <c r="H15" s="7">
        <v>3039.6</v>
      </c>
      <c r="I15" s="7">
        <v>3104.2</v>
      </c>
    </row>
    <row r="16" spans="1:9" x14ac:dyDescent="0.25">
      <c r="D16" s="6" t="s">
        <v>13</v>
      </c>
      <c r="E16" s="7">
        <v>19349.900000000001</v>
      </c>
      <c r="F16" s="7">
        <v>20205.400000000001</v>
      </c>
      <c r="G16" s="7">
        <v>18031.3</v>
      </c>
      <c r="H16" s="7">
        <v>24382.7</v>
      </c>
      <c r="I16" s="7">
        <v>29516.2</v>
      </c>
    </row>
    <row r="17" spans="1:9" x14ac:dyDescent="0.25">
      <c r="D17" s="30" t="s">
        <v>14</v>
      </c>
      <c r="E17" s="31">
        <v>64902.3</v>
      </c>
      <c r="F17" s="31">
        <v>71887.899999999994</v>
      </c>
      <c r="G17" s="31">
        <v>72561.2</v>
      </c>
      <c r="H17" s="31">
        <v>89376</v>
      </c>
      <c r="I17" s="31">
        <v>104075.9</v>
      </c>
    </row>
    <row r="18" spans="1:9" x14ac:dyDescent="0.25">
      <c r="D18" s="6" t="s">
        <v>26</v>
      </c>
      <c r="E18" s="7">
        <v>9546.6</v>
      </c>
      <c r="F18" s="7">
        <v>12597.9</v>
      </c>
      <c r="G18" s="7">
        <v>18421</v>
      </c>
      <c r="H18" s="7">
        <v>18592.400000000001</v>
      </c>
      <c r="I18" s="7">
        <v>14077.5</v>
      </c>
    </row>
    <row r="19" spans="1:9" x14ac:dyDescent="0.25">
      <c r="D19" s="6" t="s">
        <v>27</v>
      </c>
      <c r="E19" s="7">
        <v>0</v>
      </c>
      <c r="F19" s="7">
        <v>0</v>
      </c>
      <c r="G19" s="7">
        <v>0</v>
      </c>
      <c r="H19" s="7">
        <v>-149.6</v>
      </c>
      <c r="I19" s="7">
        <v>-1029.8</v>
      </c>
    </row>
    <row r="20" spans="1:9" x14ac:dyDescent="0.25">
      <c r="D20" s="30" t="s">
        <v>25</v>
      </c>
      <c r="E20" s="31">
        <v>9546.6</v>
      </c>
      <c r="F20" s="31">
        <v>12597.9</v>
      </c>
      <c r="G20" s="31">
        <v>18421</v>
      </c>
      <c r="H20" s="31">
        <v>18442.8</v>
      </c>
      <c r="I20" s="31">
        <v>13047.7</v>
      </c>
    </row>
    <row r="21" spans="1:9" x14ac:dyDescent="0.25">
      <c r="D21" s="6" t="s">
        <v>24</v>
      </c>
      <c r="E21" s="7"/>
      <c r="F21" s="7"/>
      <c r="G21" s="7"/>
      <c r="H21" s="7"/>
      <c r="I21" s="7"/>
    </row>
    <row r="22" spans="1:9" x14ac:dyDescent="0.25">
      <c r="D22" s="6" t="s">
        <v>15</v>
      </c>
      <c r="E22" s="7">
        <v>2291.6999999999998</v>
      </c>
      <c r="F22" s="7">
        <v>3542.5</v>
      </c>
      <c r="G22" s="7">
        <v>3965.3</v>
      </c>
      <c r="H22" s="7">
        <v>3619.8</v>
      </c>
      <c r="I22" s="7">
        <v>2739</v>
      </c>
    </row>
    <row r="23" spans="1:9" x14ac:dyDescent="0.25">
      <c r="D23" s="6" t="s">
        <v>16</v>
      </c>
      <c r="E23" s="7">
        <v>-481.5</v>
      </c>
      <c r="F23" s="7">
        <v>-2123.9</v>
      </c>
      <c r="G23" s="7">
        <v>-1722</v>
      </c>
      <c r="H23" s="7">
        <v>-1980.2</v>
      </c>
      <c r="I23" s="7">
        <v>240.6</v>
      </c>
    </row>
    <row r="24" spans="1:9" x14ac:dyDescent="0.25">
      <c r="D24" s="6" t="s">
        <v>20</v>
      </c>
      <c r="E24" s="7">
        <v>0</v>
      </c>
      <c r="F24" s="7">
        <v>-313.8</v>
      </c>
      <c r="G24" s="7"/>
      <c r="H24" s="7"/>
      <c r="I24" s="7"/>
    </row>
    <row r="25" spans="1:9" x14ac:dyDescent="0.25">
      <c r="D25" s="6" t="s">
        <v>17</v>
      </c>
      <c r="E25" s="7">
        <v>1810.2</v>
      </c>
      <c r="F25" s="7">
        <v>1104.8</v>
      </c>
      <c r="G25" s="7">
        <v>2243.3000000000002</v>
      </c>
      <c r="H25" s="7">
        <v>1639.6</v>
      </c>
      <c r="I25" s="7">
        <v>2979.6</v>
      </c>
    </row>
    <row r="26" spans="1:9" x14ac:dyDescent="0.25">
      <c r="D26" s="70" t="s">
        <v>21</v>
      </c>
      <c r="E26" s="71">
        <v>7736.4</v>
      </c>
      <c r="F26" s="71">
        <v>11493.1</v>
      </c>
      <c r="G26" s="71">
        <v>16177.7</v>
      </c>
      <c r="H26" s="71">
        <v>16803.2</v>
      </c>
      <c r="I26" s="71">
        <v>10068.1</v>
      </c>
    </row>
    <row r="27" spans="1:9" x14ac:dyDescent="0.25">
      <c r="D27" s="6" t="s">
        <v>22</v>
      </c>
      <c r="E27" s="7">
        <v>131.30000000000001</v>
      </c>
      <c r="F27" s="7">
        <v>222.4</v>
      </c>
      <c r="G27" s="7">
        <v>327.5</v>
      </c>
      <c r="H27" s="7">
        <v>347</v>
      </c>
      <c r="I27" s="7">
        <v>226.4</v>
      </c>
    </row>
    <row r="28" spans="1:9" x14ac:dyDescent="0.25">
      <c r="D28" s="70" t="s">
        <v>23</v>
      </c>
      <c r="E28" s="71">
        <v>7605.1</v>
      </c>
      <c r="F28" s="71">
        <v>11270.7</v>
      </c>
      <c r="G28" s="71">
        <v>15850.2</v>
      </c>
      <c r="H28" s="71">
        <v>16456.2</v>
      </c>
      <c r="I28" s="71">
        <v>9841.7000000000007</v>
      </c>
    </row>
    <row r="31" spans="1:9" ht="15.75" x14ac:dyDescent="0.25">
      <c r="A31" s="73" t="s">
        <v>28</v>
      </c>
      <c r="B31" s="73"/>
      <c r="C31" s="73"/>
      <c r="D31" s="73"/>
      <c r="E31" s="73">
        <v>2019</v>
      </c>
      <c r="F31" s="73">
        <f>E31+1</f>
        <v>2020</v>
      </c>
      <c r="G31" s="73">
        <f>F31+1</f>
        <v>2021</v>
      </c>
      <c r="H31" s="73">
        <f>G31+1</f>
        <v>2022</v>
      </c>
      <c r="I31" s="73">
        <f>H31+1</f>
        <v>2023</v>
      </c>
    </row>
    <row r="32" spans="1:9" x14ac:dyDescent="0.25">
      <c r="I32" s="1"/>
    </row>
    <row r="33" spans="4:9" x14ac:dyDescent="0.25">
      <c r="D33" s="75" t="s">
        <v>29</v>
      </c>
      <c r="E33" s="76"/>
      <c r="F33" s="76"/>
      <c r="G33" s="76"/>
      <c r="H33" s="76"/>
      <c r="I33" s="76"/>
    </row>
    <row r="34" spans="4:9" x14ac:dyDescent="0.25">
      <c r="D34" s="10" t="s">
        <v>30</v>
      </c>
      <c r="I34" s="1"/>
    </row>
    <row r="35" spans="4:9" x14ac:dyDescent="0.25">
      <c r="D35" t="s">
        <v>31</v>
      </c>
      <c r="E35" s="13">
        <v>21056.2</v>
      </c>
      <c r="F35" s="13">
        <v>23062.9</v>
      </c>
      <c r="G35" s="13">
        <v>22339.3</v>
      </c>
      <c r="H35" s="13">
        <v>22871</v>
      </c>
      <c r="I35" s="1">
        <v>20654</v>
      </c>
    </row>
    <row r="36" spans="4:9" x14ac:dyDescent="0.25">
      <c r="D36" t="s">
        <v>82</v>
      </c>
      <c r="E36" s="13"/>
      <c r="F36" s="13"/>
      <c r="G36" s="13"/>
      <c r="H36" s="13"/>
      <c r="I36" s="1">
        <v>1378.5</v>
      </c>
    </row>
    <row r="37" spans="4:9" x14ac:dyDescent="0.25">
      <c r="D37" t="s">
        <v>32</v>
      </c>
      <c r="E37" s="13">
        <v>4929.6000000000004</v>
      </c>
      <c r="F37" s="13">
        <v>3629.7</v>
      </c>
      <c r="G37" s="13">
        <v>3932.8</v>
      </c>
      <c r="H37" s="13">
        <v>3394.8</v>
      </c>
      <c r="I37" s="1">
        <v>3102.7</v>
      </c>
    </row>
    <row r="38" spans="4:9" x14ac:dyDescent="0.25">
      <c r="D38" t="s">
        <v>33</v>
      </c>
      <c r="E38" s="13">
        <v>231.5</v>
      </c>
      <c r="F38" s="13">
        <v>259.3</v>
      </c>
      <c r="G38" s="13">
        <v>3953.9</v>
      </c>
      <c r="H38" s="13">
        <v>4030.9</v>
      </c>
      <c r="I38" s="1">
        <v>4131.7</v>
      </c>
    </row>
    <row r="39" spans="4:9" x14ac:dyDescent="0.25">
      <c r="D39" t="s">
        <v>34</v>
      </c>
      <c r="E39" s="13">
        <v>442.6</v>
      </c>
      <c r="F39" s="13">
        <v>2032.7</v>
      </c>
      <c r="G39" s="13">
        <v>1636.6</v>
      </c>
      <c r="H39" s="13">
        <v>2115.4</v>
      </c>
      <c r="I39" s="1">
        <v>664.1</v>
      </c>
    </row>
    <row r="40" spans="4:9" x14ac:dyDescent="0.25">
      <c r="D40" t="s">
        <v>35</v>
      </c>
      <c r="E40" s="13">
        <v>3574.1</v>
      </c>
      <c r="F40" s="13">
        <v>3725.2</v>
      </c>
      <c r="G40" s="13">
        <v>0</v>
      </c>
      <c r="H40" s="13">
        <v>0</v>
      </c>
      <c r="I40" s="1">
        <v>0</v>
      </c>
    </row>
    <row r="41" spans="4:9" x14ac:dyDescent="0.25">
      <c r="D41" t="s">
        <v>83</v>
      </c>
      <c r="E41" s="13"/>
      <c r="F41" s="13"/>
      <c r="G41" s="13"/>
      <c r="H41" s="13"/>
      <c r="I41" s="1">
        <v>129.69999999999999</v>
      </c>
    </row>
    <row r="42" spans="4:9" x14ac:dyDescent="0.25">
      <c r="D42" s="10" t="s">
        <v>36</v>
      </c>
      <c r="E42" s="13"/>
      <c r="F42" s="13"/>
      <c r="G42" s="13"/>
      <c r="H42" s="13"/>
      <c r="I42" s="1"/>
    </row>
    <row r="43" spans="4:9" x14ac:dyDescent="0.25">
      <c r="D43" t="s">
        <v>37</v>
      </c>
      <c r="E43" s="13">
        <v>957.4</v>
      </c>
      <c r="F43" s="13">
        <v>915</v>
      </c>
      <c r="G43" s="13">
        <v>1539.5</v>
      </c>
      <c r="H43" s="13">
        <v>2316.6999999999998</v>
      </c>
      <c r="I43" s="1">
        <v>3046.1</v>
      </c>
    </row>
    <row r="44" spans="4:9" x14ac:dyDescent="0.25">
      <c r="D44" t="s">
        <v>38</v>
      </c>
      <c r="E44" s="13">
        <v>136.30000000000001</v>
      </c>
      <c r="F44" s="13">
        <v>106.1</v>
      </c>
      <c r="G44" s="13">
        <v>80.2</v>
      </c>
      <c r="H44" s="13">
        <v>80.2</v>
      </c>
      <c r="I44" s="1">
        <v>80.2</v>
      </c>
    </row>
    <row r="45" spans="4:9" x14ac:dyDescent="0.25">
      <c r="D45" t="s">
        <v>39</v>
      </c>
      <c r="E45" s="13">
        <v>462</v>
      </c>
      <c r="F45" s="13">
        <v>466.8</v>
      </c>
      <c r="G45" s="13">
        <v>607.9</v>
      </c>
      <c r="H45" s="13">
        <v>7106.7</v>
      </c>
      <c r="I45" s="1">
        <v>2952.5</v>
      </c>
    </row>
    <row r="46" spans="4:9" x14ac:dyDescent="0.25">
      <c r="D46" t="s">
        <v>40</v>
      </c>
      <c r="E46" s="13">
        <v>7076.3</v>
      </c>
      <c r="F46" s="13">
        <v>9325.7000000000007</v>
      </c>
      <c r="G46" s="13">
        <v>11079.1</v>
      </c>
      <c r="H46" s="13">
        <v>13092.6</v>
      </c>
      <c r="I46" s="1">
        <v>13025</v>
      </c>
    </row>
    <row r="47" spans="4:9" x14ac:dyDescent="0.25">
      <c r="D47" t="s">
        <v>41</v>
      </c>
      <c r="E47" s="13">
        <v>392.7</v>
      </c>
      <c r="F47" s="13">
        <v>419.5</v>
      </c>
      <c r="G47" s="13">
        <v>171.1</v>
      </c>
      <c r="H47" s="13">
        <v>533.1</v>
      </c>
      <c r="I47" s="1">
        <v>575.4</v>
      </c>
    </row>
    <row r="48" spans="4:9" x14ac:dyDescent="0.25">
      <c r="D48" t="s">
        <v>42</v>
      </c>
      <c r="E48" s="13">
        <v>661.9</v>
      </c>
      <c r="F48" s="13">
        <v>530.1</v>
      </c>
      <c r="G48" s="13">
        <v>564</v>
      </c>
      <c r="H48" s="13">
        <v>796.2</v>
      </c>
      <c r="I48" s="1">
        <v>529.6</v>
      </c>
    </row>
    <row r="49" spans="4:9" x14ac:dyDescent="0.25">
      <c r="D49" s="54" t="s">
        <v>43</v>
      </c>
      <c r="E49" s="55">
        <v>39920.6</v>
      </c>
      <c r="F49" s="55">
        <v>44473</v>
      </c>
      <c r="G49" s="55">
        <v>45904.4</v>
      </c>
      <c r="H49" s="55">
        <v>56337.599999999999</v>
      </c>
      <c r="I49" s="58">
        <v>50269.5</v>
      </c>
    </row>
    <row r="50" spans="4:9" x14ac:dyDescent="0.25">
      <c r="D50" s="10" t="s">
        <v>44</v>
      </c>
      <c r="E50" s="13"/>
      <c r="F50" s="13"/>
      <c r="G50" s="13"/>
      <c r="H50" s="13"/>
      <c r="I50" s="1"/>
    </row>
    <row r="51" spans="4:9" x14ac:dyDescent="0.25">
      <c r="D51" t="s">
        <v>45</v>
      </c>
      <c r="E51" s="13">
        <v>14998.7</v>
      </c>
      <c r="F51" s="13">
        <v>18188.2</v>
      </c>
      <c r="G51" s="13">
        <v>23124.400000000001</v>
      </c>
      <c r="H51" s="13">
        <v>30055.3</v>
      </c>
      <c r="I51" s="1">
        <v>26075.3</v>
      </c>
    </row>
    <row r="52" spans="4:9" x14ac:dyDescent="0.25">
      <c r="D52" s="10" t="s">
        <v>46</v>
      </c>
      <c r="E52" s="13"/>
      <c r="F52" s="13"/>
      <c r="G52" s="13"/>
      <c r="H52" s="13"/>
      <c r="I52" s="1"/>
    </row>
    <row r="53" spans="4:9" x14ac:dyDescent="0.25">
      <c r="D53" s="51" t="s">
        <v>37</v>
      </c>
      <c r="E53" s="13">
        <v>2278.8000000000002</v>
      </c>
      <c r="F53" s="13">
        <v>1698.9</v>
      </c>
      <c r="G53" s="13">
        <v>1788.3</v>
      </c>
      <c r="H53" s="13">
        <v>1393.1</v>
      </c>
      <c r="I53" s="1">
        <v>3172.1</v>
      </c>
    </row>
    <row r="54" spans="4:9" x14ac:dyDescent="0.25">
      <c r="D54" t="s">
        <v>47</v>
      </c>
      <c r="E54" s="13">
        <v>12484.1</v>
      </c>
      <c r="F54" s="13">
        <v>16493.599999999999</v>
      </c>
      <c r="G54" s="13">
        <v>16072.1</v>
      </c>
      <c r="H54" s="13">
        <v>18846</v>
      </c>
      <c r="I54" s="1">
        <v>21321.8</v>
      </c>
    </row>
    <row r="55" spans="4:9" x14ac:dyDescent="0.25">
      <c r="D55" t="s">
        <v>48</v>
      </c>
      <c r="E55" s="13">
        <v>2490.5</v>
      </c>
      <c r="F55" s="13">
        <v>1759.4</v>
      </c>
      <c r="G55" s="13">
        <v>1742.2</v>
      </c>
      <c r="H55" s="13">
        <v>2321.8000000000002</v>
      </c>
      <c r="I55" s="1">
        <v>2738</v>
      </c>
    </row>
    <row r="56" spans="4:9" x14ac:dyDescent="0.25">
      <c r="D56" t="s">
        <v>49</v>
      </c>
      <c r="E56" s="13">
        <v>4125.5</v>
      </c>
      <c r="F56" s="13">
        <v>9162.7000000000007</v>
      </c>
      <c r="G56" s="13">
        <v>18162.3</v>
      </c>
      <c r="H56" s="13">
        <v>23464</v>
      </c>
      <c r="I56" s="1">
        <v>23430.9</v>
      </c>
    </row>
    <row r="57" spans="4:9" x14ac:dyDescent="0.25">
      <c r="D57" s="51" t="s">
        <v>50</v>
      </c>
      <c r="E57" s="13">
        <v>308</v>
      </c>
      <c r="F57" s="13">
        <v>279.7</v>
      </c>
      <c r="G57" s="13">
        <v>187.3</v>
      </c>
      <c r="H57" s="13">
        <v>202.5</v>
      </c>
      <c r="I57" s="1">
        <v>67.7</v>
      </c>
    </row>
    <row r="58" spans="4:9" x14ac:dyDescent="0.25">
      <c r="D58" s="51" t="s">
        <v>51</v>
      </c>
      <c r="E58" s="13">
        <v>1064.5999999999999</v>
      </c>
      <c r="F58" s="13">
        <v>1931</v>
      </c>
      <c r="G58" s="13">
        <v>2606</v>
      </c>
      <c r="H58" s="13">
        <v>1731.5</v>
      </c>
      <c r="I58" s="1">
        <v>1897.5</v>
      </c>
    </row>
    <row r="59" spans="4:9" x14ac:dyDescent="0.25">
      <c r="D59" t="s">
        <v>52</v>
      </c>
      <c r="E59" s="13">
        <v>4293.8</v>
      </c>
      <c r="F59" s="13">
        <v>5266</v>
      </c>
      <c r="G59" s="13">
        <v>5550.1</v>
      </c>
      <c r="H59" s="13">
        <v>6322.8</v>
      </c>
      <c r="I59" s="1">
        <v>7360.9</v>
      </c>
    </row>
    <row r="60" spans="4:9" x14ac:dyDescent="0.25">
      <c r="E60" s="14">
        <v>42044</v>
      </c>
      <c r="F60" s="14">
        <v>54779.5</v>
      </c>
      <c r="G60" s="14">
        <v>69232.7</v>
      </c>
      <c r="H60" s="14">
        <v>84337</v>
      </c>
      <c r="I60" s="11">
        <v>86064.2</v>
      </c>
    </row>
    <row r="61" spans="4:9" x14ac:dyDescent="0.25">
      <c r="D61" s="51" t="s">
        <v>53</v>
      </c>
      <c r="E61" s="13">
        <v>117.3</v>
      </c>
      <c r="F61" s="13">
        <v>180.8</v>
      </c>
      <c r="G61" s="13">
        <v>55.5</v>
      </c>
      <c r="H61" s="13">
        <v>17.3</v>
      </c>
      <c r="I61" s="1">
        <v>1232.5999999999999</v>
      </c>
    </row>
    <row r="62" spans="4:9" x14ac:dyDescent="0.25">
      <c r="D62" s="54" t="s">
        <v>54</v>
      </c>
      <c r="E62" s="55">
        <v>42161.3</v>
      </c>
      <c r="F62" s="55">
        <v>54960.3</v>
      </c>
      <c r="G62" s="55">
        <v>69288.2</v>
      </c>
      <c r="H62" s="55">
        <v>84354.3</v>
      </c>
      <c r="I62" s="58">
        <v>87296.8</v>
      </c>
    </row>
    <row r="63" spans="4:9" x14ac:dyDescent="0.25">
      <c r="D63" s="68" t="s">
        <v>55</v>
      </c>
      <c r="E63" s="74">
        <v>82081.899999999994</v>
      </c>
      <c r="F63" s="74">
        <v>99433.3</v>
      </c>
      <c r="G63" s="74">
        <v>115192.6</v>
      </c>
      <c r="H63" s="74">
        <v>140691.9</v>
      </c>
      <c r="I63" s="69">
        <v>137566.29999999999</v>
      </c>
    </row>
    <row r="64" spans="4:9" x14ac:dyDescent="0.25">
      <c r="D64" s="10" t="s">
        <v>56</v>
      </c>
      <c r="E64" s="13"/>
      <c r="F64" s="13"/>
      <c r="G64" s="13"/>
      <c r="H64" s="13"/>
      <c r="I64" s="1"/>
    </row>
    <row r="65" spans="4:9" x14ac:dyDescent="0.25">
      <c r="D65" s="10" t="s">
        <v>57</v>
      </c>
      <c r="E65" s="13"/>
      <c r="F65" s="13"/>
      <c r="G65" s="13"/>
      <c r="H65" s="13"/>
      <c r="I65" s="1"/>
    </row>
    <row r="66" spans="4:9" x14ac:dyDescent="0.25">
      <c r="D66" t="s">
        <v>58</v>
      </c>
      <c r="E66" s="13">
        <v>239.1</v>
      </c>
      <c r="F66" s="13">
        <v>239.1</v>
      </c>
      <c r="G66" s="13">
        <v>239.1</v>
      </c>
      <c r="H66" s="13">
        <v>239.1</v>
      </c>
      <c r="I66" s="1">
        <v>239.1</v>
      </c>
    </row>
    <row r="67" spans="4:9" x14ac:dyDescent="0.25">
      <c r="D67" t="s">
        <v>59</v>
      </c>
      <c r="E67" s="13">
        <v>54154.3</v>
      </c>
      <c r="F67" s="13">
        <v>61367.6</v>
      </c>
      <c r="G67" s="13">
        <v>73528.2</v>
      </c>
      <c r="H67" s="13">
        <v>86139.9</v>
      </c>
      <c r="I67" s="1">
        <v>90213.8</v>
      </c>
    </row>
    <row r="68" spans="4:9" x14ac:dyDescent="0.25">
      <c r="D68" t="s">
        <v>60</v>
      </c>
      <c r="E68" s="13">
        <v>54393.4</v>
      </c>
      <c r="F68" s="13">
        <v>61606.7</v>
      </c>
      <c r="G68" s="13">
        <v>73767.3</v>
      </c>
      <c r="H68" s="13">
        <v>86379</v>
      </c>
      <c r="I68" s="1">
        <v>90452.9</v>
      </c>
    </row>
    <row r="69" spans="4:9" x14ac:dyDescent="0.25">
      <c r="D69" t="s">
        <v>61</v>
      </c>
      <c r="E69" s="13">
        <v>1326.1</v>
      </c>
      <c r="F69" s="13">
        <v>1483</v>
      </c>
      <c r="G69" s="13">
        <v>1812.8</v>
      </c>
      <c r="H69" s="13">
        <v>2094.3000000000002</v>
      </c>
      <c r="I69" s="1">
        <v>3897.1</v>
      </c>
    </row>
    <row r="70" spans="4:9" x14ac:dyDescent="0.25">
      <c r="D70" s="54" t="s">
        <v>62</v>
      </c>
      <c r="E70" s="55">
        <v>55719.5</v>
      </c>
      <c r="F70" s="55">
        <v>63089.7</v>
      </c>
      <c r="G70" s="55">
        <v>75580.100000000006</v>
      </c>
      <c r="H70" s="55">
        <v>88473.3</v>
      </c>
      <c r="I70" s="58">
        <v>94350</v>
      </c>
    </row>
    <row r="71" spans="4:9" x14ac:dyDescent="0.25">
      <c r="D71" s="10" t="s">
        <v>63</v>
      </c>
      <c r="E71" s="13"/>
      <c r="F71" s="13"/>
      <c r="G71" s="13"/>
      <c r="H71" s="13"/>
      <c r="I71" s="1"/>
    </row>
    <row r="72" spans="4:9" x14ac:dyDescent="0.25">
      <c r="D72" s="10" t="s">
        <v>64</v>
      </c>
      <c r="E72" s="13"/>
      <c r="F72" s="13"/>
      <c r="G72" s="13"/>
      <c r="H72" s="13"/>
      <c r="I72" s="1"/>
    </row>
    <row r="73" spans="4:9" x14ac:dyDescent="0.25">
      <c r="D73" s="10" t="s">
        <v>65</v>
      </c>
      <c r="E73" s="13"/>
      <c r="F73" s="13"/>
      <c r="G73" s="13"/>
      <c r="H73" s="13"/>
      <c r="I73" s="1"/>
    </row>
    <row r="74" spans="4:9" x14ac:dyDescent="0.25">
      <c r="D74" t="s">
        <v>66</v>
      </c>
      <c r="E74" s="13">
        <v>2313</v>
      </c>
      <c r="F74" s="13">
        <v>1592.4</v>
      </c>
      <c r="G74" s="13">
        <v>279.3</v>
      </c>
      <c r="H74" s="13">
        <v>93.8</v>
      </c>
      <c r="I74" s="1">
        <v>0</v>
      </c>
    </row>
    <row r="75" spans="4:9" x14ac:dyDescent="0.25">
      <c r="D75" s="12" t="s">
        <v>84</v>
      </c>
      <c r="E75" s="13"/>
      <c r="F75" s="13"/>
      <c r="G75" s="13">
        <v>697.1</v>
      </c>
      <c r="H75" s="13">
        <v>664.7</v>
      </c>
      <c r="I75" s="1">
        <v>703.3</v>
      </c>
    </row>
    <row r="76" spans="4:9" x14ac:dyDescent="0.25">
      <c r="D76" s="12" t="s">
        <v>85</v>
      </c>
      <c r="E76" s="13"/>
      <c r="F76" s="13"/>
      <c r="G76" s="13">
        <v>0</v>
      </c>
      <c r="H76" s="13">
        <v>0</v>
      </c>
      <c r="I76" s="1">
        <v>1660.1</v>
      </c>
    </row>
    <row r="77" spans="4:9" x14ac:dyDescent="0.25">
      <c r="D77" t="s">
        <v>67</v>
      </c>
      <c r="E77" s="13">
        <v>1737.2</v>
      </c>
      <c r="F77" s="13">
        <v>2220.4</v>
      </c>
      <c r="G77" s="13">
        <v>0</v>
      </c>
      <c r="H77" s="13">
        <v>0</v>
      </c>
      <c r="I77" s="1">
        <v>3693.6</v>
      </c>
    </row>
    <row r="78" spans="4:9" x14ac:dyDescent="0.25">
      <c r="D78" t="s">
        <v>68</v>
      </c>
      <c r="E78" s="13">
        <v>3</v>
      </c>
      <c r="F78" s="13">
        <v>0</v>
      </c>
      <c r="G78" s="13">
        <v>2507.3000000000002</v>
      </c>
      <c r="H78" s="13">
        <v>3327.5</v>
      </c>
      <c r="I78" s="1"/>
    </row>
    <row r="79" spans="4:9" x14ac:dyDescent="0.25">
      <c r="D79" t="s">
        <v>69</v>
      </c>
      <c r="E79" s="13">
        <v>133.9</v>
      </c>
      <c r="F79" s="13">
        <v>97.7</v>
      </c>
      <c r="G79" s="13">
        <v>88.3</v>
      </c>
      <c r="H79" s="13">
        <v>79.2</v>
      </c>
      <c r="I79" s="1">
        <v>88</v>
      </c>
    </row>
    <row r="80" spans="4:9" x14ac:dyDescent="0.25">
      <c r="D80" s="54" t="s">
        <v>70</v>
      </c>
      <c r="E80" s="55">
        <v>4187.1000000000004</v>
      </c>
      <c r="F80" s="55">
        <v>3910.5</v>
      </c>
      <c r="G80" s="55">
        <v>3572</v>
      </c>
      <c r="H80" s="55">
        <v>4165.2</v>
      </c>
      <c r="I80" s="58">
        <v>6145</v>
      </c>
    </row>
    <row r="81" spans="4:10" x14ac:dyDescent="0.25">
      <c r="D81" t="s">
        <v>71</v>
      </c>
      <c r="E81" s="13"/>
      <c r="F81" s="13"/>
      <c r="G81" s="13"/>
      <c r="H81" s="13"/>
      <c r="I81" s="1"/>
    </row>
    <row r="82" spans="4:10" x14ac:dyDescent="0.25">
      <c r="D82" t="s">
        <v>65</v>
      </c>
      <c r="E82" s="13"/>
      <c r="F82" s="13"/>
      <c r="G82" s="13"/>
      <c r="H82" s="13"/>
      <c r="I82" s="1"/>
    </row>
    <row r="83" spans="4:10" x14ac:dyDescent="0.25">
      <c r="D83" t="s">
        <v>66</v>
      </c>
      <c r="E83" s="13">
        <v>6712.7</v>
      </c>
      <c r="F83" s="13">
        <v>15035.1</v>
      </c>
      <c r="G83" s="13">
        <v>16727.900000000001</v>
      </c>
      <c r="H83" s="13">
        <v>25707.4</v>
      </c>
      <c r="I83" s="1">
        <v>13071.5</v>
      </c>
    </row>
    <row r="84" spans="4:10" x14ac:dyDescent="0.25">
      <c r="D84" t="s">
        <v>84</v>
      </c>
      <c r="E84" s="13"/>
      <c r="F84" s="13"/>
      <c r="G84" s="13">
        <v>215.5</v>
      </c>
      <c r="H84" s="13">
        <v>216</v>
      </c>
      <c r="I84" s="1">
        <v>192</v>
      </c>
    </row>
    <row r="85" spans="4:10" x14ac:dyDescent="0.25">
      <c r="D85" t="s">
        <v>72</v>
      </c>
      <c r="E85" s="13"/>
      <c r="F85" s="13"/>
      <c r="G85" s="13"/>
      <c r="H85" s="13"/>
      <c r="I85" s="1"/>
    </row>
    <row r="86" spans="4:10" x14ac:dyDescent="0.25">
      <c r="D86" t="s">
        <v>73</v>
      </c>
      <c r="E86" s="13">
        <v>606.29999999999995</v>
      </c>
      <c r="F86" s="13">
        <v>1025</v>
      </c>
      <c r="G86" s="13">
        <v>1189.5999999999999</v>
      </c>
      <c r="H86" s="13">
        <v>924.2</v>
      </c>
      <c r="I86" s="1">
        <v>1104.5999999999999</v>
      </c>
    </row>
    <row r="87" spans="4:10" x14ac:dyDescent="0.25">
      <c r="D87" t="s">
        <v>74</v>
      </c>
      <c r="E87" s="13">
        <v>9016.2000000000007</v>
      </c>
      <c r="F87" s="13">
        <v>8515.5</v>
      </c>
      <c r="G87" s="13">
        <v>9504.5</v>
      </c>
      <c r="H87" s="13">
        <v>10809.6</v>
      </c>
      <c r="I87" s="1">
        <v>10545.5</v>
      </c>
    </row>
    <row r="88" spans="4:10" x14ac:dyDescent="0.25">
      <c r="D88" t="s">
        <v>75</v>
      </c>
      <c r="E88" s="13">
        <v>3428.7</v>
      </c>
      <c r="F88" s="13">
        <v>4519.6000000000004</v>
      </c>
      <c r="G88" s="13">
        <v>4653.8999999999996</v>
      </c>
      <c r="H88" s="13">
        <v>5993.8</v>
      </c>
      <c r="I88" s="1">
        <v>6326.9</v>
      </c>
    </row>
    <row r="89" spans="4:10" x14ac:dyDescent="0.25">
      <c r="D89" t="s">
        <v>76</v>
      </c>
      <c r="E89" s="13">
        <v>852.1</v>
      </c>
      <c r="F89" s="13">
        <v>1035.0999999999999</v>
      </c>
      <c r="G89" s="13">
        <v>1193.4000000000001</v>
      </c>
      <c r="H89" s="13">
        <v>1503.2</v>
      </c>
      <c r="I89" s="1">
        <v>1868.9</v>
      </c>
    </row>
    <row r="90" spans="4:10" x14ac:dyDescent="0.25">
      <c r="D90" t="s">
        <v>77</v>
      </c>
      <c r="E90" s="13">
        <v>1538.2</v>
      </c>
      <c r="F90" s="13">
        <v>1847</v>
      </c>
      <c r="G90" s="13">
        <v>2366.4</v>
      </c>
      <c r="H90" s="13">
        <v>2736</v>
      </c>
      <c r="I90" s="1">
        <v>3727.5</v>
      </c>
    </row>
    <row r="91" spans="4:10" x14ac:dyDescent="0.25">
      <c r="D91" t="s">
        <v>78</v>
      </c>
      <c r="E91" s="13">
        <v>21.1</v>
      </c>
      <c r="F91" s="13">
        <v>455.8</v>
      </c>
      <c r="G91" s="13">
        <v>189.3</v>
      </c>
      <c r="H91" s="13">
        <v>163.19999999999999</v>
      </c>
      <c r="I91" s="1">
        <v>234.4</v>
      </c>
    </row>
    <row r="92" spans="4:10" x14ac:dyDescent="0.25">
      <c r="D92" t="s">
        <v>79</v>
      </c>
      <c r="E92" s="13">
        <v>22175.3</v>
      </c>
      <c r="F92" s="13">
        <v>32433.1</v>
      </c>
      <c r="G92" s="13">
        <v>36040.5</v>
      </c>
      <c r="H92" s="13">
        <v>48053.4</v>
      </c>
      <c r="I92" s="1">
        <f>SUM(I83:I91)</f>
        <v>37071.300000000003</v>
      </c>
    </row>
    <row r="93" spans="4:10" x14ac:dyDescent="0.25">
      <c r="D93" s="68" t="s">
        <v>80</v>
      </c>
      <c r="E93" s="74">
        <v>26362.400000000001</v>
      </c>
      <c r="F93" s="74">
        <v>36343.599999999999</v>
      </c>
      <c r="G93" s="74">
        <v>39612.5</v>
      </c>
      <c r="H93" s="74">
        <v>52218.6</v>
      </c>
      <c r="I93" s="69">
        <f>I92+I80</f>
        <v>43216.3</v>
      </c>
    </row>
    <row r="94" spans="4:10" x14ac:dyDescent="0.25">
      <c r="D94" s="68" t="s">
        <v>81</v>
      </c>
      <c r="E94" s="74">
        <v>82081.899999999994</v>
      </c>
      <c r="F94" s="74">
        <v>99433.3</v>
      </c>
      <c r="G94" s="74">
        <v>115192.6</v>
      </c>
      <c r="H94" s="74">
        <v>140691.9</v>
      </c>
      <c r="I94" s="69">
        <v>137566.29999999999</v>
      </c>
    </row>
    <row r="95" spans="4:10" x14ac:dyDescent="0.25">
      <c r="E95" s="13">
        <f>E93+E70</f>
        <v>82081.899999999994</v>
      </c>
      <c r="F95" s="13">
        <f>F93+F70</f>
        <v>99433.299999999988</v>
      </c>
      <c r="G95" s="13">
        <f>G93+G70</f>
        <v>115192.6</v>
      </c>
      <c r="H95" s="13">
        <f>H93+H70</f>
        <v>140691.9</v>
      </c>
      <c r="I95" s="1">
        <f>I93+I70</f>
        <v>137566.29999999999</v>
      </c>
      <c r="J95" s="1"/>
    </row>
    <row r="97" spans="1:10" x14ac:dyDescent="0.25">
      <c r="D97" t="s">
        <v>197</v>
      </c>
      <c r="E97" t="b">
        <f>E94=E63</f>
        <v>1</v>
      </c>
      <c r="F97" t="b">
        <f>F94=F63</f>
        <v>1</v>
      </c>
      <c r="G97" t="b">
        <f>G94=G63</f>
        <v>1</v>
      </c>
      <c r="H97" t="b">
        <f>H94=H63</f>
        <v>1</v>
      </c>
      <c r="I97" t="b">
        <f>I94=I63</f>
        <v>1</v>
      </c>
    </row>
    <row r="99" spans="1:10" ht="15.75" x14ac:dyDescent="0.25">
      <c r="A99" s="5" t="s">
        <v>86</v>
      </c>
      <c r="B99" s="5"/>
      <c r="C99" s="5"/>
      <c r="D99" s="5"/>
      <c r="E99" s="5">
        <v>2019</v>
      </c>
      <c r="F99" s="5">
        <f>E99+1</f>
        <v>2020</v>
      </c>
      <c r="G99" s="5">
        <f>F99+1</f>
        <v>2021</v>
      </c>
      <c r="H99" s="5">
        <f>G99+1</f>
        <v>2022</v>
      </c>
      <c r="I99" s="5">
        <f>H99+1</f>
        <v>2023</v>
      </c>
    </row>
    <row r="101" spans="1:10" x14ac:dyDescent="0.25">
      <c r="D101" s="10" t="s">
        <v>133</v>
      </c>
    </row>
    <row r="102" spans="1:10" x14ac:dyDescent="0.25">
      <c r="D102" t="s">
        <v>87</v>
      </c>
      <c r="E102" s="1">
        <v>9546.6</v>
      </c>
      <c r="F102" s="1">
        <v>12597.9</v>
      </c>
      <c r="G102" s="1">
        <v>18421</v>
      </c>
      <c r="H102" s="1">
        <v>18442.8</v>
      </c>
      <c r="I102" s="1">
        <v>13047.7</v>
      </c>
    </row>
    <row r="103" spans="1:10" x14ac:dyDescent="0.25">
      <c r="D103" s="10" t="s">
        <v>88</v>
      </c>
    </row>
    <row r="104" spans="1:10" x14ac:dyDescent="0.25">
      <c r="D104" t="s">
        <v>89</v>
      </c>
      <c r="E104" s="1">
        <v>1931.8</v>
      </c>
      <c r="F104" s="1">
        <v>2527.6</v>
      </c>
      <c r="G104" s="1">
        <v>2745.8</v>
      </c>
      <c r="H104" s="1">
        <v>3039.6</v>
      </c>
      <c r="I104" s="1">
        <v>3104.2</v>
      </c>
    </row>
    <row r="105" spans="1:10" x14ac:dyDescent="0.25">
      <c r="D105" t="s">
        <v>130</v>
      </c>
      <c r="E105" s="1"/>
      <c r="F105" s="1"/>
      <c r="G105" s="1"/>
      <c r="H105">
        <v>-160.1</v>
      </c>
      <c r="I105">
        <v>-17.5</v>
      </c>
    </row>
    <row r="106" spans="1:10" x14ac:dyDescent="0.25">
      <c r="D106" t="s">
        <v>90</v>
      </c>
      <c r="E106">
        <v>-73.3</v>
      </c>
      <c r="F106">
        <v>-0.8</v>
      </c>
      <c r="G106">
        <v>-102.6</v>
      </c>
      <c r="H106">
        <v>-33.799999999999997</v>
      </c>
      <c r="I106">
        <v>-21.6</v>
      </c>
      <c r="J106" s="1"/>
    </row>
    <row r="107" spans="1:10" x14ac:dyDescent="0.25">
      <c r="D107" t="s">
        <v>91</v>
      </c>
      <c r="E107">
        <v>45.5</v>
      </c>
      <c r="F107">
        <v>172.2</v>
      </c>
      <c r="G107">
        <v>-266.89999999999998</v>
      </c>
      <c r="H107">
        <v>69</v>
      </c>
      <c r="I107">
        <v>-287</v>
      </c>
    </row>
    <row r="108" spans="1:10" x14ac:dyDescent="0.25">
      <c r="D108" t="s">
        <v>92</v>
      </c>
      <c r="E108">
        <v>54.8</v>
      </c>
      <c r="F108">
        <v>-12.6</v>
      </c>
      <c r="G108">
        <v>-37</v>
      </c>
      <c r="H108">
        <v>14.3</v>
      </c>
      <c r="I108">
        <v>123.6</v>
      </c>
    </row>
    <row r="109" spans="1:10" x14ac:dyDescent="0.25">
      <c r="D109" t="s">
        <v>93</v>
      </c>
      <c r="E109">
        <v>5.8</v>
      </c>
      <c r="F109">
        <v>1.5</v>
      </c>
      <c r="G109">
        <v>1.1000000000000001</v>
      </c>
      <c r="H109">
        <v>0</v>
      </c>
      <c r="I109">
        <v>0</v>
      </c>
    </row>
    <row r="110" spans="1:10" x14ac:dyDescent="0.25">
      <c r="D110" t="s">
        <v>131</v>
      </c>
      <c r="E110">
        <v>0</v>
      </c>
      <c r="F110">
        <v>0</v>
      </c>
      <c r="G110">
        <v>-114.9</v>
      </c>
      <c r="H110">
        <v>0</v>
      </c>
      <c r="I110">
        <v>0</v>
      </c>
    </row>
    <row r="111" spans="1:10" x14ac:dyDescent="0.25">
      <c r="D111" t="s">
        <v>94</v>
      </c>
      <c r="E111">
        <v>-113.8</v>
      </c>
      <c r="F111">
        <v>-275.39999999999998</v>
      </c>
      <c r="G111">
        <v>9.6999999999999993</v>
      </c>
      <c r="H111">
        <v>-177</v>
      </c>
      <c r="I111">
        <v>-118.8</v>
      </c>
    </row>
    <row r="112" spans="1:10" x14ac:dyDescent="0.25">
      <c r="D112" t="s">
        <v>95</v>
      </c>
      <c r="E112">
        <v>-1.2</v>
      </c>
      <c r="F112">
        <v>-1.1000000000000001</v>
      </c>
      <c r="G112">
        <v>-0.2</v>
      </c>
      <c r="H112">
        <v>-1.9</v>
      </c>
      <c r="I112">
        <v>-1.9</v>
      </c>
    </row>
    <row r="113" spans="4:10" x14ac:dyDescent="0.25">
      <c r="D113" t="s">
        <v>132</v>
      </c>
      <c r="E113">
        <v>0</v>
      </c>
      <c r="F113">
        <v>0</v>
      </c>
      <c r="G113">
        <v>-351</v>
      </c>
      <c r="H113">
        <v>0</v>
      </c>
      <c r="I113">
        <v>0</v>
      </c>
    </row>
    <row r="114" spans="4:10" x14ac:dyDescent="0.25">
      <c r="D114" t="s">
        <v>96</v>
      </c>
      <c r="E114">
        <v>0</v>
      </c>
      <c r="F114">
        <v>32.700000000000003</v>
      </c>
      <c r="G114">
        <v>0</v>
      </c>
      <c r="H114">
        <v>11.2</v>
      </c>
      <c r="I114" s="1">
        <v>1051.5</v>
      </c>
    </row>
    <row r="115" spans="4:10" x14ac:dyDescent="0.25">
      <c r="D115" t="s">
        <v>97</v>
      </c>
      <c r="E115">
        <v>-412.8</v>
      </c>
      <c r="F115">
        <v>-631.20000000000005</v>
      </c>
      <c r="G115">
        <v>-901.2</v>
      </c>
      <c r="H115" s="1">
        <v>-1226.8</v>
      </c>
      <c r="I115" s="1">
        <v>-1711.4</v>
      </c>
    </row>
    <row r="116" spans="4:10" x14ac:dyDescent="0.25">
      <c r="D116" t="s">
        <v>98</v>
      </c>
      <c r="E116">
        <v>546.29999999999995</v>
      </c>
      <c r="F116">
        <v>650.6</v>
      </c>
      <c r="G116">
        <v>589.20000000000005</v>
      </c>
      <c r="H116">
        <v>523.70000000000005</v>
      </c>
      <c r="I116" s="1">
        <v>1073.5999999999999</v>
      </c>
    </row>
    <row r="117" spans="4:10" x14ac:dyDescent="0.25">
      <c r="D117" t="s">
        <v>99</v>
      </c>
      <c r="E117">
        <v>185.9</v>
      </c>
      <c r="F117">
        <v>101.7</v>
      </c>
      <c r="G117">
        <v>82.8</v>
      </c>
      <c r="H117">
        <v>27.8</v>
      </c>
      <c r="I117">
        <v>48.8</v>
      </c>
    </row>
    <row r="118" spans="4:10" x14ac:dyDescent="0.25">
      <c r="D118" t="s">
        <v>100</v>
      </c>
      <c r="E118">
        <v>-5.3</v>
      </c>
      <c r="F118">
        <v>-6.5</v>
      </c>
      <c r="G118">
        <v>-8.4</v>
      </c>
      <c r="H118">
        <v>0</v>
      </c>
      <c r="I118" s="1">
        <v>0</v>
      </c>
    </row>
    <row r="119" spans="4:10" x14ac:dyDescent="0.25">
      <c r="D119" s="10" t="s">
        <v>101</v>
      </c>
      <c r="E119" s="11">
        <v>2163.6999999999998</v>
      </c>
      <c r="F119" s="11">
        <v>2558.6999999999998</v>
      </c>
      <c r="G119" s="11">
        <v>1646.4</v>
      </c>
      <c r="H119" s="11">
        <v>2086</v>
      </c>
      <c r="I119" s="11">
        <v>3243.5</v>
      </c>
      <c r="J119" s="1"/>
    </row>
    <row r="120" spans="4:10" x14ac:dyDescent="0.25">
      <c r="D120" s="10" t="s">
        <v>102</v>
      </c>
      <c r="E120" s="11">
        <v>11710.3</v>
      </c>
      <c r="F120" s="11">
        <v>15156.6</v>
      </c>
      <c r="G120" s="11">
        <v>20067.400000000001</v>
      </c>
      <c r="H120" s="11">
        <v>20528.8</v>
      </c>
      <c r="I120" s="11">
        <v>16291.2</v>
      </c>
    </row>
    <row r="121" spans="4:10" x14ac:dyDescent="0.25">
      <c r="D121" t="s">
        <v>103</v>
      </c>
    </row>
    <row r="122" spans="4:10" x14ac:dyDescent="0.25">
      <c r="D122" t="s">
        <v>104</v>
      </c>
      <c r="E122" s="1">
        <v>-1558.5</v>
      </c>
      <c r="F122" s="1">
        <v>-2574.4</v>
      </c>
      <c r="G122">
        <v>-257.60000000000002</v>
      </c>
      <c r="H122" s="1">
        <v>-2217.5</v>
      </c>
      <c r="I122" s="1">
        <v>-1347.1</v>
      </c>
    </row>
    <row r="123" spans="4:10" x14ac:dyDescent="0.25">
      <c r="D123" t="s">
        <v>105</v>
      </c>
      <c r="E123">
        <v>156.80000000000001</v>
      </c>
      <c r="F123" s="1">
        <v>-1538</v>
      </c>
      <c r="G123">
        <v>-926.5</v>
      </c>
      <c r="H123">
        <v>-435.8</v>
      </c>
      <c r="I123">
        <v>-770.1</v>
      </c>
    </row>
    <row r="124" spans="4:10" x14ac:dyDescent="0.25">
      <c r="D124" t="s">
        <v>106</v>
      </c>
      <c r="E124">
        <v>-373</v>
      </c>
      <c r="F124" s="1">
        <v>-2817.4</v>
      </c>
      <c r="G124" s="1">
        <v>-4977</v>
      </c>
      <c r="H124" s="1">
        <v>-6731.4</v>
      </c>
      <c r="I124" s="1">
        <v>4734.1000000000004</v>
      </c>
    </row>
    <row r="125" spans="4:10" x14ac:dyDescent="0.25">
      <c r="D125" t="s">
        <v>107</v>
      </c>
      <c r="E125">
        <v>-109.5</v>
      </c>
      <c r="F125">
        <v>-37.4</v>
      </c>
      <c r="G125" s="1">
        <v>2124.1999999999998</v>
      </c>
      <c r="H125" s="1">
        <v>3344.9</v>
      </c>
      <c r="I125">
        <v>145.1</v>
      </c>
    </row>
    <row r="126" spans="4:10" x14ac:dyDescent="0.25">
      <c r="D126" t="s">
        <v>108</v>
      </c>
      <c r="E126">
        <v>481.5</v>
      </c>
      <c r="F126">
        <v>495.2</v>
      </c>
      <c r="G126">
        <v>625.29999999999995</v>
      </c>
      <c r="H126">
        <v>590.20000000000005</v>
      </c>
      <c r="I126">
        <v>505.7</v>
      </c>
    </row>
    <row r="127" spans="4:10" x14ac:dyDescent="0.25">
      <c r="D127" s="10" t="s">
        <v>109</v>
      </c>
      <c r="E127" s="11">
        <v>-1402.7</v>
      </c>
      <c r="F127" s="11">
        <v>-6472</v>
      </c>
      <c r="G127" s="10">
        <f>SUM(G122:G126)</f>
        <v>-3411.6000000000004</v>
      </c>
      <c r="H127" s="10">
        <f>SUM(H122:H126)</f>
        <v>-5449.6000000000013</v>
      </c>
      <c r="I127" s="11">
        <v>3267.7</v>
      </c>
    </row>
    <row r="128" spans="4:10" x14ac:dyDescent="0.25">
      <c r="D128" s="54" t="s">
        <v>110</v>
      </c>
      <c r="E128" s="58">
        <v>10307.6</v>
      </c>
      <c r="F128" s="58">
        <v>8684.6</v>
      </c>
      <c r="G128" s="58">
        <v>16655.8</v>
      </c>
      <c r="H128" s="58">
        <v>15079.2</v>
      </c>
      <c r="I128" s="58">
        <v>19558.900000000001</v>
      </c>
    </row>
    <row r="129" spans="1:11" x14ac:dyDescent="0.25">
      <c r="D129" t="s">
        <v>111</v>
      </c>
      <c r="E129" s="1">
        <v>-2511.1</v>
      </c>
      <c r="F129" s="1">
        <v>-2833.8</v>
      </c>
      <c r="G129" s="1">
        <v>-4006.8</v>
      </c>
      <c r="H129" s="1">
        <v>-3969</v>
      </c>
      <c r="I129" s="1">
        <v>-2733.9</v>
      </c>
      <c r="K129" s="1">
        <f>E102+E129</f>
        <v>7035.5</v>
      </c>
    </row>
    <row r="130" spans="1:11" x14ac:dyDescent="0.25">
      <c r="A130" s="67"/>
      <c r="B130" s="67"/>
      <c r="C130" s="67"/>
      <c r="D130" s="68" t="s">
        <v>112</v>
      </c>
      <c r="E130" s="69">
        <v>7796.5</v>
      </c>
      <c r="F130" s="69">
        <f>SUM(F128:F129)</f>
        <v>5850.8</v>
      </c>
      <c r="G130" s="69">
        <v>12649</v>
      </c>
      <c r="H130" s="69">
        <v>11110.2</v>
      </c>
      <c r="I130" s="69">
        <v>16825</v>
      </c>
    </row>
    <row r="131" spans="1:11" x14ac:dyDescent="0.25">
      <c r="D131" s="10" t="s">
        <v>134</v>
      </c>
    </row>
    <row r="132" spans="1:11" x14ac:dyDescent="0.25">
      <c r="D132" t="s">
        <v>113</v>
      </c>
      <c r="E132" s="1">
        <v>-5291.6</v>
      </c>
      <c r="F132" s="1">
        <v>-3630.9</v>
      </c>
      <c r="G132" s="1">
        <v>-1949.1</v>
      </c>
      <c r="H132" s="1">
        <v>-3388.8</v>
      </c>
      <c r="I132" s="1">
        <v>-2329.1</v>
      </c>
    </row>
    <row r="133" spans="1:11" x14ac:dyDescent="0.25">
      <c r="D133" t="s">
        <v>114</v>
      </c>
      <c r="E133">
        <v>22.3</v>
      </c>
      <c r="F133">
        <v>154.5</v>
      </c>
      <c r="G133">
        <v>104.6</v>
      </c>
      <c r="H133">
        <v>109</v>
      </c>
      <c r="I133">
        <v>32</v>
      </c>
    </row>
    <row r="134" spans="1:11" x14ac:dyDescent="0.25">
      <c r="D134" t="s">
        <v>115</v>
      </c>
      <c r="E134" s="1">
        <v>1244.8</v>
      </c>
      <c r="F134">
        <v>482.7</v>
      </c>
      <c r="G134">
        <v>-348.3</v>
      </c>
      <c r="H134">
        <v>-409.3</v>
      </c>
      <c r="I134" s="1">
        <v>-2175.3000000000002</v>
      </c>
    </row>
    <row r="135" spans="1:11" x14ac:dyDescent="0.25">
      <c r="D135" t="s">
        <v>132</v>
      </c>
      <c r="E135" s="1">
        <v>0</v>
      </c>
      <c r="F135">
        <v>0</v>
      </c>
      <c r="G135">
        <v>351</v>
      </c>
      <c r="H135">
        <v>0</v>
      </c>
      <c r="I135">
        <v>0</v>
      </c>
    </row>
    <row r="136" spans="1:11" x14ac:dyDescent="0.25">
      <c r="D136" t="s">
        <v>116</v>
      </c>
      <c r="E136">
        <v>-10.1</v>
      </c>
      <c r="F136">
        <v>-25.2</v>
      </c>
      <c r="G136">
        <v>0</v>
      </c>
      <c r="H136">
        <v>0</v>
      </c>
      <c r="I136" s="1">
        <v>0</v>
      </c>
    </row>
    <row r="137" spans="1:11" x14ac:dyDescent="0.25">
      <c r="D137" t="s">
        <v>129</v>
      </c>
      <c r="E137">
        <v>427.5</v>
      </c>
      <c r="F137" s="1">
        <v>-4911.3999999999996</v>
      </c>
      <c r="G137" s="1">
        <v>-8937.9</v>
      </c>
      <c r="H137" s="1">
        <v>-11641.8</v>
      </c>
      <c r="I137" s="1">
        <v>4129.8</v>
      </c>
    </row>
    <row r="138" spans="1:11" x14ac:dyDescent="0.25">
      <c r="D138" t="s">
        <v>117</v>
      </c>
      <c r="E138">
        <v>1.2</v>
      </c>
      <c r="F138">
        <v>1.1000000000000001</v>
      </c>
      <c r="G138">
        <v>0.2</v>
      </c>
      <c r="H138">
        <v>1.9</v>
      </c>
      <c r="I138">
        <v>1.9</v>
      </c>
    </row>
    <row r="139" spans="1:11" x14ac:dyDescent="0.25">
      <c r="D139" t="s">
        <v>118</v>
      </c>
      <c r="E139">
        <v>436.7</v>
      </c>
      <c r="F139">
        <v>509.2</v>
      </c>
      <c r="G139">
        <v>785.7</v>
      </c>
      <c r="H139">
        <v>977.7</v>
      </c>
      <c r="I139" s="1">
        <v>1469.1</v>
      </c>
    </row>
    <row r="140" spans="1:11" x14ac:dyDescent="0.25">
      <c r="D140" t="s">
        <v>119</v>
      </c>
      <c r="E140">
        <v>5.3</v>
      </c>
      <c r="F140">
        <v>6.5</v>
      </c>
      <c r="G140">
        <v>8.4</v>
      </c>
      <c r="H140">
        <v>0</v>
      </c>
      <c r="I140" s="1">
        <v>0</v>
      </c>
    </row>
    <row r="141" spans="1:11" x14ac:dyDescent="0.25">
      <c r="C141" s="67"/>
      <c r="D141" s="68" t="s">
        <v>120</v>
      </c>
      <c r="E141" s="69">
        <f>SUM(E132:E140)</f>
        <v>-3163.9</v>
      </c>
      <c r="F141" s="69">
        <f>SUM(F132:F140)</f>
        <v>-7413.4999999999991</v>
      </c>
      <c r="G141" s="69">
        <v>-9985.4</v>
      </c>
      <c r="H141" s="69">
        <v>-14351.3</v>
      </c>
      <c r="I141" s="69">
        <v>1128.4000000000001</v>
      </c>
    </row>
    <row r="142" spans="1:11" x14ac:dyDescent="0.25">
      <c r="D142" s="10" t="s">
        <v>135</v>
      </c>
    </row>
    <row r="143" spans="1:11" x14ac:dyDescent="0.25">
      <c r="D143" t="s">
        <v>121</v>
      </c>
      <c r="E143">
        <v>-70.599999999999994</v>
      </c>
      <c r="F143" s="1">
        <v>-1810.5</v>
      </c>
      <c r="G143">
        <v>-387.4</v>
      </c>
      <c r="H143">
        <v>-192.9</v>
      </c>
      <c r="I143">
        <v>-95</v>
      </c>
    </row>
    <row r="144" spans="1:11" x14ac:dyDescent="0.25">
      <c r="D144" t="s">
        <v>122</v>
      </c>
      <c r="E144">
        <v>-986.7</v>
      </c>
      <c r="F144" s="1">
        <v>7841.2</v>
      </c>
      <c r="G144" s="1">
        <v>1784.2</v>
      </c>
      <c r="H144" s="1">
        <v>8820.7000000000007</v>
      </c>
      <c r="I144" s="1">
        <v>-12689.8</v>
      </c>
    </row>
    <row r="145" spans="1:13" x14ac:dyDescent="0.25">
      <c r="D145" t="s">
        <v>138</v>
      </c>
      <c r="E145">
        <v>0</v>
      </c>
      <c r="F145" s="1">
        <v>0</v>
      </c>
      <c r="G145" s="1">
        <v>0</v>
      </c>
      <c r="H145" s="1">
        <v>0</v>
      </c>
      <c r="I145" s="1">
        <v>1614.8</v>
      </c>
    </row>
    <row r="146" spans="1:13" x14ac:dyDescent="0.25">
      <c r="D146" t="s">
        <v>123</v>
      </c>
      <c r="E146" s="1">
        <v>-2185.8000000000002</v>
      </c>
      <c r="F146" s="1">
        <v>-4395.6000000000004</v>
      </c>
      <c r="G146" s="1">
        <v>-3347.8</v>
      </c>
      <c r="H146" s="1">
        <v>-4219.1000000000004</v>
      </c>
      <c r="I146" s="1">
        <v>-5295.2</v>
      </c>
    </row>
    <row r="147" spans="1:13" x14ac:dyDescent="0.25">
      <c r="D147" t="s">
        <v>124</v>
      </c>
      <c r="E147">
        <v>0</v>
      </c>
      <c r="F147">
        <v>-193</v>
      </c>
      <c r="G147">
        <v>-230.3</v>
      </c>
      <c r="H147">
        <v>-211.7</v>
      </c>
      <c r="I147">
        <v>-238.4</v>
      </c>
    </row>
    <row r="148" spans="1:13" x14ac:dyDescent="0.25">
      <c r="D148" t="s">
        <v>125</v>
      </c>
      <c r="E148">
        <v>-546.29999999999995</v>
      </c>
      <c r="F148">
        <v>-650.6</v>
      </c>
      <c r="G148">
        <v>-536.20000000000005</v>
      </c>
      <c r="H148">
        <v>-401.3</v>
      </c>
      <c r="I148">
        <v>-904.6</v>
      </c>
    </row>
    <row r="149" spans="1:13" x14ac:dyDescent="0.25">
      <c r="D149" s="68" t="s">
        <v>126</v>
      </c>
      <c r="E149" s="69">
        <v>-3789.4</v>
      </c>
      <c r="F149" s="68">
        <v>791.5</v>
      </c>
      <c r="G149" s="69">
        <v>-2717.5</v>
      </c>
      <c r="H149" s="69">
        <v>3795.7</v>
      </c>
      <c r="I149" s="69">
        <v>-17608.2</v>
      </c>
    </row>
    <row r="150" spans="1:13" x14ac:dyDescent="0.25">
      <c r="D150" s="10" t="s">
        <v>136</v>
      </c>
      <c r="E150" s="10">
        <v>843.2</v>
      </c>
      <c r="F150" s="10">
        <v>-771.2</v>
      </c>
      <c r="G150" s="10">
        <v>-53.9</v>
      </c>
      <c r="H150" s="10">
        <v>554.6</v>
      </c>
      <c r="I150" s="10">
        <v>345.2</v>
      </c>
    </row>
    <row r="151" spans="1:13" x14ac:dyDescent="0.25">
      <c r="D151" s="10" t="s">
        <v>137</v>
      </c>
      <c r="E151" s="11">
        <v>1667.1</v>
      </c>
      <c r="F151" s="11">
        <v>2490.5</v>
      </c>
      <c r="G151" s="11">
        <v>1759.4</v>
      </c>
      <c r="H151" s="11">
        <v>1742.2</v>
      </c>
      <c r="I151" s="11">
        <v>2321.8000000000002</v>
      </c>
    </row>
    <row r="152" spans="1:13" x14ac:dyDescent="0.25">
      <c r="C152" s="10"/>
      <c r="D152" t="s">
        <v>127</v>
      </c>
      <c r="E152">
        <v>-19.8</v>
      </c>
      <c r="F152">
        <v>40.1</v>
      </c>
      <c r="G152">
        <v>36.700000000000003</v>
      </c>
      <c r="H152">
        <v>25</v>
      </c>
      <c r="I152">
        <v>71</v>
      </c>
    </row>
    <row r="153" spans="1:13" x14ac:dyDescent="0.25">
      <c r="D153" s="10" t="s">
        <v>128</v>
      </c>
      <c r="E153" s="11">
        <v>2490.5</v>
      </c>
      <c r="F153" s="11">
        <v>1759.4</v>
      </c>
      <c r="G153" s="11">
        <v>1742.2</v>
      </c>
      <c r="H153" s="11">
        <v>2321.8000000000002</v>
      </c>
      <c r="I153" s="11">
        <v>2738</v>
      </c>
    </row>
    <row r="155" spans="1:13" ht="15.75" x14ac:dyDescent="0.25">
      <c r="A155" s="5" t="s">
        <v>139</v>
      </c>
      <c r="B155" s="5"/>
      <c r="C155" s="5"/>
      <c r="D155" s="5"/>
      <c r="E155" s="5">
        <v>2019</v>
      </c>
      <c r="F155" s="5">
        <f>E155+1</f>
        <v>2020</v>
      </c>
      <c r="G155" s="5">
        <f>F155+1</f>
        <v>2021</v>
      </c>
      <c r="H155" s="5">
        <f>G155+1</f>
        <v>2022</v>
      </c>
      <c r="I155" s="5">
        <f>H155+1</f>
        <v>2023</v>
      </c>
    </row>
    <row r="156" spans="1:13" x14ac:dyDescent="0.25">
      <c r="D156" t="s">
        <v>141</v>
      </c>
      <c r="E156" s="1">
        <v>49642.6</v>
      </c>
      <c r="F156" s="1">
        <v>56061.8</v>
      </c>
      <c r="G156" s="1">
        <v>58208.6</v>
      </c>
      <c r="H156" s="1">
        <v>75266.399999999994</v>
      </c>
      <c r="I156" s="1">
        <v>81599.7</v>
      </c>
    </row>
    <row r="157" spans="1:13" x14ac:dyDescent="0.25">
      <c r="D157" t="s">
        <v>142</v>
      </c>
      <c r="E157" s="1">
        <v>18979.2</v>
      </c>
      <c r="F157" s="1">
        <v>21999.5</v>
      </c>
      <c r="G157" s="1">
        <v>24665.5</v>
      </c>
      <c r="H157" s="1">
        <v>23290.7</v>
      </c>
      <c r="I157" s="1">
        <v>25133.5</v>
      </c>
    </row>
    <row r="158" spans="1:13" x14ac:dyDescent="0.25">
      <c r="D158" t="s">
        <v>140</v>
      </c>
      <c r="E158" s="1">
        <v>4950.1000000000004</v>
      </c>
      <c r="F158" s="1">
        <v>5382.3</v>
      </c>
      <c r="G158" s="1">
        <v>5776</v>
      </c>
      <c r="H158" s="1">
        <v>7784.8</v>
      </c>
      <c r="I158" s="1">
        <v>9259.4</v>
      </c>
    </row>
    <row r="159" spans="1:13" ht="15.75" thickBot="1" x14ac:dyDescent="0.3">
      <c r="A159" s="15"/>
      <c r="B159" s="15"/>
      <c r="C159" s="15"/>
      <c r="D159" s="16" t="s">
        <v>143</v>
      </c>
      <c r="E159" s="17">
        <v>73571.899999999994</v>
      </c>
      <c r="F159" s="17">
        <v>83443.600000000006</v>
      </c>
      <c r="G159" s="17">
        <v>88650.1</v>
      </c>
      <c r="H159" s="17">
        <v>106341.9</v>
      </c>
      <c r="I159" s="17">
        <v>115992.6</v>
      </c>
      <c r="J159" s="10"/>
    </row>
    <row r="160" spans="1:13" ht="15.75" thickTop="1" x14ac:dyDescent="0.25">
      <c r="M160">
        <v>10</v>
      </c>
    </row>
    <row r="162" spans="1:14" ht="15.75" x14ac:dyDescent="0.25">
      <c r="A162" s="5" t="s">
        <v>151</v>
      </c>
      <c r="B162" s="5"/>
      <c r="C162" s="5"/>
      <c r="D162" s="5"/>
      <c r="E162" s="18">
        <v>44834</v>
      </c>
      <c r="F162" s="18">
        <v>44926</v>
      </c>
      <c r="G162" s="18">
        <v>45016</v>
      </c>
      <c r="H162" s="18">
        <v>45107</v>
      </c>
      <c r="I162" s="18">
        <v>45199</v>
      </c>
      <c r="J162" s="18">
        <v>45291</v>
      </c>
      <c r="K162" s="18">
        <v>45382</v>
      </c>
      <c r="L162" s="18">
        <v>45473</v>
      </c>
      <c r="M162" s="18">
        <v>45565</v>
      </c>
      <c r="N162" s="18">
        <v>45657</v>
      </c>
    </row>
    <row r="163" spans="1:14" x14ac:dyDescent="0.25">
      <c r="D163" t="s">
        <v>144</v>
      </c>
      <c r="E163">
        <v>30793.699999999997</v>
      </c>
      <c r="F163">
        <v>30409.1</v>
      </c>
      <c r="G163">
        <v>29026</v>
      </c>
      <c r="H163">
        <v>29677.199999999997</v>
      </c>
      <c r="I163">
        <v>34401.699999999997</v>
      </c>
      <c r="J163">
        <v>33238.699999999997</v>
      </c>
      <c r="K163">
        <v>29358.2</v>
      </c>
      <c r="L163">
        <v>30318.2</v>
      </c>
      <c r="M163">
        <v>34146.699999999997</v>
      </c>
      <c r="N163">
        <v>33742.800000000003</v>
      </c>
    </row>
    <row r="164" spans="1:14" x14ac:dyDescent="0.25">
      <c r="D164" t="s">
        <v>145</v>
      </c>
      <c r="E164">
        <v>26254.6</v>
      </c>
      <c r="F164">
        <v>24418.600000000002</v>
      </c>
      <c r="G164">
        <v>25493.5</v>
      </c>
      <c r="H164">
        <v>25785.300000000003</v>
      </c>
      <c r="I164">
        <v>26934.400000000001</v>
      </c>
      <c r="J164">
        <v>26162.800000000003</v>
      </c>
      <c r="K164">
        <v>25338.400000000001</v>
      </c>
      <c r="L164">
        <v>24231.8</v>
      </c>
      <c r="M164">
        <v>26618.400000000001</v>
      </c>
      <c r="N164">
        <v>26148.899999999998</v>
      </c>
    </row>
    <row r="165" spans="1:14" x14ac:dyDescent="0.25">
      <c r="D165" t="s">
        <v>146</v>
      </c>
      <c r="E165">
        <v>4539.1000000000004</v>
      </c>
      <c r="F165">
        <v>5990.5</v>
      </c>
      <c r="G165">
        <v>3532.5</v>
      </c>
      <c r="H165">
        <v>3891.9</v>
      </c>
      <c r="I165">
        <v>7467.3</v>
      </c>
      <c r="J165">
        <v>7075.9000000000005</v>
      </c>
      <c r="K165">
        <v>4019.8</v>
      </c>
      <c r="L165">
        <v>6086.4</v>
      </c>
      <c r="M165">
        <v>7528.3</v>
      </c>
      <c r="N165">
        <v>7593.9</v>
      </c>
    </row>
    <row r="166" spans="1:14" x14ac:dyDescent="0.25">
      <c r="D166" t="s">
        <v>147</v>
      </c>
      <c r="E166">
        <v>506.70000000000005</v>
      </c>
      <c r="F166">
        <v>453.29999999999995</v>
      </c>
      <c r="G166">
        <v>-343.1</v>
      </c>
      <c r="H166">
        <v>658.40000000000009</v>
      </c>
      <c r="I166">
        <v>55.300000000000004</v>
      </c>
      <c r="J166">
        <v>423.29999999999995</v>
      </c>
      <c r="K166">
        <v>756.5</v>
      </c>
      <c r="L166">
        <v>1203.0999999999999</v>
      </c>
      <c r="M166">
        <v>1344.8</v>
      </c>
      <c r="N166">
        <v>929.9</v>
      </c>
    </row>
    <row r="167" spans="1:14" x14ac:dyDescent="0.25">
      <c r="D167" t="s">
        <v>148</v>
      </c>
      <c r="E167">
        <v>774</v>
      </c>
      <c r="F167">
        <v>784.4</v>
      </c>
      <c r="G167">
        <v>783.19999999999993</v>
      </c>
      <c r="H167">
        <v>724.09999999999991</v>
      </c>
      <c r="I167">
        <v>739</v>
      </c>
      <c r="J167">
        <v>695.6</v>
      </c>
      <c r="K167">
        <v>834.30000000000007</v>
      </c>
      <c r="L167">
        <v>804.80000000000007</v>
      </c>
      <c r="M167">
        <v>789.09999999999991</v>
      </c>
      <c r="N167">
        <v>852.8</v>
      </c>
    </row>
    <row r="168" spans="1:14" x14ac:dyDescent="0.25">
      <c r="D168" t="s">
        <v>18</v>
      </c>
      <c r="E168">
        <v>248.5</v>
      </c>
      <c r="F168">
        <v>270.5</v>
      </c>
      <c r="G168">
        <v>289.60000000000002</v>
      </c>
      <c r="H168">
        <v>297.7</v>
      </c>
      <c r="I168">
        <v>303.2</v>
      </c>
      <c r="J168">
        <v>254.60000000000002</v>
      </c>
      <c r="K168">
        <v>268.60000000000002</v>
      </c>
      <c r="L168">
        <v>291.10000000000002</v>
      </c>
      <c r="M168">
        <v>281.39999999999998</v>
      </c>
      <c r="N168">
        <v>360.3</v>
      </c>
    </row>
    <row r="169" spans="1:14" x14ac:dyDescent="0.25">
      <c r="D169" t="s">
        <v>87</v>
      </c>
      <c r="E169">
        <v>4023.2999999999997</v>
      </c>
      <c r="F169">
        <v>5388.9</v>
      </c>
      <c r="G169">
        <v>2116.6</v>
      </c>
      <c r="H169">
        <v>3528.5</v>
      </c>
      <c r="I169">
        <v>6480.4</v>
      </c>
      <c r="J169">
        <v>6549</v>
      </c>
      <c r="K169">
        <v>3673.3999999999996</v>
      </c>
      <c r="L169">
        <v>6193.6</v>
      </c>
      <c r="M169">
        <v>7802.6</v>
      </c>
      <c r="N169">
        <v>7310.7000000000007</v>
      </c>
    </row>
    <row r="170" spans="1:14" x14ac:dyDescent="0.25">
      <c r="D170" t="s">
        <v>149</v>
      </c>
      <c r="E170">
        <v>546.1</v>
      </c>
      <c r="F170">
        <v>789.30000000000007</v>
      </c>
      <c r="G170">
        <v>1439.8</v>
      </c>
      <c r="H170">
        <v>650.40000000000009</v>
      </c>
      <c r="I170">
        <v>331.5</v>
      </c>
      <c r="J170">
        <v>506.2</v>
      </c>
      <c r="K170">
        <v>628.6</v>
      </c>
      <c r="L170">
        <v>691.2</v>
      </c>
      <c r="M170">
        <v>783</v>
      </c>
      <c r="N170">
        <v>902.8</v>
      </c>
    </row>
    <row r="171" spans="1:14" x14ac:dyDescent="0.25">
      <c r="D171" t="s">
        <v>150</v>
      </c>
      <c r="E171">
        <v>3308.3999999999996</v>
      </c>
      <c r="F171">
        <v>4547.0999999999995</v>
      </c>
      <c r="G171">
        <v>709.80000000000007</v>
      </c>
      <c r="H171">
        <v>2867.3</v>
      </c>
      <c r="I171">
        <v>6205.2</v>
      </c>
      <c r="J171">
        <v>5949.6</v>
      </c>
      <c r="K171">
        <v>2935.6</v>
      </c>
      <c r="L171">
        <v>5451.5999999999995</v>
      </c>
      <c r="M171">
        <v>6886.4</v>
      </c>
      <c r="N171">
        <v>6258.2000000000007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89"/>
  <sheetViews>
    <sheetView showGridLines="0" zoomScale="80" zoomScaleNormal="80" workbookViewId="0">
      <pane xSplit="6" ySplit="3" topLeftCell="G147" activePane="bottomRight" state="frozen"/>
      <selection pane="topRight" activeCell="G1" sqref="G1"/>
      <selection pane="bottomLeft" activeCell="A4" sqref="A4"/>
      <selection pane="bottomRight" activeCell="K170" sqref="K170"/>
    </sheetView>
  </sheetViews>
  <sheetFormatPr defaultRowHeight="15" outlineLevelRow="1" x14ac:dyDescent="0.25"/>
  <cols>
    <col min="1" max="2" width="1.28515625" customWidth="1"/>
    <col min="3" max="3" width="1" customWidth="1"/>
    <col min="4" max="4" width="82.140625" bestFit="1" customWidth="1"/>
    <col min="5" max="5" width="11.28515625" bestFit="1" customWidth="1"/>
    <col min="6" max="6" width="10.42578125" customWidth="1"/>
    <col min="7" max="7" width="5.5703125" bestFit="1" customWidth="1"/>
    <col min="8" max="8" width="12" bestFit="1" customWidth="1"/>
    <col min="9" max="9" width="22.28515625" customWidth="1"/>
    <col min="10" max="10" width="13" bestFit="1" customWidth="1"/>
    <col min="11" max="11" width="11.28515625" bestFit="1" customWidth="1"/>
    <col min="12" max="12" width="20.28515625" bestFit="1" customWidth="1"/>
    <col min="13" max="14" width="13" bestFit="1" customWidth="1"/>
    <col min="15" max="15" width="8.7109375" bestFit="1" customWidth="1"/>
    <col min="16" max="16" width="14.85546875" bestFit="1" customWidth="1"/>
    <col min="17" max="17" width="13" bestFit="1" customWidth="1"/>
  </cols>
  <sheetData>
    <row r="1" spans="1:17" ht="36" customHeight="1" x14ac:dyDescent="0.4">
      <c r="A1" s="2" t="s">
        <v>0</v>
      </c>
      <c r="B1" s="2"/>
      <c r="C1" s="2"/>
      <c r="D1" s="2"/>
      <c r="E1" s="2"/>
      <c r="F1" s="2"/>
      <c r="G1" s="2"/>
      <c r="H1" s="301" t="s">
        <v>153</v>
      </c>
      <c r="I1" s="301"/>
      <c r="J1" s="301"/>
      <c r="K1" s="301"/>
      <c r="L1" s="302"/>
      <c r="M1" s="303" t="s">
        <v>154</v>
      </c>
      <c r="N1" s="304"/>
      <c r="O1" s="304"/>
      <c r="P1" s="304"/>
      <c r="Q1" s="304"/>
    </row>
    <row r="2" spans="1:17" ht="15.75" x14ac:dyDescent="0.25">
      <c r="A2" s="3" t="s">
        <v>152</v>
      </c>
      <c r="B2" s="3"/>
      <c r="C2" s="3"/>
      <c r="D2" s="3"/>
      <c r="E2" s="3"/>
      <c r="F2" s="3"/>
      <c r="G2" s="3"/>
      <c r="H2" s="20">
        <f>historical!E4</f>
        <v>2019</v>
      </c>
      <c r="I2" s="20">
        <f>historical!F4</f>
        <v>2020</v>
      </c>
      <c r="J2" s="20">
        <f>historical!G4</f>
        <v>2021</v>
      </c>
      <c r="K2" s="20">
        <f>historical!H4</f>
        <v>2022</v>
      </c>
      <c r="L2" s="20">
        <f>historical!I4</f>
        <v>2023</v>
      </c>
      <c r="M2" s="22">
        <f>L2+1</f>
        <v>2024</v>
      </c>
      <c r="N2" s="21">
        <f>M2+1</f>
        <v>2025</v>
      </c>
      <c r="O2" s="21">
        <f>N2+1</f>
        <v>2026</v>
      </c>
      <c r="P2" s="21">
        <f>O2+1</f>
        <v>2027</v>
      </c>
      <c r="Q2" s="21">
        <f>P2+1</f>
        <v>2028</v>
      </c>
    </row>
    <row r="3" spans="1:17" s="51" customFormat="1" ht="15.75" x14ac:dyDescent="0.25">
      <c r="A3" s="4"/>
      <c r="B3" s="4"/>
      <c r="C3" s="4"/>
      <c r="D3" s="64" t="s">
        <v>198</v>
      </c>
      <c r="E3" s="4"/>
      <c r="F3" s="4"/>
      <c r="G3" s="4"/>
      <c r="H3" s="66" t="str">
        <f>IF(H74&gt;1,"Error","OK")</f>
        <v>OK</v>
      </c>
      <c r="I3" s="66" t="str">
        <f>IF(I74&gt;1,"Error","OK")</f>
        <v>OK</v>
      </c>
      <c r="J3" s="66" t="str">
        <f>IF(J74&gt;1,"Error","OK")</f>
        <v>OK</v>
      </c>
      <c r="K3" s="66" t="str">
        <f>IF(K74&gt;1,"Error","OK")</f>
        <v>OK</v>
      </c>
      <c r="L3" s="66" t="str">
        <f>IF(L74&gt;1,"Error","OK")</f>
        <v>OK</v>
      </c>
      <c r="M3" s="62"/>
      <c r="N3" s="63"/>
      <c r="O3" s="63"/>
      <c r="P3" s="63"/>
      <c r="Q3" s="63"/>
    </row>
    <row r="4" spans="1:17" ht="14.25" customHeight="1" x14ac:dyDescent="0.25">
      <c r="A4" s="4"/>
      <c r="B4" s="4"/>
      <c r="C4" s="4"/>
      <c r="D4" s="4"/>
      <c r="E4" s="4"/>
      <c r="F4" s="4"/>
      <c r="G4" s="4"/>
      <c r="H4" s="65"/>
      <c r="I4" s="65"/>
      <c r="J4" s="65"/>
      <c r="K4" s="65"/>
      <c r="L4" s="65"/>
    </row>
    <row r="5" spans="1:17" ht="14.25" customHeight="1" x14ac:dyDescent="0.25">
      <c r="A5" s="23" t="s">
        <v>234</v>
      </c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</row>
    <row r="6" spans="1:17" ht="14.25" customHeight="1" x14ac:dyDescent="0.25">
      <c r="A6" s="4"/>
      <c r="B6" s="80"/>
      <c r="C6" s="80"/>
      <c r="D6" s="94" t="s">
        <v>257</v>
      </c>
      <c r="E6" s="94" t="s">
        <v>253</v>
      </c>
      <c r="F6" s="105" t="s">
        <v>237</v>
      </c>
      <c r="G6" s="293">
        <f>IF(E6=Scenarios!D5,1,IF(model!E6=Scenarios!D6,2,3))</f>
        <v>1</v>
      </c>
      <c r="H6" s="94"/>
      <c r="I6" s="94"/>
      <c r="J6" s="94"/>
      <c r="K6" s="94"/>
      <c r="L6" s="94"/>
      <c r="M6" s="106"/>
      <c r="N6" s="106"/>
      <c r="O6" s="106"/>
      <c r="P6" s="106"/>
      <c r="Q6" s="106"/>
    </row>
    <row r="7" spans="1:17" ht="14.25" customHeight="1" x14ac:dyDescent="0.25">
      <c r="A7" s="4"/>
      <c r="B7" s="80"/>
      <c r="C7" s="80"/>
      <c r="D7" s="111" t="s">
        <v>235</v>
      </c>
      <c r="E7" s="112"/>
      <c r="F7" s="111" t="s">
        <v>236</v>
      </c>
      <c r="G7" s="112"/>
      <c r="H7" s="111">
        <v>0</v>
      </c>
      <c r="I7" s="113">
        <f>I25/H25-1</f>
        <v>0.13417758682323022</v>
      </c>
      <c r="J7" s="113">
        <f>J25/I25-1</f>
        <v>6.2395438355967281E-2</v>
      </c>
      <c r="K7" s="113">
        <f>K25/J25-1</f>
        <v>0.19956886681458896</v>
      </c>
      <c r="L7" s="113">
        <f>L25/K25-1</f>
        <v>9.0751622831640288E-2</v>
      </c>
      <c r="M7" s="113">
        <f t="array" ref="M7:Q7">CHOOSE(G6,Scenarios!H5:L5,Scenarios!H6:L6,Scenarios!H7:L7)</f>
        <v>0.12172337870635669</v>
      </c>
      <c r="N7" s="113">
        <v>0.10346487190040318</v>
      </c>
      <c r="O7" s="107">
        <v>8.7945141115342698E-2</v>
      </c>
      <c r="P7" s="107">
        <v>7.4753369948041298E-2</v>
      </c>
      <c r="Q7" s="107">
        <v>6.3540364455835108E-2</v>
      </c>
    </row>
    <row r="8" spans="1:17" ht="14.25" customHeight="1" x14ac:dyDescent="0.25">
      <c r="A8" s="4"/>
      <c r="B8" s="80"/>
      <c r="C8" s="80"/>
      <c r="D8" s="111" t="s">
        <v>238</v>
      </c>
      <c r="E8" s="112"/>
      <c r="F8" s="111" t="s">
        <v>236</v>
      </c>
      <c r="G8" s="112"/>
      <c r="H8" s="114">
        <f>-H26/H25</f>
        <v>0.40028461953544775</v>
      </c>
      <c r="I8" s="114">
        <f>-I26/I25</f>
        <v>0.40086237890023918</v>
      </c>
      <c r="J8" s="114">
        <f>-J26/J25</f>
        <v>0.39463689268258012</v>
      </c>
      <c r="K8" s="114">
        <f>-K26/K25</f>
        <v>0.39309905126765649</v>
      </c>
      <c r="L8" s="114">
        <f>-L26/L25</f>
        <v>0.42303043470014462</v>
      </c>
      <c r="M8" s="81">
        <f>AVERAGE(H8:L8)</f>
        <v>0.40238267541721362</v>
      </c>
      <c r="N8" s="81">
        <f t="shared" ref="N8:Q18" si="0">M8</f>
        <v>0.40238267541721362</v>
      </c>
      <c r="O8" s="81">
        <f t="shared" si="0"/>
        <v>0.40238267541721362</v>
      </c>
      <c r="P8" s="81">
        <f t="shared" si="0"/>
        <v>0.40238267541721362</v>
      </c>
      <c r="Q8" s="81">
        <f t="shared" si="0"/>
        <v>0.40238267541721362</v>
      </c>
    </row>
    <row r="9" spans="1:17" ht="14.25" customHeight="1" x14ac:dyDescent="0.25">
      <c r="A9" s="4"/>
      <c r="B9" s="80"/>
      <c r="C9" s="80"/>
      <c r="D9" s="6" t="s">
        <v>239</v>
      </c>
      <c r="E9" s="112"/>
      <c r="F9" s="111" t="s">
        <v>236</v>
      </c>
      <c r="G9" s="112"/>
      <c r="H9" s="113">
        <f>-H29/H25</f>
        <v>0.18518755122539993</v>
      </c>
      <c r="I9" s="113">
        <f>-I29/I25</f>
        <v>0.180420068165803</v>
      </c>
      <c r="J9" s="113">
        <f>-J29/J25</f>
        <v>0.18285709773593034</v>
      </c>
      <c r="K9" s="113">
        <f>-K29/K25</f>
        <v>0.18456600831845207</v>
      </c>
      <c r="L9" s="113">
        <f>-L29/L25</f>
        <v>0.18374879087114177</v>
      </c>
      <c r="M9" s="81">
        <f t="shared" ref="M9:M15" si="1">AVERAGE(H9:L9)</f>
        <v>0.18335590326334544</v>
      </c>
      <c r="N9" s="81">
        <f t="shared" si="0"/>
        <v>0.18335590326334544</v>
      </c>
      <c r="O9" s="81">
        <f t="shared" si="0"/>
        <v>0.18335590326334544</v>
      </c>
      <c r="P9" s="81">
        <f t="shared" si="0"/>
        <v>0.18335590326334544</v>
      </c>
      <c r="Q9" s="81">
        <f t="shared" si="0"/>
        <v>0.18335590326334544</v>
      </c>
    </row>
    <row r="10" spans="1:17" ht="14.25" customHeight="1" x14ac:dyDescent="0.25">
      <c r="A10" s="4"/>
      <c r="B10" s="80"/>
      <c r="C10" s="80"/>
      <c r="D10" s="6" t="s">
        <v>240</v>
      </c>
      <c r="E10" s="112"/>
      <c r="F10" s="111" t="s">
        <v>236</v>
      </c>
      <c r="G10" s="112"/>
      <c r="H10" s="113">
        <f>-H30/H25</f>
        <v>0.26300666422914187</v>
      </c>
      <c r="I10" s="113">
        <f>-I30/I25</f>
        <v>0.24214439453714845</v>
      </c>
      <c r="J10" s="113">
        <f>-J30/J25</f>
        <v>0.20339852972529077</v>
      </c>
      <c r="K10" s="113">
        <f>-K30/K25</f>
        <v>0.22928591646378335</v>
      </c>
      <c r="L10" s="113">
        <f>-L30/L25</f>
        <v>0.25446623319073802</v>
      </c>
      <c r="M10" s="81">
        <f t="shared" si="1"/>
        <v>0.2384603476292205</v>
      </c>
      <c r="N10" s="81">
        <f t="shared" si="0"/>
        <v>0.2384603476292205</v>
      </c>
      <c r="O10" s="81">
        <f t="shared" si="0"/>
        <v>0.2384603476292205</v>
      </c>
      <c r="P10" s="81">
        <f t="shared" si="0"/>
        <v>0.2384603476292205</v>
      </c>
      <c r="Q10" s="81">
        <f t="shared" si="0"/>
        <v>0.2384603476292205</v>
      </c>
    </row>
    <row r="11" spans="1:17" ht="14.25" customHeight="1" x14ac:dyDescent="0.25">
      <c r="A11" s="4"/>
      <c r="B11" s="80"/>
      <c r="C11" s="80"/>
      <c r="D11" s="6" t="s">
        <v>241</v>
      </c>
      <c r="E11" s="112"/>
      <c r="F11" s="111" t="s">
        <v>236</v>
      </c>
      <c r="G11" s="112"/>
      <c r="H11" s="113">
        <v>0</v>
      </c>
      <c r="I11" s="113">
        <f>-I32/I114</f>
        <v>9.563953928349804E-2</v>
      </c>
      <c r="J11" s="113">
        <f>-J32/J114</f>
        <v>9.5588209696678528E-2</v>
      </c>
      <c r="K11" s="113">
        <f>-K32/K114</f>
        <v>0.10891227466703932</v>
      </c>
      <c r="L11" s="113">
        <f>-L32/L114</f>
        <v>0.10937522021619944</v>
      </c>
      <c r="M11" s="81">
        <f>AVERAGE(I11:L11)</f>
        <v>0.10237881096585384</v>
      </c>
      <c r="N11" s="81">
        <f t="shared" si="0"/>
        <v>0.10237881096585384</v>
      </c>
      <c r="O11" s="81">
        <f t="shared" si="0"/>
        <v>0.10237881096585384</v>
      </c>
      <c r="P11" s="81">
        <f t="shared" si="0"/>
        <v>0.10237881096585384</v>
      </c>
      <c r="Q11" s="81">
        <f t="shared" si="0"/>
        <v>0.10237881096585384</v>
      </c>
    </row>
    <row r="12" spans="1:17" ht="14.25" customHeight="1" x14ac:dyDescent="0.25">
      <c r="A12" s="4"/>
      <c r="B12" s="80"/>
      <c r="C12" s="80"/>
      <c r="D12" s="6" t="s">
        <v>242</v>
      </c>
      <c r="E12" s="112"/>
      <c r="F12" s="111" t="s">
        <v>236</v>
      </c>
      <c r="G12" s="112"/>
      <c r="H12" s="113">
        <v>0</v>
      </c>
      <c r="I12" s="113">
        <f>-I34/I120</f>
        <v>7.2083051730059716E-2</v>
      </c>
      <c r="J12" s="113">
        <f>-J34/J120</f>
        <v>3.5435272891294542E-2</v>
      </c>
      <c r="K12" s="113">
        <f>-K34/K120</f>
        <v>2.9224656525184436E-2</v>
      </c>
      <c r="L12" s="113">
        <f>-L34/L120</f>
        <v>4.0237014605406657E-2</v>
      </c>
      <c r="M12" s="110">
        <f>AVERAGE(I12:L12)</f>
        <v>4.4244998937986335E-2</v>
      </c>
      <c r="N12" s="110">
        <f t="shared" si="0"/>
        <v>4.4244998937986335E-2</v>
      </c>
      <c r="O12" s="110">
        <f t="shared" si="0"/>
        <v>4.4244998937986335E-2</v>
      </c>
      <c r="P12" s="110">
        <f t="shared" si="0"/>
        <v>4.4244998937986335E-2</v>
      </c>
      <c r="Q12" s="110">
        <f t="shared" si="0"/>
        <v>4.4244998937986335E-2</v>
      </c>
    </row>
    <row r="13" spans="1:17" ht="14.25" customHeight="1" x14ac:dyDescent="0.25">
      <c r="A13" s="4"/>
      <c r="B13" s="80"/>
      <c r="C13" s="80"/>
      <c r="D13" s="6" t="s">
        <v>243</v>
      </c>
      <c r="E13" s="112"/>
      <c r="F13" s="111" t="s">
        <v>236</v>
      </c>
      <c r="G13" s="112"/>
      <c r="H13" s="113">
        <f>H35/H25</f>
        <v>1.1920311966933028E-2</v>
      </c>
      <c r="I13" s="113">
        <f>I35/I25</f>
        <v>1.2489873399517758E-2</v>
      </c>
      <c r="J13" s="113">
        <f>J35/J25</f>
        <v>2.6306794916192984E-2</v>
      </c>
      <c r="K13" s="113">
        <f>K35/K25</f>
        <v>1.3888222798351358E-2</v>
      </c>
      <c r="L13" s="113">
        <f>L35/L25</f>
        <v>9.7506220224393633E-3</v>
      </c>
      <c r="M13" s="110">
        <f t="shared" si="1"/>
        <v>1.4871165020686899E-2</v>
      </c>
      <c r="N13" s="110">
        <f t="shared" si="0"/>
        <v>1.4871165020686899E-2</v>
      </c>
      <c r="O13" s="110">
        <f t="shared" si="0"/>
        <v>1.4871165020686899E-2</v>
      </c>
      <c r="P13" s="110">
        <f t="shared" si="0"/>
        <v>1.4871165020686899E-2</v>
      </c>
      <c r="Q13" s="110">
        <f t="shared" si="0"/>
        <v>1.4871165020686899E-2</v>
      </c>
    </row>
    <row r="14" spans="1:17" ht="14.25" customHeight="1" x14ac:dyDescent="0.25">
      <c r="A14" s="4"/>
      <c r="B14" s="80"/>
      <c r="C14" s="80"/>
      <c r="D14" s="6" t="s">
        <v>244</v>
      </c>
      <c r="E14" s="112"/>
      <c r="F14" s="111" t="s">
        <v>236</v>
      </c>
      <c r="G14" s="112"/>
      <c r="H14" s="113">
        <f>-H37/H36</f>
        <v>0.18961724593048851</v>
      </c>
      <c r="I14" s="113">
        <f>-I37/I36</f>
        <v>8.7697155875185534E-2</v>
      </c>
      <c r="J14" s="113">
        <f>-J37/J36</f>
        <v>0.12177949079854508</v>
      </c>
      <c r="K14" s="113">
        <f>-K37/K36</f>
        <v>8.8901902097295399E-2</v>
      </c>
      <c r="L14" s="113">
        <f>-L37/L36</f>
        <v>0.22836208680457074</v>
      </c>
      <c r="M14" s="110">
        <f t="shared" si="1"/>
        <v>0.14327157630121706</v>
      </c>
      <c r="N14" s="110">
        <f t="shared" si="0"/>
        <v>0.14327157630121706</v>
      </c>
      <c r="O14" s="110">
        <f t="shared" si="0"/>
        <v>0.14327157630121706</v>
      </c>
      <c r="P14" s="110">
        <f t="shared" si="0"/>
        <v>0.14327157630121706</v>
      </c>
      <c r="Q14" s="110">
        <f t="shared" si="0"/>
        <v>0.14327157630121706</v>
      </c>
    </row>
    <row r="15" spans="1:17" ht="14.25" customHeight="1" x14ac:dyDescent="0.25">
      <c r="A15" s="4"/>
      <c r="B15" s="80"/>
      <c r="C15" s="80"/>
      <c r="D15" s="111" t="s">
        <v>245</v>
      </c>
      <c r="E15" s="111"/>
      <c r="F15" s="111" t="s">
        <v>236</v>
      </c>
      <c r="G15" s="111"/>
      <c r="H15" s="113">
        <f>-H96/H38</f>
        <v>0.28253451217620634</v>
      </c>
      <c r="I15" s="113">
        <f>-I96/I38</f>
        <v>0.38245556029269734</v>
      </c>
      <c r="J15" s="113">
        <f>-J96/J38</f>
        <v>0.20693918171309875</v>
      </c>
      <c r="K15" s="113">
        <f>-K96/K38</f>
        <v>0.25108907827080551</v>
      </c>
      <c r="L15" s="113">
        <f>-L96/L38</f>
        <v>0.52593835976996606</v>
      </c>
      <c r="M15" s="110">
        <f t="shared" si="1"/>
        <v>0.32979133844455483</v>
      </c>
      <c r="N15" s="110">
        <f t="shared" si="0"/>
        <v>0.32979133844455483</v>
      </c>
      <c r="O15" s="110">
        <f t="shared" si="0"/>
        <v>0.32979133844455483</v>
      </c>
      <c r="P15" s="110">
        <f t="shared" si="0"/>
        <v>0.32979133844455483</v>
      </c>
      <c r="Q15" s="110">
        <f t="shared" si="0"/>
        <v>0.32979133844455483</v>
      </c>
    </row>
    <row r="16" spans="1:17" ht="14.25" customHeight="1" x14ac:dyDescent="0.25">
      <c r="A16" s="4"/>
      <c r="B16" s="80"/>
      <c r="C16" s="80"/>
      <c r="D16" s="111" t="s">
        <v>246</v>
      </c>
      <c r="E16" s="111"/>
      <c r="F16" s="111" t="s">
        <v>247</v>
      </c>
      <c r="G16" s="111"/>
      <c r="H16" s="115">
        <f>H47/H25*365</f>
        <v>61.935283715657754</v>
      </c>
      <c r="I16" s="115">
        <f>I47/I25*365</f>
        <v>72.146503746242956</v>
      </c>
      <c r="J16" s="115">
        <f>J47/J25*365</f>
        <v>66.173828343115233</v>
      </c>
      <c r="K16" s="115">
        <f>K47/K25*365</f>
        <v>64.685603699012347</v>
      </c>
      <c r="L16" s="115">
        <f>L47/L25*365</f>
        <v>67.094426713428263</v>
      </c>
      <c r="M16" s="82">
        <f>AVERAGE(H16:L16)</f>
        <v>66.407129243491312</v>
      </c>
      <c r="N16" s="82">
        <f t="shared" si="0"/>
        <v>66.407129243491312</v>
      </c>
      <c r="O16" s="82">
        <f t="shared" si="0"/>
        <v>66.407129243491312</v>
      </c>
      <c r="P16" s="82">
        <f t="shared" si="0"/>
        <v>66.407129243491312</v>
      </c>
      <c r="Q16" s="82">
        <f t="shared" si="0"/>
        <v>66.407129243491312</v>
      </c>
    </row>
    <row r="17" spans="1:17" ht="14.25" customHeight="1" x14ac:dyDescent="0.25">
      <c r="A17" s="4"/>
      <c r="B17" s="80"/>
      <c r="C17" s="80"/>
      <c r="D17" s="111" t="s">
        <v>178</v>
      </c>
      <c r="E17" s="111"/>
      <c r="F17" s="111" t="s">
        <v>247</v>
      </c>
      <c r="G17" s="111"/>
      <c r="H17" s="115">
        <f>-H48/H26*365</f>
        <v>185.89410078880258</v>
      </c>
      <c r="I17" s="115">
        <f>-I48/I26*365</f>
        <v>198.46971844039058</v>
      </c>
      <c r="J17" s="115">
        <f>-J48/J26*365</f>
        <v>241.26061181205449</v>
      </c>
      <c r="K17" s="115">
        <f>-K48/K26*365</f>
        <v>262.42639864698384</v>
      </c>
      <c r="L17" s="115">
        <f>-L48/L26*365</f>
        <v>193.96362017102661</v>
      </c>
      <c r="M17" s="82">
        <f>AVERAGE(H17:L17)</f>
        <v>216.40288997185161</v>
      </c>
      <c r="N17" s="82">
        <f t="shared" si="0"/>
        <v>216.40288997185161</v>
      </c>
      <c r="O17" s="82">
        <f t="shared" si="0"/>
        <v>216.40288997185161</v>
      </c>
      <c r="P17" s="82">
        <f t="shared" si="0"/>
        <v>216.40288997185161</v>
      </c>
      <c r="Q17" s="82">
        <f t="shared" si="0"/>
        <v>216.40288997185161</v>
      </c>
    </row>
    <row r="18" spans="1:17" ht="14.25" customHeight="1" x14ac:dyDescent="0.25">
      <c r="A18" s="4"/>
      <c r="B18" s="80"/>
      <c r="C18" s="80"/>
      <c r="D18" s="111" t="s">
        <v>248</v>
      </c>
      <c r="E18" s="111"/>
      <c r="F18" s="111" t="s">
        <v>247</v>
      </c>
      <c r="G18" s="111"/>
      <c r="H18" s="115">
        <f>-H60/H26*365</f>
        <v>119.26140164415935</v>
      </c>
      <c r="I18" s="115">
        <f>-I60/I26*365</f>
        <v>104.10597798465743</v>
      </c>
      <c r="J18" s="115">
        <f>-J60/J26*365</f>
        <v>111.57327795658662</v>
      </c>
      <c r="K18" s="115">
        <f>-K60/K26*365</f>
        <v>102.45310732030555</v>
      </c>
      <c r="L18" s="115">
        <f>-L60/L26*365</f>
        <v>86.660386317874654</v>
      </c>
      <c r="M18" s="82">
        <f>AVERAGE(H18:L18)</f>
        <v>104.81083024471673</v>
      </c>
      <c r="N18" s="82">
        <f t="shared" si="0"/>
        <v>104.81083024471673</v>
      </c>
      <c r="O18" s="82">
        <f t="shared" si="0"/>
        <v>104.81083024471673</v>
      </c>
      <c r="P18" s="82">
        <f t="shared" si="0"/>
        <v>104.81083024471673</v>
      </c>
      <c r="Q18" s="82">
        <f t="shared" si="0"/>
        <v>104.81083024471673</v>
      </c>
    </row>
    <row r="19" spans="1:17" ht="14.25" customHeight="1" x14ac:dyDescent="0.25">
      <c r="A19" s="4"/>
      <c r="B19" s="80"/>
      <c r="C19" s="80"/>
      <c r="D19" s="111" t="s">
        <v>249</v>
      </c>
      <c r="E19" s="111"/>
      <c r="F19" s="111" t="s">
        <v>250</v>
      </c>
      <c r="G19" s="111"/>
      <c r="H19" s="116">
        <f>H25/H52</f>
        <v>2.7838196788303486</v>
      </c>
      <c r="I19" s="116">
        <f>I25/I52</f>
        <v>2.9048817592853684</v>
      </c>
      <c r="J19" s="116">
        <f>J25/J52</f>
        <v>3.1764324386302483</v>
      </c>
      <c r="K19" s="116">
        <f>K25/K52</f>
        <v>3.7469134497484249</v>
      </c>
      <c r="L19" s="116">
        <f>L25/L52</f>
        <v>4.4734698600023144</v>
      </c>
      <c r="M19" s="116">
        <f>L19+0.5</f>
        <v>4.9734698600023144</v>
      </c>
      <c r="N19" s="116">
        <f>M19+0.5</f>
        <v>5.4734698600023144</v>
      </c>
      <c r="O19" s="116">
        <f>N19+0.5</f>
        <v>5.9734698600023144</v>
      </c>
      <c r="P19" s="116">
        <f>O19+0.5</f>
        <v>6.4734698600023144</v>
      </c>
      <c r="Q19" s="116">
        <f>P19+0.5</f>
        <v>6.9734698600023144</v>
      </c>
    </row>
    <row r="20" spans="1:17" ht="14.25" customHeight="1" x14ac:dyDescent="0.25">
      <c r="A20" s="4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12"/>
      <c r="N20" s="12"/>
      <c r="O20" s="12"/>
      <c r="P20" s="12"/>
      <c r="Q20" s="12"/>
    </row>
    <row r="21" spans="1:17" ht="14.25" customHeight="1" x14ac:dyDescent="0.25">
      <c r="A21" s="4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12"/>
      <c r="N21" s="12"/>
      <c r="O21" s="12"/>
      <c r="P21" s="12"/>
      <c r="Q21" s="12"/>
    </row>
    <row r="22" spans="1:17" ht="14.25" customHeight="1" x14ac:dyDescent="0.25">
      <c r="A22" s="4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12"/>
      <c r="N22" s="12"/>
      <c r="O22" s="12"/>
      <c r="P22" s="12"/>
      <c r="Q22" s="12"/>
    </row>
    <row r="23" spans="1:17" ht="15.75" x14ac:dyDescent="0.25">
      <c r="A23" s="23" t="s">
        <v>2</v>
      </c>
      <c r="B23" s="23"/>
      <c r="C23" s="23"/>
      <c r="D23" s="23"/>
      <c r="E23" s="23"/>
      <c r="F23" s="23"/>
      <c r="G23" s="23"/>
      <c r="H23" s="23"/>
      <c r="I23" s="23"/>
      <c r="J23" s="24"/>
      <c r="K23" s="24"/>
      <c r="L23" s="24"/>
      <c r="M23" s="24"/>
      <c r="N23" s="24"/>
      <c r="O23" s="24"/>
      <c r="P23" s="24"/>
      <c r="Q23" s="24"/>
    </row>
    <row r="24" spans="1:17" outlineLevel="1" x14ac:dyDescent="0.25">
      <c r="B24" s="10" t="s">
        <v>155</v>
      </c>
      <c r="D24" s="6"/>
      <c r="E24" s="6"/>
      <c r="F24" s="6"/>
      <c r="G24" s="6"/>
      <c r="H24" s="6"/>
      <c r="I24" s="6"/>
    </row>
    <row r="25" spans="1:17" outlineLevel="1" x14ac:dyDescent="0.25">
      <c r="D25" s="8" t="s">
        <v>156</v>
      </c>
      <c r="E25" s="9"/>
      <c r="F25" s="25" t="s">
        <v>171</v>
      </c>
      <c r="G25" s="9"/>
      <c r="H25" s="29">
        <f>historical!E6</f>
        <v>73571.899999999994</v>
      </c>
      <c r="I25" s="29">
        <f>historical!F6</f>
        <v>83443.600000000006</v>
      </c>
      <c r="J25" s="29">
        <f>historical!G6</f>
        <v>88650.1</v>
      </c>
      <c r="K25" s="29">
        <f>historical!H6</f>
        <v>106341.9</v>
      </c>
      <c r="L25" s="29">
        <f>historical!I6</f>
        <v>115992.6</v>
      </c>
      <c r="M25" s="27">
        <f>L25*(1+M7)</f>
        <v>130111.61117693497</v>
      </c>
      <c r="N25" s="27">
        <f>M25*(1+N7)</f>
        <v>143573.59236011162</v>
      </c>
      <c r="O25" s="27">
        <f>N25*(1+O7)</f>
        <v>156200.19220065832</v>
      </c>
      <c r="P25" s="27">
        <f>O25*(1+P7)</f>
        <v>167876.68295418931</v>
      </c>
      <c r="Q25" s="27">
        <f>P25*(1+Q7)</f>
        <v>178543.62857273515</v>
      </c>
    </row>
    <row r="26" spans="1:17" outlineLevel="1" x14ac:dyDescent="0.25">
      <c r="D26" s="6" t="s">
        <v>157</v>
      </c>
      <c r="E26" s="7"/>
      <c r="F26" s="25" t="s">
        <v>171</v>
      </c>
      <c r="G26" s="7"/>
      <c r="H26" s="36">
        <f>-SUM(historical!E10:E12)</f>
        <v>-29449.700000000004</v>
      </c>
      <c r="I26" s="36">
        <f>-SUM(historical!F10:F12)</f>
        <v>-33449.4</v>
      </c>
      <c r="J26" s="36">
        <f>-SUM(historical!G10:G12)</f>
        <v>-34984.6</v>
      </c>
      <c r="K26" s="36">
        <f>-SUM(historical!H10:H12)</f>
        <v>-41802.899999999994</v>
      </c>
      <c r="L26" s="36">
        <f>-SUM(historical!I10:I12)</f>
        <v>-49068.399999999994</v>
      </c>
      <c r="M26" s="27">
        <f>-M25*M8</f>
        <v>-52354.658208219327</v>
      </c>
      <c r="N26" s="27">
        <f>-N25*N8</f>
        <v>-57771.526213122139</v>
      </c>
      <c r="O26" s="27">
        <f>-O25*O8</f>
        <v>-62852.251238383877</v>
      </c>
      <c r="P26" s="27">
        <f>-P25*P8</f>
        <v>-67550.668827274028</v>
      </c>
      <c r="Q26" s="27">
        <f>-Q25*Q8</f>
        <v>-71842.862943794433</v>
      </c>
    </row>
    <row r="27" spans="1:17" outlineLevel="1" x14ac:dyDescent="0.25">
      <c r="D27" s="30" t="s">
        <v>159</v>
      </c>
      <c r="E27" s="31"/>
      <c r="F27" s="33"/>
      <c r="G27" s="31"/>
      <c r="H27" s="32">
        <f t="shared" ref="H27:Q27" si="2">SUM(H25:H26)</f>
        <v>44122.19999999999</v>
      </c>
      <c r="I27" s="32">
        <f t="shared" si="2"/>
        <v>49994.200000000004</v>
      </c>
      <c r="J27" s="32">
        <f t="shared" si="2"/>
        <v>53665.500000000007</v>
      </c>
      <c r="K27" s="32">
        <f t="shared" si="2"/>
        <v>64539</v>
      </c>
      <c r="L27" s="32">
        <f t="shared" si="2"/>
        <v>66924.200000000012</v>
      </c>
      <c r="M27" s="32">
        <f t="shared" si="2"/>
        <v>77756.952968715632</v>
      </c>
      <c r="N27" s="32">
        <f t="shared" si="2"/>
        <v>85802.066146989484</v>
      </c>
      <c r="O27" s="32">
        <f t="shared" si="2"/>
        <v>93347.940962274442</v>
      </c>
      <c r="P27" s="32">
        <f t="shared" si="2"/>
        <v>100326.01412691528</v>
      </c>
      <c r="Q27" s="32">
        <f t="shared" si="2"/>
        <v>106700.76562894072</v>
      </c>
    </row>
    <row r="28" spans="1:17" outlineLevel="1" x14ac:dyDescent="0.25">
      <c r="B28" s="10" t="s">
        <v>160</v>
      </c>
      <c r="D28" s="6"/>
      <c r="E28" s="7"/>
      <c r="F28" s="7"/>
      <c r="G28" s="7"/>
      <c r="H28" s="26"/>
      <c r="I28" s="26"/>
      <c r="J28" s="27"/>
      <c r="K28" s="27"/>
      <c r="L28" s="27"/>
      <c r="M28" s="27"/>
      <c r="N28" s="27"/>
      <c r="O28" s="27"/>
      <c r="P28" s="27"/>
      <c r="Q28" s="27"/>
    </row>
    <row r="29" spans="1:17" outlineLevel="1" x14ac:dyDescent="0.25">
      <c r="D29" s="6" t="s">
        <v>161</v>
      </c>
      <c r="E29" s="7"/>
      <c r="F29" s="25" t="s">
        <v>171</v>
      </c>
      <c r="G29" s="7"/>
      <c r="H29" s="36">
        <f>-historical!E13</f>
        <v>-13624.6</v>
      </c>
      <c r="I29" s="36">
        <f>-historical!F13</f>
        <v>-15054.9</v>
      </c>
      <c r="J29" s="36">
        <f>-historical!G13</f>
        <v>-16210.3</v>
      </c>
      <c r="K29" s="36">
        <f>-historical!H13</f>
        <v>-19627.099999999999</v>
      </c>
      <c r="L29" s="36">
        <f>-historical!I13</f>
        <v>-21313.5</v>
      </c>
      <c r="M29" s="27">
        <f>-M25*M9</f>
        <v>-23856.731992396104</v>
      </c>
      <c r="N29" s="27">
        <f>-N25*N9</f>
        <v>-26325.065711951618</v>
      </c>
      <c r="O29" s="27">
        <f>-O25*O9</f>
        <v>-28640.227330859871</v>
      </c>
      <c r="P29" s="27">
        <f>-P25*P9</f>
        <v>-30781.180839919649</v>
      </c>
      <c r="Q29" s="27">
        <f>-Q25*Q9</f>
        <v>-32737.028288869107</v>
      </c>
    </row>
    <row r="30" spans="1:17" outlineLevel="1" x14ac:dyDescent="0.25">
      <c r="D30" s="6" t="s">
        <v>162</v>
      </c>
      <c r="E30" s="7"/>
      <c r="F30" s="25" t="s">
        <v>171</v>
      </c>
      <c r="G30" s="7"/>
      <c r="H30" s="36">
        <f>-historical!E16</f>
        <v>-19349.900000000001</v>
      </c>
      <c r="I30" s="36">
        <f>-historical!F16</f>
        <v>-20205.400000000001</v>
      </c>
      <c r="J30" s="36">
        <f>-historical!G16</f>
        <v>-18031.3</v>
      </c>
      <c r="K30" s="36">
        <f>-historical!H16</f>
        <v>-24382.7</v>
      </c>
      <c r="L30" s="36">
        <f>-historical!I16</f>
        <v>-29516.2</v>
      </c>
      <c r="M30" s="27">
        <f>-M25*M10</f>
        <v>-31026.460031849881</v>
      </c>
      <c r="N30" s="27">
        <f>-N25*N10</f>
        <v>-34236.608744568213</v>
      </c>
      <c r="O30" s="27">
        <f>-O25*O10</f>
        <v>-37247.552131920042</v>
      </c>
      <c r="P30" s="27">
        <f>-P25*P10</f>
        <v>-40031.932176096416</v>
      </c>
      <c r="Q30" s="27">
        <f>-Q25*Q10</f>
        <v>-42575.575736436847</v>
      </c>
    </row>
    <row r="31" spans="1:17" outlineLevel="1" x14ac:dyDescent="0.25">
      <c r="D31" s="30" t="s">
        <v>163</v>
      </c>
      <c r="E31" s="31"/>
      <c r="F31" s="49" t="s">
        <v>171</v>
      </c>
      <c r="G31" s="31"/>
      <c r="H31" s="32">
        <f t="shared" ref="H31:Q31" si="3">SUM(H27:H30)</f>
        <v>11147.69999999999</v>
      </c>
      <c r="I31" s="32">
        <f t="shared" si="3"/>
        <v>14733.900000000001</v>
      </c>
      <c r="J31" s="32">
        <f t="shared" si="3"/>
        <v>19423.900000000012</v>
      </c>
      <c r="K31" s="32">
        <f t="shared" si="3"/>
        <v>20529.2</v>
      </c>
      <c r="L31" s="32">
        <f t="shared" si="3"/>
        <v>16094.500000000011</v>
      </c>
      <c r="M31" s="32">
        <f t="shared" si="3"/>
        <v>22873.760944469646</v>
      </c>
      <c r="N31" s="32">
        <f t="shared" si="3"/>
        <v>25240.391690469653</v>
      </c>
      <c r="O31" s="32">
        <f t="shared" si="3"/>
        <v>27460.161499494534</v>
      </c>
      <c r="P31" s="32">
        <f t="shared" si="3"/>
        <v>29512.90111089922</v>
      </c>
      <c r="Q31" s="32">
        <f t="shared" si="3"/>
        <v>31388.16160363477</v>
      </c>
    </row>
    <row r="32" spans="1:17" outlineLevel="1" x14ac:dyDescent="0.25">
      <c r="D32" s="6" t="s">
        <v>164</v>
      </c>
      <c r="E32" s="7"/>
      <c r="F32" s="25" t="s">
        <v>171</v>
      </c>
      <c r="G32" s="7"/>
      <c r="H32" s="36">
        <f>-historical!E15</f>
        <v>-1931.8</v>
      </c>
      <c r="I32" s="36">
        <f>-historical!F15</f>
        <v>-2527.6</v>
      </c>
      <c r="J32" s="36">
        <f>-historical!G15</f>
        <v>-2745.8</v>
      </c>
      <c r="K32" s="36">
        <f>-historical!H15</f>
        <v>-3039.6</v>
      </c>
      <c r="L32" s="36">
        <f>-historical!I15</f>
        <v>-3104.2</v>
      </c>
      <c r="M32" s="27">
        <f>M116</f>
        <v>-2654.5801895336244</v>
      </c>
      <c r="N32" s="27">
        <f>N116</f>
        <v>-2673.4470835373563</v>
      </c>
      <c r="O32" s="27">
        <f>O116</f>
        <v>-2651.5431000022754</v>
      </c>
      <c r="P32" s="27">
        <f>P116</f>
        <v>-2596.4875313027046</v>
      </c>
      <c r="Q32" s="27">
        <f>Q116</f>
        <v>-2515.327522976278</v>
      </c>
    </row>
    <row r="33" spans="1:17" outlineLevel="1" x14ac:dyDescent="0.25">
      <c r="C33" t="s">
        <v>158</v>
      </c>
      <c r="D33" s="30" t="s">
        <v>165</v>
      </c>
      <c r="E33" s="31"/>
      <c r="F33" s="49" t="s">
        <v>171</v>
      </c>
      <c r="G33" s="31"/>
      <c r="H33" s="32">
        <f t="shared" ref="H33:Q33" si="4">SUM(H31:H32)</f>
        <v>9215.8999999999905</v>
      </c>
      <c r="I33" s="32">
        <f t="shared" si="4"/>
        <v>12206.300000000001</v>
      </c>
      <c r="J33" s="32">
        <f t="shared" si="4"/>
        <v>16678.100000000013</v>
      </c>
      <c r="K33" s="32">
        <f t="shared" si="4"/>
        <v>17489.600000000002</v>
      </c>
      <c r="L33" s="32">
        <f t="shared" si="4"/>
        <v>12990.30000000001</v>
      </c>
      <c r="M33" s="32">
        <f t="shared" si="4"/>
        <v>20219.180754936024</v>
      </c>
      <c r="N33" s="32">
        <f t="shared" si="4"/>
        <v>22566.944606932295</v>
      </c>
      <c r="O33" s="32">
        <f t="shared" si="4"/>
        <v>24808.618399492258</v>
      </c>
      <c r="P33" s="32">
        <f t="shared" si="4"/>
        <v>26916.413579596516</v>
      </c>
      <c r="Q33" s="32">
        <f t="shared" si="4"/>
        <v>28872.834080658493</v>
      </c>
    </row>
    <row r="34" spans="1:17" outlineLevel="1" x14ac:dyDescent="0.25">
      <c r="D34" s="6" t="s">
        <v>18</v>
      </c>
      <c r="E34" s="7"/>
      <c r="F34" s="25" t="s">
        <v>171</v>
      </c>
      <c r="G34" s="7"/>
      <c r="H34" s="36">
        <f>-historical!E14</f>
        <v>-546.29999999999995</v>
      </c>
      <c r="I34" s="36">
        <f>-historical!F14</f>
        <v>-650.6</v>
      </c>
      <c r="J34" s="36">
        <f>-historical!G14</f>
        <v>-589.20000000000005</v>
      </c>
      <c r="K34" s="36">
        <f>-historical!H14</f>
        <v>-523.70000000000005</v>
      </c>
      <c r="L34" s="36">
        <f>-historical!I14</f>
        <v>-1073.5999999999999</v>
      </c>
      <c r="M34" s="27">
        <f>M123</f>
        <v>-617.96105116706747</v>
      </c>
      <c r="N34" s="27">
        <f>N123</f>
        <v>-617.96105116706747</v>
      </c>
      <c r="O34" s="27">
        <f>O123</f>
        <v>-617.96105116706747</v>
      </c>
      <c r="P34" s="27">
        <f>P123</f>
        <v>-617.96105116706747</v>
      </c>
      <c r="Q34" s="27">
        <f>Q123</f>
        <v>-617.96105116706747</v>
      </c>
    </row>
    <row r="35" spans="1:17" outlineLevel="1" x14ac:dyDescent="0.25">
      <c r="D35" s="6" t="s">
        <v>166</v>
      </c>
      <c r="E35" s="7"/>
      <c r="F35" s="25" t="s">
        <v>171</v>
      </c>
      <c r="G35" s="7"/>
      <c r="H35" s="36">
        <f>historical!E7+historical!E19</f>
        <v>877</v>
      </c>
      <c r="I35" s="36">
        <f>historical!F7+historical!F19</f>
        <v>1042.2</v>
      </c>
      <c r="J35" s="36">
        <f>historical!G7+historical!G19</f>
        <v>2332.1</v>
      </c>
      <c r="K35" s="36">
        <f>historical!H7+historical!H19</f>
        <v>1476.9</v>
      </c>
      <c r="L35" s="36">
        <f>historical!I7+historical!I19</f>
        <v>1131.0000000000002</v>
      </c>
      <c r="M35" s="27">
        <f>M25*M13</f>
        <v>1934.9112409196498</v>
      </c>
      <c r="N35" s="27">
        <f>N25*N13</f>
        <v>2135.1065846000515</v>
      </c>
      <c r="O35" s="27">
        <f>O25*O13</f>
        <v>2322.8788344790005</v>
      </c>
      <c r="P35" s="27">
        <f>P25*P13</f>
        <v>2496.5218553372847</v>
      </c>
      <c r="Q35" s="27">
        <f>Q25*Q13</f>
        <v>2655.1517638973728</v>
      </c>
    </row>
    <row r="36" spans="1:17" outlineLevel="1" x14ac:dyDescent="0.25">
      <c r="D36" s="30" t="s">
        <v>167</v>
      </c>
      <c r="E36" s="31"/>
      <c r="F36" s="49" t="s">
        <v>171</v>
      </c>
      <c r="G36" s="31"/>
      <c r="H36" s="32">
        <f>SUM(H33:H35)</f>
        <v>9546.5999999999913</v>
      </c>
      <c r="I36" s="32">
        <f t="shared" ref="I36:M36" si="5">SUM(I33:I35)</f>
        <v>12597.900000000001</v>
      </c>
      <c r="J36" s="32">
        <f t="shared" si="5"/>
        <v>18421.000000000011</v>
      </c>
      <c r="K36" s="32">
        <f t="shared" si="5"/>
        <v>18442.800000000003</v>
      </c>
      <c r="L36" s="32">
        <f t="shared" si="5"/>
        <v>13047.70000000001</v>
      </c>
      <c r="M36" s="32">
        <f t="shared" si="5"/>
        <v>21536.130944688604</v>
      </c>
      <c r="N36" s="32">
        <f>SUM(N33:N35)</f>
        <v>24084.090140365279</v>
      </c>
      <c r="O36" s="32">
        <f>SUM(O33:O35)</f>
        <v>26513.53618280419</v>
      </c>
      <c r="P36" s="32">
        <f>SUM(P33:P35)</f>
        <v>28794.97438376673</v>
      </c>
      <c r="Q36" s="32">
        <f>SUM(Q33:Q35)</f>
        <v>30910.024793388795</v>
      </c>
    </row>
    <row r="37" spans="1:17" outlineLevel="1" x14ac:dyDescent="0.25">
      <c r="D37" s="6" t="s">
        <v>168</v>
      </c>
      <c r="E37" s="7"/>
      <c r="F37" s="25" t="s">
        <v>171</v>
      </c>
      <c r="G37" s="7"/>
      <c r="H37" s="36">
        <f>-historical!E25</f>
        <v>-1810.2</v>
      </c>
      <c r="I37" s="36">
        <f>-historical!F25</f>
        <v>-1104.8</v>
      </c>
      <c r="J37" s="36">
        <f>-historical!G25</f>
        <v>-2243.3000000000002</v>
      </c>
      <c r="K37" s="36">
        <f>-historical!H25</f>
        <v>-1639.6</v>
      </c>
      <c r="L37" s="36">
        <f>-historical!I25</f>
        <v>-2979.6</v>
      </c>
      <c r="M37" s="27">
        <f>-M36*M14</f>
        <v>-3085.5154278749551</v>
      </c>
      <c r="N37" s="27">
        <f>-N36*N14</f>
        <v>-3450.5655581907336</v>
      </c>
      <c r="O37" s="27">
        <f>-O36*O14</f>
        <v>-3798.6361222297101</v>
      </c>
      <c r="P37" s="27">
        <f>-P36*P14</f>
        <v>-4125.5013695154257</v>
      </c>
      <c r="Q37" s="27">
        <f>-Q36*Q14</f>
        <v>-4428.5279756585142</v>
      </c>
    </row>
    <row r="38" spans="1:17" ht="15.75" outlineLevel="1" thickBot="1" x14ac:dyDescent="0.3">
      <c r="D38" s="37" t="s">
        <v>169</v>
      </c>
      <c r="E38" s="38"/>
      <c r="F38" s="50" t="s">
        <v>171</v>
      </c>
      <c r="G38" s="38"/>
      <c r="H38" s="39">
        <f t="shared" ref="H38:Q38" si="6">SUM(H36:H37)</f>
        <v>7736.3999999999915</v>
      </c>
      <c r="I38" s="39">
        <f t="shared" si="6"/>
        <v>11493.100000000002</v>
      </c>
      <c r="J38" s="39">
        <f t="shared" si="6"/>
        <v>16177.700000000012</v>
      </c>
      <c r="K38" s="39">
        <f t="shared" si="6"/>
        <v>16803.200000000004</v>
      </c>
      <c r="L38" s="39">
        <f t="shared" si="6"/>
        <v>10068.100000000009</v>
      </c>
      <c r="M38" s="39">
        <f t="shared" si="6"/>
        <v>18450.61551681365</v>
      </c>
      <c r="N38" s="39">
        <f t="shared" si="6"/>
        <v>20633.524582174545</v>
      </c>
      <c r="O38" s="39">
        <f t="shared" si="6"/>
        <v>22714.90006057448</v>
      </c>
      <c r="P38" s="39">
        <f t="shared" si="6"/>
        <v>24669.473014251304</v>
      </c>
      <c r="Q38" s="39">
        <f t="shared" si="6"/>
        <v>26481.49681773028</v>
      </c>
    </row>
    <row r="39" spans="1:17" ht="15.75" thickTop="1" x14ac:dyDescent="0.25">
      <c r="D39" s="8"/>
      <c r="E39" s="9"/>
      <c r="F39" s="9"/>
      <c r="G39" s="9"/>
      <c r="H39" s="28"/>
      <c r="I39" s="28"/>
      <c r="J39" s="27"/>
      <c r="K39" s="27"/>
      <c r="L39" s="27"/>
      <c r="M39" s="27"/>
      <c r="N39" s="27"/>
      <c r="O39" s="27"/>
      <c r="P39" s="27"/>
      <c r="Q39" s="27"/>
    </row>
    <row r="40" spans="1:17" x14ac:dyDescent="0.25">
      <c r="D40" s="6"/>
      <c r="E40" s="7"/>
      <c r="F40" s="7"/>
      <c r="G40" s="7"/>
      <c r="H40" s="26"/>
      <c r="I40" s="26"/>
      <c r="J40" s="27"/>
      <c r="K40" s="27"/>
      <c r="L40" s="27"/>
      <c r="M40" s="27"/>
      <c r="N40" s="27"/>
      <c r="O40" s="27"/>
      <c r="P40" s="27"/>
      <c r="Q40" s="27"/>
    </row>
    <row r="41" spans="1:17" ht="15.75" x14ac:dyDescent="0.25">
      <c r="A41" s="23" t="s">
        <v>170</v>
      </c>
      <c r="B41" s="23"/>
      <c r="C41" s="23"/>
      <c r="D41" s="23"/>
      <c r="E41" s="23"/>
      <c r="F41" s="23"/>
      <c r="G41" s="23"/>
      <c r="H41" s="23"/>
      <c r="I41" s="23"/>
      <c r="J41" s="24"/>
      <c r="K41" s="24"/>
      <c r="L41" s="24"/>
      <c r="M41" s="24"/>
      <c r="N41" s="24"/>
      <c r="O41" s="24"/>
      <c r="P41" s="24"/>
      <c r="Q41" s="24"/>
    </row>
    <row r="42" spans="1:17" x14ac:dyDescent="0.25">
      <c r="D42" s="6"/>
      <c r="E42" s="7"/>
      <c r="F42" s="7"/>
      <c r="G42" s="7"/>
      <c r="H42" s="26"/>
      <c r="I42" s="26"/>
      <c r="J42" s="27"/>
      <c r="K42" s="27"/>
      <c r="L42" s="27"/>
      <c r="M42" s="27"/>
      <c r="N42" s="27"/>
      <c r="O42" s="27"/>
      <c r="P42" s="27"/>
      <c r="Q42" s="27"/>
    </row>
    <row r="43" spans="1:17" x14ac:dyDescent="0.25">
      <c r="B43" s="10" t="s">
        <v>172</v>
      </c>
      <c r="D43" s="6"/>
      <c r="E43" s="7"/>
      <c r="F43" s="7"/>
      <c r="G43" s="7"/>
      <c r="H43" s="7"/>
      <c r="I43" s="7"/>
    </row>
    <row r="44" spans="1:17" x14ac:dyDescent="0.25">
      <c r="C44" s="10" t="s">
        <v>173</v>
      </c>
      <c r="D44" s="6"/>
      <c r="E44" s="7"/>
      <c r="F44" s="7"/>
      <c r="G44" s="7"/>
      <c r="H44" s="7"/>
      <c r="I44" s="7"/>
    </row>
    <row r="45" spans="1:17" x14ac:dyDescent="0.25">
      <c r="D45" s="6" t="s">
        <v>175</v>
      </c>
      <c r="E45" s="7"/>
      <c r="F45" s="7" t="s">
        <v>171</v>
      </c>
      <c r="G45" s="7"/>
      <c r="H45" s="43">
        <f>historical!E55</f>
        <v>2490.5</v>
      </c>
      <c r="I45" s="43">
        <f>historical!F55</f>
        <v>1759.4</v>
      </c>
      <c r="J45" s="43">
        <f>historical!G55</f>
        <v>1742.2</v>
      </c>
      <c r="K45" s="43">
        <f>historical!H55</f>
        <v>2321.8000000000002</v>
      </c>
      <c r="L45" s="43">
        <f>historical!I55</f>
        <v>2738</v>
      </c>
      <c r="M45" s="77">
        <f>M102</f>
        <v>10987.839582111457</v>
      </c>
      <c r="N45" s="77">
        <f>N102</f>
        <v>20925.211679384025</v>
      </c>
      <c r="O45" s="77">
        <f>O102</f>
        <v>32836.109218204947</v>
      </c>
      <c r="P45" s="77">
        <f>P102</f>
        <v>46601.701221290132</v>
      </c>
      <c r="Q45" s="77">
        <f>Q102</f>
        <v>62082.53512330167</v>
      </c>
    </row>
    <row r="46" spans="1:17" x14ac:dyDescent="0.25">
      <c r="D46" s="6" t="s">
        <v>176</v>
      </c>
      <c r="E46" s="7"/>
      <c r="F46" s="7" t="s">
        <v>171</v>
      </c>
      <c r="G46" s="7"/>
      <c r="H46" s="43">
        <f>historical!E56</f>
        <v>4125.5</v>
      </c>
      <c r="I46" s="43">
        <f>historical!F56</f>
        <v>9162.7000000000007</v>
      </c>
      <c r="J46" s="43">
        <f>historical!G56</f>
        <v>18162.3</v>
      </c>
      <c r="K46" s="43">
        <f>historical!H56</f>
        <v>23464</v>
      </c>
      <c r="L46" s="43">
        <f>historical!I56</f>
        <v>23430.9</v>
      </c>
      <c r="M46" s="13">
        <f>L46</f>
        <v>23430.9</v>
      </c>
      <c r="N46" s="13">
        <f>M46</f>
        <v>23430.9</v>
      </c>
      <c r="O46" s="13">
        <f>N46</f>
        <v>23430.9</v>
      </c>
      <c r="P46" s="13">
        <f>O46</f>
        <v>23430.9</v>
      </c>
      <c r="Q46" s="13">
        <f>P46</f>
        <v>23430.9</v>
      </c>
    </row>
    <row r="47" spans="1:17" x14ac:dyDescent="0.25">
      <c r="D47" s="6" t="s">
        <v>177</v>
      </c>
      <c r="E47" s="7"/>
      <c r="F47" s="7" t="s">
        <v>171</v>
      </c>
      <c r="G47" s="7"/>
      <c r="H47" s="43">
        <f>historical!E54</f>
        <v>12484.1</v>
      </c>
      <c r="I47" s="43">
        <f>historical!F54</f>
        <v>16493.599999999999</v>
      </c>
      <c r="J47" s="43">
        <f>historical!G54</f>
        <v>16072.1</v>
      </c>
      <c r="K47" s="43">
        <f>historical!H54</f>
        <v>18846</v>
      </c>
      <c r="L47" s="43">
        <f>historical!I54</f>
        <v>21321.8</v>
      </c>
      <c r="M47">
        <f>(M16*M25)/365</f>
        <v>23672.160491796189</v>
      </c>
      <c r="N47">
        <f>(N16*N25)/365</f>
        <v>26121.397544685671</v>
      </c>
      <c r="O47">
        <f>(O16*O25)/365</f>
        <v>28418.647537883015</v>
      </c>
      <c r="P47">
        <f>(P16*P25)/365</f>
        <v>30543.037210705381</v>
      </c>
      <c r="Q47">
        <f>(Q16*Q25)/365</f>
        <v>32483.752926661728</v>
      </c>
    </row>
    <row r="48" spans="1:17" x14ac:dyDescent="0.25">
      <c r="D48" s="6" t="s">
        <v>178</v>
      </c>
      <c r="F48" t="s">
        <v>171</v>
      </c>
      <c r="H48" s="44">
        <f>historical!E51</f>
        <v>14998.7</v>
      </c>
      <c r="I48" s="44">
        <f>historical!F51</f>
        <v>18188.2</v>
      </c>
      <c r="J48" s="44">
        <f>historical!G51</f>
        <v>23124.400000000001</v>
      </c>
      <c r="K48" s="44">
        <f>historical!H51</f>
        <v>30055.3</v>
      </c>
      <c r="L48" s="44">
        <f>historical!I51</f>
        <v>26075.3</v>
      </c>
      <c r="M48">
        <f>-(M26*M17)/365</f>
        <v>31040.272163690919</v>
      </c>
      <c r="N48">
        <f>-(N26*N17)/365</f>
        <v>34251.84994686085</v>
      </c>
      <c r="O48">
        <f>-(O26*O17)/365</f>
        <v>37264.133723899067</v>
      </c>
      <c r="P48">
        <f>-(P26*P17)/365</f>
        <v>40049.75329795498</v>
      </c>
      <c r="Q48">
        <f>-(Q26*Q17)/365</f>
        <v>42594.529218873322</v>
      </c>
    </row>
    <row r="49" spans="1:17" x14ac:dyDescent="0.25">
      <c r="D49" s="6" t="s">
        <v>179</v>
      </c>
      <c r="F49" t="s">
        <v>171</v>
      </c>
      <c r="H49" s="44">
        <f>historical!E59</f>
        <v>4293.8</v>
      </c>
      <c r="I49" s="44">
        <f>historical!F59</f>
        <v>5266</v>
      </c>
      <c r="J49" s="44">
        <f>historical!G59</f>
        <v>5550.1</v>
      </c>
      <c r="K49" s="44">
        <f>historical!H59</f>
        <v>6322.8</v>
      </c>
      <c r="L49" s="44">
        <f>historical!I59</f>
        <v>7360.9</v>
      </c>
      <c r="M49" s="13">
        <f>L49</f>
        <v>7360.9</v>
      </c>
      <c r="N49" s="13">
        <f>M49</f>
        <v>7360.9</v>
      </c>
      <c r="O49" s="13">
        <f>N49</f>
        <v>7360.9</v>
      </c>
      <c r="P49" s="13">
        <f>O49</f>
        <v>7360.9</v>
      </c>
      <c r="Q49" s="13">
        <f>P49</f>
        <v>7360.9</v>
      </c>
    </row>
    <row r="50" spans="1:17" s="41" customFormat="1" ht="15.75" x14ac:dyDescent="0.25">
      <c r="A50" s="19"/>
      <c r="B50" s="19"/>
      <c r="C50" s="19"/>
      <c r="D50" s="19"/>
      <c r="E50" s="19"/>
      <c r="F50" s="19"/>
      <c r="G50" s="19"/>
      <c r="H50" s="45"/>
      <c r="I50" s="45"/>
      <c r="J50" s="46"/>
      <c r="K50" s="46"/>
      <c r="L50" s="60"/>
    </row>
    <row r="51" spans="1:17" x14ac:dyDescent="0.25">
      <c r="C51" s="10" t="s">
        <v>174</v>
      </c>
      <c r="F51" t="s">
        <v>171</v>
      </c>
      <c r="H51" s="47"/>
      <c r="I51" s="48"/>
      <c r="J51" s="47"/>
      <c r="K51" s="47"/>
      <c r="L51" s="44"/>
    </row>
    <row r="52" spans="1:17" x14ac:dyDescent="0.25">
      <c r="D52" s="12" t="s">
        <v>180</v>
      </c>
      <c r="F52" t="s">
        <v>171</v>
      </c>
      <c r="H52" s="44">
        <f>SUM(historical!E35:E37,historical!E39,historical!E41)</f>
        <v>26428.400000000001</v>
      </c>
      <c r="I52" s="44">
        <f>SUM(historical!F35:F37,historical!F39,historical!F41)</f>
        <v>28725.300000000003</v>
      </c>
      <c r="J52" s="44">
        <f>SUM(historical!G35:G37,historical!G39,historical!G41)</f>
        <v>27908.699999999997</v>
      </c>
      <c r="K52" s="44">
        <f>SUM(historical!H35:H37,historical!H39,historical!H41)</f>
        <v>28381.200000000001</v>
      </c>
      <c r="L52" s="44">
        <f>SUM(historical!I35:I37,historical!I39,historical!I41)</f>
        <v>25929</v>
      </c>
      <c r="M52" s="27">
        <f>M117</f>
        <v>26113.285144804278</v>
      </c>
      <c r="N52" s="27">
        <f>N117</f>
        <v>25899.334784095492</v>
      </c>
      <c r="O52" s="27">
        <f>O117</f>
        <v>25361.571469790804</v>
      </c>
      <c r="P52" s="27">
        <f>P117</f>
        <v>24568.829225953887</v>
      </c>
      <c r="Q52" s="27">
        <f>Q117</f>
        <v>23583.148468890828</v>
      </c>
    </row>
    <row r="53" spans="1:17" x14ac:dyDescent="0.25">
      <c r="D53" s="12" t="s">
        <v>181</v>
      </c>
      <c r="F53" t="s">
        <v>171</v>
      </c>
      <c r="H53" s="44">
        <f>historical!E38+historical!E40</f>
        <v>3805.6</v>
      </c>
      <c r="I53" s="44">
        <f>historical!F38+historical!F40</f>
        <v>3984.5</v>
      </c>
      <c r="J53" s="44">
        <f>historical!G38+historical!G40</f>
        <v>3953.9</v>
      </c>
      <c r="K53" s="44">
        <f>historical!H38+historical!H40</f>
        <v>4030.9</v>
      </c>
      <c r="L53" s="44">
        <f>historical!I38+historical!I40</f>
        <v>4131.7</v>
      </c>
      <c r="M53" s="13">
        <f t="shared" ref="M53:Q55" si="7">L53</f>
        <v>4131.7</v>
      </c>
      <c r="N53" s="13">
        <f t="shared" si="7"/>
        <v>4131.7</v>
      </c>
      <c r="O53" s="13">
        <f t="shared" si="7"/>
        <v>4131.7</v>
      </c>
      <c r="P53" s="13">
        <f t="shared" si="7"/>
        <v>4131.7</v>
      </c>
      <c r="Q53" s="13">
        <f t="shared" si="7"/>
        <v>4131.7</v>
      </c>
    </row>
    <row r="54" spans="1:17" x14ac:dyDescent="0.25">
      <c r="D54" t="s">
        <v>182</v>
      </c>
      <c r="E54" s="13"/>
      <c r="F54" s="13" t="s">
        <v>171</v>
      </c>
      <c r="G54" s="13"/>
      <c r="H54" s="44">
        <f>SUM(historical!E43:E45,historical!E53,historical!E57:E58,historical!E61)</f>
        <v>5324.4000000000005</v>
      </c>
      <c r="I54" s="44">
        <f>SUM(historical!F43:F45,historical!F53,historical!F57:F58,historical!F61)</f>
        <v>5578.3</v>
      </c>
      <c r="J54" s="44">
        <f>SUM(historical!G43:G45,historical!G53,historical!G57:G58,historical!G61)</f>
        <v>6864.7</v>
      </c>
      <c r="K54" s="44">
        <f>SUM(historical!H43:H45,historical!H53,historical!H57:H58,historical!H61)</f>
        <v>12847.999999999998</v>
      </c>
      <c r="L54" s="44">
        <f>SUM(historical!I43:I45,historical!I53,historical!I57:I58,historical!I61)</f>
        <v>12448.7</v>
      </c>
      <c r="M54" s="13">
        <f t="shared" si="7"/>
        <v>12448.7</v>
      </c>
      <c r="N54" s="13">
        <f t="shared" si="7"/>
        <v>12448.7</v>
      </c>
      <c r="O54" s="13">
        <f t="shared" si="7"/>
        <v>12448.7</v>
      </c>
      <c r="P54" s="13">
        <f t="shared" si="7"/>
        <v>12448.7</v>
      </c>
      <c r="Q54" s="13">
        <f t="shared" si="7"/>
        <v>12448.7</v>
      </c>
    </row>
    <row r="55" spans="1:17" x14ac:dyDescent="0.25">
      <c r="D55" t="s">
        <v>183</v>
      </c>
      <c r="E55" s="13"/>
      <c r="F55" s="13" t="s">
        <v>171</v>
      </c>
      <c r="G55" s="13"/>
      <c r="H55" s="44">
        <f>SUM(historical!E46:E48)</f>
        <v>8130.9</v>
      </c>
      <c r="I55" s="44">
        <f>SUM(historical!F46:F48)</f>
        <v>10275.300000000001</v>
      </c>
      <c r="J55" s="44">
        <f>SUM(historical!G46:G48)</f>
        <v>11814.2</v>
      </c>
      <c r="K55" s="44">
        <f>SUM(historical!H46:H48)</f>
        <v>14421.900000000001</v>
      </c>
      <c r="L55" s="44">
        <f>SUM(historical!I46:I48)</f>
        <v>14130</v>
      </c>
      <c r="M55" s="13">
        <f t="shared" si="7"/>
        <v>14130</v>
      </c>
      <c r="N55" s="13">
        <f t="shared" si="7"/>
        <v>14130</v>
      </c>
      <c r="O55" s="13">
        <f t="shared" si="7"/>
        <v>14130</v>
      </c>
      <c r="P55" s="13">
        <f t="shared" si="7"/>
        <v>14130</v>
      </c>
      <c r="Q55" s="13">
        <f t="shared" si="7"/>
        <v>14130</v>
      </c>
    </row>
    <row r="56" spans="1:17" ht="15.75" thickBot="1" x14ac:dyDescent="0.3">
      <c r="D56" s="16" t="s">
        <v>184</v>
      </c>
      <c r="E56" s="42"/>
      <c r="F56" s="42"/>
      <c r="G56" s="42"/>
      <c r="H56" s="53">
        <f t="shared" ref="H56:Q56" si="8">SUM(H45:H55)</f>
        <v>82081.899999999994</v>
      </c>
      <c r="I56" s="53">
        <f t="shared" si="8"/>
        <v>99433.3</v>
      </c>
      <c r="J56" s="53">
        <f t="shared" si="8"/>
        <v>115192.59999999998</v>
      </c>
      <c r="K56" s="53">
        <f t="shared" si="8"/>
        <v>140691.9</v>
      </c>
      <c r="L56" s="53">
        <f t="shared" si="8"/>
        <v>137566.29999999999</v>
      </c>
      <c r="M56" s="53">
        <f t="shared" si="8"/>
        <v>153315.75738240284</v>
      </c>
      <c r="N56" s="53">
        <f t="shared" si="8"/>
        <v>168699.99395502606</v>
      </c>
      <c r="O56" s="53">
        <f t="shared" si="8"/>
        <v>185382.66194977786</v>
      </c>
      <c r="P56" s="53">
        <f t="shared" si="8"/>
        <v>203265.52095590439</v>
      </c>
      <c r="Q56" s="53">
        <f t="shared" si="8"/>
        <v>222246.16573772757</v>
      </c>
    </row>
    <row r="57" spans="1:17" ht="15.75" thickTop="1" x14ac:dyDescent="0.25">
      <c r="E57" s="13"/>
      <c r="F57" s="13"/>
      <c r="G57" s="13"/>
      <c r="H57" s="13"/>
      <c r="I57" s="13"/>
      <c r="L57" s="13"/>
    </row>
    <row r="58" spans="1:17" x14ac:dyDescent="0.25">
      <c r="B58" s="10" t="s">
        <v>63</v>
      </c>
      <c r="E58" s="13"/>
      <c r="F58" s="13"/>
      <c r="G58" s="13"/>
      <c r="H58" s="13"/>
      <c r="I58" s="13"/>
      <c r="L58" s="13"/>
    </row>
    <row r="59" spans="1:17" x14ac:dyDescent="0.25">
      <c r="C59" s="10" t="s">
        <v>185</v>
      </c>
      <c r="E59" s="13"/>
      <c r="F59" s="13"/>
      <c r="G59" s="13"/>
      <c r="H59" s="13"/>
      <c r="I59" s="13"/>
      <c r="L59" s="13"/>
    </row>
    <row r="60" spans="1:17" x14ac:dyDescent="0.25">
      <c r="D60" t="s">
        <v>186</v>
      </c>
      <c r="E60" s="13"/>
      <c r="F60" t="s">
        <v>171</v>
      </c>
      <c r="G60" s="13"/>
      <c r="H60" s="13">
        <f>SUM(historical!E86:E87)</f>
        <v>9622.5</v>
      </c>
      <c r="I60" s="13">
        <f>SUM(historical!F86:F87)</f>
        <v>9540.5</v>
      </c>
      <c r="J60" s="13">
        <f>SUM(historical!G86:G87)</f>
        <v>10694.1</v>
      </c>
      <c r="K60" s="13">
        <f>SUM(historical!H86:H87)</f>
        <v>11733.800000000001</v>
      </c>
      <c r="L60" s="13">
        <f>SUM(historical!I86:I87)</f>
        <v>11650.1</v>
      </c>
      <c r="M60">
        <f>-(M26*M18)/365</f>
        <v>15033.795052005044</v>
      </c>
      <c r="N60">
        <f>-(N26*N18)/365</f>
        <v>16589.264731237661</v>
      </c>
      <c r="O60">
        <f>-(O26*O18)/365</f>
        <v>18048.209959026135</v>
      </c>
      <c r="P60">
        <f>-(P26*P18)/365</f>
        <v>19397.374474993139</v>
      </c>
      <c r="Q60">
        <f>-(Q26*Q18)/365</f>
        <v>20629.890718620514</v>
      </c>
    </row>
    <row r="61" spans="1:17" x14ac:dyDescent="0.25">
      <c r="D61" s="12" t="s">
        <v>187</v>
      </c>
      <c r="E61" s="13"/>
      <c r="F61" t="s">
        <v>171</v>
      </c>
      <c r="G61" s="13"/>
      <c r="H61" s="13">
        <f>SUM(historical!E88:E91)</f>
        <v>5840.1</v>
      </c>
      <c r="I61" s="13">
        <f>SUM(historical!F88:F91)</f>
        <v>7857.5000000000009</v>
      </c>
      <c r="J61" s="13">
        <f>SUM(historical!G88:G91)</f>
        <v>8402.9999999999982</v>
      </c>
      <c r="K61" s="13">
        <f>SUM(historical!H88:H91)</f>
        <v>10396.200000000001</v>
      </c>
      <c r="L61" s="13">
        <f>SUM(historical!I88:I91)</f>
        <v>12157.699999999999</v>
      </c>
      <c r="M61" s="13">
        <f>L61</f>
        <v>12157.699999999999</v>
      </c>
      <c r="N61" s="13">
        <f>M61</f>
        <v>12157.699999999999</v>
      </c>
      <c r="O61" s="13">
        <f>N61</f>
        <v>12157.699999999999</v>
      </c>
      <c r="P61" s="13">
        <f>O61</f>
        <v>12157.699999999999</v>
      </c>
      <c r="Q61" s="13">
        <f>P61</f>
        <v>12157.699999999999</v>
      </c>
    </row>
    <row r="62" spans="1:17" x14ac:dyDescent="0.25">
      <c r="C62" s="10" t="s">
        <v>188</v>
      </c>
      <c r="E62" s="13"/>
      <c r="G62" s="13"/>
      <c r="H62" s="13"/>
      <c r="I62" s="13"/>
      <c r="L62" s="13"/>
    </row>
    <row r="63" spans="1:17" x14ac:dyDescent="0.25">
      <c r="D63" t="s">
        <v>189</v>
      </c>
      <c r="E63" s="13"/>
      <c r="F63" t="s">
        <v>171</v>
      </c>
      <c r="G63" s="13"/>
      <c r="H63" s="13">
        <f>historical!E74+historical!E83+historical!E75+historical!E84</f>
        <v>9025.7000000000007</v>
      </c>
      <c r="I63" s="13">
        <f>historical!F74+historical!F83+historical!F75+historical!F84</f>
        <v>16627.5</v>
      </c>
      <c r="J63" s="13">
        <f>historical!G74+historical!G83+historical!G75+historical!G84</f>
        <v>17919.8</v>
      </c>
      <c r="K63" s="13">
        <f>historical!H74+historical!H83+historical!H75+historical!H84</f>
        <v>26681.9</v>
      </c>
      <c r="L63" s="13">
        <f>historical!I74+historical!I83+historical!I75+historical!I84</f>
        <v>13966.8</v>
      </c>
      <c r="M63" s="27">
        <f>M122</f>
        <v>13966.8</v>
      </c>
      <c r="N63" s="27">
        <f>N122</f>
        <v>13966.8</v>
      </c>
      <c r="O63" s="27">
        <f>O122</f>
        <v>13966.8</v>
      </c>
      <c r="P63" s="27">
        <f>P122</f>
        <v>13966.8</v>
      </c>
      <c r="Q63" s="27">
        <f>Q122</f>
        <v>13966.8</v>
      </c>
    </row>
    <row r="64" spans="1:17" x14ac:dyDescent="0.25">
      <c r="D64" t="s">
        <v>190</v>
      </c>
      <c r="E64" s="13"/>
      <c r="F64" t="s">
        <v>171</v>
      </c>
      <c r="G64" s="13"/>
      <c r="H64" s="13">
        <f>SUM(historical!E76:E79)</f>
        <v>1874.1000000000001</v>
      </c>
      <c r="I64" s="13">
        <f>SUM(historical!F76:F79)</f>
        <v>2318.1</v>
      </c>
      <c r="J64" s="13">
        <f>SUM(historical!G76:G79)</f>
        <v>2595.6000000000004</v>
      </c>
      <c r="K64" s="13">
        <f>SUM(historical!H76:H79)</f>
        <v>3406.7</v>
      </c>
      <c r="L64" s="13">
        <f>SUM(historical!I76:I79)</f>
        <v>5441.7</v>
      </c>
      <c r="M64" s="13">
        <f>L64</f>
        <v>5441.7</v>
      </c>
      <c r="N64" s="13">
        <f>M64</f>
        <v>5441.7</v>
      </c>
      <c r="O64" s="13">
        <f>N64</f>
        <v>5441.7</v>
      </c>
      <c r="P64" s="13">
        <f>O64</f>
        <v>5441.7</v>
      </c>
      <c r="Q64" s="13">
        <f>P64</f>
        <v>5441.7</v>
      </c>
    </row>
    <row r="65" spans="1:17" x14ac:dyDescent="0.25">
      <c r="D65" s="54" t="s">
        <v>80</v>
      </c>
      <c r="E65" s="57"/>
      <c r="F65" s="56" t="s">
        <v>171</v>
      </c>
      <c r="G65" s="57"/>
      <c r="H65" s="55">
        <f t="shared" ref="H65:Q65" si="9">SUM(H60:H64)</f>
        <v>26362.400000000001</v>
      </c>
      <c r="I65" s="55">
        <f t="shared" si="9"/>
        <v>36343.599999999999</v>
      </c>
      <c r="J65" s="55">
        <f t="shared" si="9"/>
        <v>39612.499999999993</v>
      </c>
      <c r="K65" s="55">
        <f t="shared" si="9"/>
        <v>52218.6</v>
      </c>
      <c r="L65" s="55">
        <f t="shared" si="9"/>
        <v>43216.299999999996</v>
      </c>
      <c r="M65" s="55">
        <f t="shared" si="9"/>
        <v>46599.995052005033</v>
      </c>
      <c r="N65" s="55">
        <f t="shared" si="9"/>
        <v>48155.464731237662</v>
      </c>
      <c r="O65" s="55">
        <f t="shared" si="9"/>
        <v>49614.409959026132</v>
      </c>
      <c r="P65" s="55">
        <f t="shared" si="9"/>
        <v>50963.574474993133</v>
      </c>
      <c r="Q65" s="55">
        <f t="shared" si="9"/>
        <v>52196.090718620515</v>
      </c>
    </row>
    <row r="66" spans="1:17" x14ac:dyDescent="0.25">
      <c r="C66" s="10" t="s">
        <v>191</v>
      </c>
      <c r="E66" s="13"/>
      <c r="G66" s="13"/>
      <c r="H66" s="13"/>
      <c r="I66" s="13"/>
      <c r="L66" s="13"/>
    </row>
    <row r="67" spans="1:17" x14ac:dyDescent="0.25">
      <c r="D67" t="s">
        <v>192</v>
      </c>
      <c r="E67" s="13"/>
      <c r="F67" t="s">
        <v>171</v>
      </c>
      <c r="G67" s="13"/>
      <c r="H67" s="13">
        <f>historical!E66</f>
        <v>239.1</v>
      </c>
      <c r="I67" s="13">
        <f>historical!F66</f>
        <v>239.1</v>
      </c>
      <c r="J67" s="13">
        <f>historical!G66</f>
        <v>239.1</v>
      </c>
      <c r="K67" s="13">
        <f>historical!H66</f>
        <v>239.1</v>
      </c>
      <c r="L67" s="13">
        <f>historical!I66</f>
        <v>239.1</v>
      </c>
      <c r="M67" s="13">
        <f>L67</f>
        <v>239.1</v>
      </c>
      <c r="N67" s="13">
        <f>M67</f>
        <v>239.1</v>
      </c>
      <c r="O67" s="13">
        <f>N67</f>
        <v>239.1</v>
      </c>
      <c r="P67" s="13">
        <f>O67</f>
        <v>239.1</v>
      </c>
      <c r="Q67" s="13">
        <f>P67</f>
        <v>239.1</v>
      </c>
    </row>
    <row r="68" spans="1:17" x14ac:dyDescent="0.25">
      <c r="D68" s="12" t="s">
        <v>193</v>
      </c>
      <c r="E68" s="52"/>
      <c r="F68" t="s">
        <v>171</v>
      </c>
      <c r="G68" s="52"/>
      <c r="H68" s="52">
        <f>historical!E67</f>
        <v>54154.3</v>
      </c>
      <c r="I68" s="52">
        <f>historical!F67</f>
        <v>61367.6</v>
      </c>
      <c r="J68" s="52">
        <f>historical!G67</f>
        <v>73528.2</v>
      </c>
      <c r="K68" s="52">
        <f>historical!H67</f>
        <v>86139.9</v>
      </c>
      <c r="L68" s="52">
        <f>historical!I67</f>
        <v>90213.8</v>
      </c>
      <c r="M68" s="13">
        <f>L68+M38+M96</f>
        <v>102579.56233039781</v>
      </c>
      <c r="N68" s="13">
        <f>M68+N38+N96</f>
        <v>116408.32922378839</v>
      </c>
      <c r="O68" s="13">
        <f>N68+O38+O96</f>
        <v>131632.0519907517</v>
      </c>
      <c r="P68" s="13">
        <f>O68+P38+P96</f>
        <v>148165.74648091124</v>
      </c>
      <c r="Q68" s="13">
        <f>P68+Q38+Q96</f>
        <v>165913.87501910704</v>
      </c>
    </row>
    <row r="69" spans="1:17" x14ac:dyDescent="0.25">
      <c r="D69" s="54" t="s">
        <v>194</v>
      </c>
      <c r="E69" s="55"/>
      <c r="F69" s="56" t="s">
        <v>171</v>
      </c>
      <c r="G69" s="55"/>
      <c r="H69" s="55">
        <f t="shared" ref="H69:Q69" si="10">SUM(H67:H68)</f>
        <v>54393.4</v>
      </c>
      <c r="I69" s="55">
        <f t="shared" si="10"/>
        <v>61606.7</v>
      </c>
      <c r="J69" s="55">
        <f t="shared" si="10"/>
        <v>73767.3</v>
      </c>
      <c r="K69" s="55">
        <f t="shared" si="10"/>
        <v>86379</v>
      </c>
      <c r="L69" s="55">
        <f t="shared" si="10"/>
        <v>90452.900000000009</v>
      </c>
      <c r="M69" s="55">
        <f t="shared" si="10"/>
        <v>102818.66233039781</v>
      </c>
      <c r="N69" s="55">
        <f t="shared" si="10"/>
        <v>116647.42922378839</v>
      </c>
      <c r="O69" s="55">
        <f t="shared" si="10"/>
        <v>131871.15199075171</v>
      </c>
      <c r="P69" s="55">
        <f t="shared" si="10"/>
        <v>148404.84648091125</v>
      </c>
      <c r="Q69" s="55">
        <f t="shared" si="10"/>
        <v>166152.97501910705</v>
      </c>
    </row>
    <row r="70" spans="1:17" x14ac:dyDescent="0.25">
      <c r="D70" s="12" t="s">
        <v>195</v>
      </c>
      <c r="E70" s="13"/>
      <c r="F70" t="s">
        <v>171</v>
      </c>
      <c r="G70" s="13"/>
      <c r="H70" s="13">
        <f>historical!E69</f>
        <v>1326.1</v>
      </c>
      <c r="I70" s="13">
        <f>historical!F69</f>
        <v>1483</v>
      </c>
      <c r="J70" s="13">
        <f>historical!G69</f>
        <v>1812.8</v>
      </c>
      <c r="K70" s="13">
        <f>historical!H69</f>
        <v>2094.3000000000002</v>
      </c>
      <c r="L70" s="13">
        <f>historical!I69</f>
        <v>3897.1</v>
      </c>
      <c r="M70" s="13">
        <f>L70</f>
        <v>3897.1</v>
      </c>
      <c r="N70" s="13">
        <f>M70</f>
        <v>3897.1</v>
      </c>
      <c r="O70" s="13">
        <f>N70</f>
        <v>3897.1</v>
      </c>
      <c r="P70" s="13">
        <f>O70</f>
        <v>3897.1</v>
      </c>
      <c r="Q70" s="13">
        <f>P70</f>
        <v>3897.1</v>
      </c>
    </row>
    <row r="71" spans="1:17" ht="15.75" thickBot="1" x14ac:dyDescent="0.3">
      <c r="D71" s="16" t="s">
        <v>196</v>
      </c>
      <c r="E71" s="42"/>
      <c r="F71" s="42" t="s">
        <v>171</v>
      </c>
      <c r="G71" s="42"/>
      <c r="H71" s="53">
        <f t="shared" ref="H71:Q71" si="11">H65+H69+H70</f>
        <v>82081.900000000009</v>
      </c>
      <c r="I71" s="53">
        <f t="shared" si="11"/>
        <v>99433.299999999988</v>
      </c>
      <c r="J71" s="53">
        <f t="shared" si="11"/>
        <v>115192.59999999999</v>
      </c>
      <c r="K71" s="53">
        <f t="shared" si="11"/>
        <v>140691.9</v>
      </c>
      <c r="L71" s="53">
        <f t="shared" si="11"/>
        <v>137566.30000000002</v>
      </c>
      <c r="M71" s="53">
        <f t="shared" si="11"/>
        <v>153315.75738240287</v>
      </c>
      <c r="N71" s="53">
        <f t="shared" si="11"/>
        <v>168699.99395502606</v>
      </c>
      <c r="O71" s="53">
        <f t="shared" si="11"/>
        <v>185382.66194977783</v>
      </c>
      <c r="P71" s="53">
        <f t="shared" si="11"/>
        <v>203265.52095590439</v>
      </c>
      <c r="Q71" s="53">
        <f t="shared" si="11"/>
        <v>222246.16573772757</v>
      </c>
    </row>
    <row r="72" spans="1:17" ht="15.75" thickTop="1" x14ac:dyDescent="0.25">
      <c r="E72" s="13"/>
      <c r="F72" s="13"/>
      <c r="G72" s="13"/>
      <c r="H72" s="13"/>
      <c r="I72" s="13"/>
    </row>
    <row r="73" spans="1:17" x14ac:dyDescent="0.25">
      <c r="D73" s="61" t="s">
        <v>197</v>
      </c>
      <c r="E73" s="13"/>
      <c r="F73" s="13"/>
      <c r="G73" s="14"/>
      <c r="H73" s="14" t="b">
        <f t="shared" ref="H73:Q73" si="12">H71=H56</f>
        <v>1</v>
      </c>
      <c r="I73" s="14" t="b">
        <f t="shared" si="12"/>
        <v>1</v>
      </c>
      <c r="J73" s="14" t="b">
        <f t="shared" si="12"/>
        <v>1</v>
      </c>
      <c r="K73" s="14" t="b">
        <f t="shared" si="12"/>
        <v>1</v>
      </c>
      <c r="L73" s="14" t="b">
        <f t="shared" si="12"/>
        <v>1</v>
      </c>
      <c r="M73" s="14" t="b">
        <f t="shared" si="12"/>
        <v>1</v>
      </c>
      <c r="N73" s="14" t="b">
        <f t="shared" si="12"/>
        <v>1</v>
      </c>
      <c r="O73" s="14" t="b">
        <f t="shared" si="12"/>
        <v>1</v>
      </c>
      <c r="P73" s="14" t="b">
        <f t="shared" si="12"/>
        <v>1</v>
      </c>
      <c r="Q73" s="14" t="b">
        <f t="shared" si="12"/>
        <v>1</v>
      </c>
    </row>
    <row r="74" spans="1:17" x14ac:dyDescent="0.25">
      <c r="D74" t="s">
        <v>197</v>
      </c>
      <c r="E74" s="13"/>
      <c r="F74" s="13"/>
      <c r="G74" s="13"/>
      <c r="H74" s="13">
        <f t="shared" ref="H74:Q74" si="13">H71-H56</f>
        <v>0</v>
      </c>
      <c r="I74" s="13">
        <f t="shared" si="13"/>
        <v>0</v>
      </c>
      <c r="J74" s="13">
        <f t="shared" si="13"/>
        <v>0</v>
      </c>
      <c r="K74" s="13">
        <f t="shared" si="13"/>
        <v>0</v>
      </c>
      <c r="L74" s="13">
        <f t="shared" si="13"/>
        <v>0</v>
      </c>
      <c r="M74" s="13">
        <f t="shared" si="13"/>
        <v>0</v>
      </c>
      <c r="N74" s="13">
        <f t="shared" si="13"/>
        <v>0</v>
      </c>
      <c r="O74" s="13">
        <f t="shared" si="13"/>
        <v>0</v>
      </c>
      <c r="P74" s="13">
        <f t="shared" si="13"/>
        <v>0</v>
      </c>
      <c r="Q74" s="13">
        <f t="shared" si="13"/>
        <v>0</v>
      </c>
    </row>
    <row r="75" spans="1:17" x14ac:dyDescent="0.25">
      <c r="E75" s="13"/>
      <c r="F75" s="13"/>
      <c r="G75" s="13"/>
      <c r="H75" s="13"/>
      <c r="I75" s="13"/>
    </row>
    <row r="76" spans="1:17" ht="15.75" x14ac:dyDescent="0.25">
      <c r="A76" s="23" t="s">
        <v>199</v>
      </c>
      <c r="B76" s="23"/>
      <c r="C76" s="23"/>
      <c r="D76" s="23"/>
      <c r="E76" s="23"/>
      <c r="F76" s="23"/>
      <c r="G76" s="23"/>
      <c r="H76" s="23"/>
      <c r="I76" s="23"/>
      <c r="J76" s="24"/>
      <c r="K76" s="24"/>
      <c r="L76" s="24"/>
      <c r="M76" s="24"/>
      <c r="N76" s="24"/>
      <c r="O76" s="24"/>
      <c r="P76" s="24"/>
      <c r="Q76" s="24"/>
    </row>
    <row r="77" spans="1:17" x14ac:dyDescent="0.25">
      <c r="C77" s="10" t="s">
        <v>200</v>
      </c>
      <c r="E77" s="13"/>
      <c r="F77" s="13"/>
      <c r="G77" s="13"/>
      <c r="H77" s="13"/>
      <c r="I77" s="13"/>
    </row>
    <row r="78" spans="1:17" x14ac:dyDescent="0.25">
      <c r="D78" t="s">
        <v>201</v>
      </c>
      <c r="E78" s="13"/>
      <c r="F78" t="s">
        <v>171</v>
      </c>
      <c r="G78" s="13"/>
      <c r="H78" s="78">
        <f>historical!E102+historical!E129</f>
        <v>7035.5</v>
      </c>
      <c r="I78" s="78">
        <f>historical!F102+historical!F129</f>
        <v>9764.0999999999985</v>
      </c>
      <c r="J78" s="78">
        <f>historical!G102+historical!G129</f>
        <v>14414.2</v>
      </c>
      <c r="K78" s="78">
        <f>historical!H102+historical!H129</f>
        <v>14473.8</v>
      </c>
      <c r="L78" s="78">
        <f>historical!I102+historical!I129</f>
        <v>10313.800000000001</v>
      </c>
      <c r="M78" s="27">
        <f>M38</f>
        <v>18450.61551681365</v>
      </c>
      <c r="N78" s="27">
        <f>N38</f>
        <v>20633.524582174545</v>
      </c>
      <c r="O78" s="27">
        <f>O38</f>
        <v>22714.90006057448</v>
      </c>
      <c r="P78" s="27">
        <f>P38</f>
        <v>24669.473014251304</v>
      </c>
      <c r="Q78" s="27">
        <f>Q38</f>
        <v>26481.49681773028</v>
      </c>
    </row>
    <row r="79" spans="1:17" x14ac:dyDescent="0.25">
      <c r="D79" t="s">
        <v>202</v>
      </c>
      <c r="E79" s="14"/>
      <c r="F79" t="s">
        <v>171</v>
      </c>
      <c r="G79" s="14"/>
      <c r="H79" s="78">
        <f>historical!E104</f>
        <v>1931.8</v>
      </c>
      <c r="I79" s="78">
        <f>historical!F104</f>
        <v>2527.6</v>
      </c>
      <c r="J79" s="78">
        <f>historical!G104</f>
        <v>2745.8</v>
      </c>
      <c r="K79" s="78">
        <f>historical!H104</f>
        <v>3039.6</v>
      </c>
      <c r="L79" s="78">
        <f>historical!I104</f>
        <v>3104.2</v>
      </c>
      <c r="M79" s="27">
        <f>-M32</f>
        <v>2654.5801895336244</v>
      </c>
      <c r="N79" s="27">
        <f>-N32</f>
        <v>2673.4470835373563</v>
      </c>
      <c r="O79" s="27">
        <f>-O32</f>
        <v>2651.5431000022754</v>
      </c>
      <c r="P79" s="27">
        <f>-P32</f>
        <v>2596.4875313027046</v>
      </c>
      <c r="Q79" s="27">
        <f>-Q32</f>
        <v>2515.327522976278</v>
      </c>
    </row>
    <row r="80" spans="1:17" x14ac:dyDescent="0.25">
      <c r="D80" t="s">
        <v>258</v>
      </c>
      <c r="E80" s="13"/>
      <c r="F80" t="s">
        <v>171</v>
      </c>
      <c r="G80" s="13"/>
      <c r="H80" s="78">
        <f>historical!E119-historical!E104</f>
        <v>231.89999999999986</v>
      </c>
      <c r="I80" s="78">
        <f>historical!F119-historical!F104</f>
        <v>31.099999999999909</v>
      </c>
      <c r="J80" s="78">
        <f>historical!G119-historical!G104</f>
        <v>-1099.4000000000001</v>
      </c>
      <c r="K80" s="78">
        <f>historical!H119-historical!H104</f>
        <v>-953.59999999999991</v>
      </c>
      <c r="L80" s="78">
        <f>historical!I119-historical!I104</f>
        <v>139.30000000000018</v>
      </c>
      <c r="M80" s="27">
        <f>-M34-M35</f>
        <v>-1316.9501897525824</v>
      </c>
      <c r="N80" s="27">
        <f>-N34-N35</f>
        <v>-1517.1455334329839</v>
      </c>
      <c r="O80" s="27">
        <f>-O34-O35</f>
        <v>-1704.9177833119329</v>
      </c>
      <c r="P80" s="27">
        <f>-P34-P35</f>
        <v>-1878.5608041702171</v>
      </c>
      <c r="Q80" s="27">
        <f>-Q34-Q35</f>
        <v>-2037.1907127303052</v>
      </c>
    </row>
    <row r="81" spans="3:17" x14ac:dyDescent="0.25">
      <c r="D81" s="12" t="s">
        <v>203</v>
      </c>
      <c r="E81" s="14"/>
      <c r="F81" t="s">
        <v>171</v>
      </c>
      <c r="G81" s="14"/>
      <c r="H81" s="77">
        <f t="shared" ref="H81:Q81" si="14">H111</f>
        <v>-1402.7</v>
      </c>
      <c r="I81" s="77">
        <f t="shared" si="14"/>
        <v>-6472</v>
      </c>
      <c r="J81" s="77">
        <f t="shared" si="14"/>
        <v>-3411.6000000000004</v>
      </c>
      <c r="K81" s="77">
        <f t="shared" si="14"/>
        <v>-5449.6</v>
      </c>
      <c r="L81" s="77">
        <f t="shared" si="14"/>
        <v>3267.7000000000003</v>
      </c>
      <c r="M81" s="77">
        <f t="shared" si="14"/>
        <v>-3931.637603482066</v>
      </c>
      <c r="N81" s="77">
        <f t="shared" si="14"/>
        <v>-4105.3451568267956</v>
      </c>
      <c r="O81" s="77">
        <f t="shared" si="14"/>
        <v>-3850.5885424470871</v>
      </c>
      <c r="P81" s="77">
        <f t="shared" si="14"/>
        <v>-3560.8447309112744</v>
      </c>
      <c r="Q81" s="77">
        <f t="shared" si="14"/>
        <v>-3252.9753932473141</v>
      </c>
    </row>
    <row r="82" spans="3:17" x14ac:dyDescent="0.25">
      <c r="D82" s="54" t="s">
        <v>204</v>
      </c>
      <c r="E82" s="55"/>
      <c r="F82" s="56" t="s">
        <v>171</v>
      </c>
      <c r="G82" s="55"/>
      <c r="H82" s="34">
        <f t="shared" ref="H82:Q82" si="15">SUM(H78:H81)</f>
        <v>7796.4999999999991</v>
      </c>
      <c r="I82" s="34">
        <f t="shared" si="15"/>
        <v>5850.7999999999993</v>
      </c>
      <c r="J82" s="34">
        <f t="shared" si="15"/>
        <v>12649</v>
      </c>
      <c r="K82" s="34">
        <f t="shared" si="15"/>
        <v>11110.199999999999</v>
      </c>
      <c r="L82" s="34">
        <f t="shared" si="15"/>
        <v>16825</v>
      </c>
      <c r="M82" s="34">
        <f t="shared" si="15"/>
        <v>15856.607913112623</v>
      </c>
      <c r="N82" s="34">
        <f t="shared" si="15"/>
        <v>17684.480975452123</v>
      </c>
      <c r="O82" s="34">
        <f t="shared" si="15"/>
        <v>19810.936834817738</v>
      </c>
      <c r="P82" s="34">
        <f t="shared" si="15"/>
        <v>21826.555010472515</v>
      </c>
      <c r="Q82" s="34">
        <f t="shared" si="15"/>
        <v>23706.658234728937</v>
      </c>
    </row>
    <row r="83" spans="3:17" x14ac:dyDescent="0.25">
      <c r="C83" s="10"/>
      <c r="D83" s="10"/>
      <c r="E83" s="13"/>
      <c r="F83" s="13"/>
      <c r="G83" s="13"/>
      <c r="H83" s="27"/>
      <c r="I83" s="27"/>
      <c r="J83" s="27"/>
      <c r="K83" s="27"/>
      <c r="L83" s="27"/>
    </row>
    <row r="84" spans="3:17" x14ac:dyDescent="0.25">
      <c r="C84" s="10" t="s">
        <v>205</v>
      </c>
      <c r="D84" s="10"/>
      <c r="E84" s="13"/>
      <c r="F84" s="13"/>
      <c r="G84" s="13"/>
      <c r="H84" s="27"/>
      <c r="I84" s="27"/>
      <c r="J84" s="27"/>
      <c r="K84" s="27"/>
      <c r="L84" s="27"/>
    </row>
    <row r="85" spans="3:17" x14ac:dyDescent="0.25">
      <c r="C85" t="s">
        <v>158</v>
      </c>
      <c r="D85" s="12" t="s">
        <v>206</v>
      </c>
      <c r="E85" s="13"/>
      <c r="F85" t="s">
        <v>171</v>
      </c>
      <c r="G85" s="13"/>
      <c r="H85" s="78">
        <f>historical!E132</f>
        <v>-5291.6</v>
      </c>
      <c r="I85" s="78">
        <f>historical!F132</f>
        <v>-3630.9</v>
      </c>
      <c r="J85" s="78">
        <f>historical!G132</f>
        <v>-1949.1</v>
      </c>
      <c r="K85" s="78">
        <f>historical!H132</f>
        <v>-3388.8</v>
      </c>
      <c r="L85" s="78">
        <f>historical!I132</f>
        <v>-2329.1</v>
      </c>
      <c r="M85" s="27">
        <f>-M115</f>
        <v>-2838.8653343379042</v>
      </c>
      <c r="N85" s="27">
        <f>-N115</f>
        <v>-2459.4967228285723</v>
      </c>
      <c r="O85" s="27">
        <f>-O115</f>
        <v>-2113.7797856975885</v>
      </c>
      <c r="P85" s="27">
        <f>-P115</f>
        <v>-1803.7452874657881</v>
      </c>
      <c r="Q85" s="27">
        <f>-Q115</f>
        <v>-1529.6467659132179</v>
      </c>
    </row>
    <row r="86" spans="3:17" x14ac:dyDescent="0.25">
      <c r="D86" s="12" t="s">
        <v>207</v>
      </c>
      <c r="E86" s="13"/>
      <c r="F86" t="s">
        <v>171</v>
      </c>
      <c r="G86" s="13"/>
      <c r="H86" s="78">
        <f>historical!E133</f>
        <v>22.3</v>
      </c>
      <c r="I86" s="78">
        <f>historical!F133</f>
        <v>154.5</v>
      </c>
      <c r="J86" s="78">
        <f>historical!G133</f>
        <v>104.6</v>
      </c>
      <c r="K86" s="78">
        <f>historical!H133</f>
        <v>109</v>
      </c>
      <c r="L86" s="78">
        <f>historical!I133</f>
        <v>32</v>
      </c>
      <c r="M86" s="27"/>
      <c r="N86" s="27"/>
      <c r="O86" s="27"/>
      <c r="P86" s="27"/>
      <c r="Q86" s="27"/>
    </row>
    <row r="87" spans="3:17" x14ac:dyDescent="0.25">
      <c r="D87" s="12" t="s">
        <v>208</v>
      </c>
      <c r="E87" s="13"/>
      <c r="F87" t="s">
        <v>171</v>
      </c>
      <c r="G87" s="13"/>
      <c r="H87" s="78">
        <f>SUM(historical!E134:E137)</f>
        <v>1662.2</v>
      </c>
      <c r="I87" s="78">
        <f>SUM(historical!F134:F137)</f>
        <v>-4453.8999999999996</v>
      </c>
      <c r="J87" s="78">
        <f>SUM(historical!G134:G137)</f>
        <v>-8935.1999999999989</v>
      </c>
      <c r="K87" s="78">
        <f>SUM(historical!H134:H137)</f>
        <v>-12051.099999999999</v>
      </c>
      <c r="L87" s="78">
        <f>SUM(historical!I134:I137)</f>
        <v>1954.5</v>
      </c>
      <c r="M87" s="27">
        <f>L54-M54</f>
        <v>0</v>
      </c>
      <c r="N87" s="27">
        <f>M54-N54</f>
        <v>0</v>
      </c>
      <c r="O87" s="27">
        <f>N54-O54</f>
        <v>0</v>
      </c>
      <c r="P87" s="27">
        <f>O54-P54</f>
        <v>0</v>
      </c>
      <c r="Q87" s="27">
        <f>P54-Q54</f>
        <v>0</v>
      </c>
    </row>
    <row r="88" spans="3:17" x14ac:dyDescent="0.25">
      <c r="D88" t="s">
        <v>117</v>
      </c>
      <c r="E88" s="13"/>
      <c r="F88" t="s">
        <v>171</v>
      </c>
      <c r="G88" s="13"/>
      <c r="H88" s="78">
        <f>historical!E138</f>
        <v>1.2</v>
      </c>
      <c r="I88" s="78">
        <f>historical!F138</f>
        <v>1.1000000000000001</v>
      </c>
      <c r="J88" s="78">
        <f>historical!G138</f>
        <v>0.2</v>
      </c>
      <c r="K88" s="78">
        <f>historical!H138</f>
        <v>1.9</v>
      </c>
      <c r="L88" s="78">
        <f>historical!I138</f>
        <v>1.9</v>
      </c>
      <c r="M88" s="27"/>
      <c r="N88" s="27"/>
      <c r="O88" s="27"/>
      <c r="P88" s="27"/>
      <c r="Q88" s="27"/>
    </row>
    <row r="89" spans="3:17" x14ac:dyDescent="0.25">
      <c r="D89" t="s">
        <v>118</v>
      </c>
      <c r="E89" s="14"/>
      <c r="F89" t="s">
        <v>171</v>
      </c>
      <c r="G89" s="14"/>
      <c r="H89" s="78">
        <f>historical!E139</f>
        <v>436.7</v>
      </c>
      <c r="I89" s="78">
        <f>historical!F139</f>
        <v>509.2</v>
      </c>
      <c r="J89" s="78">
        <f>historical!G139</f>
        <v>785.7</v>
      </c>
      <c r="K89" s="78">
        <f>historical!H139</f>
        <v>977.7</v>
      </c>
      <c r="L89" s="78">
        <f>historical!I139</f>
        <v>1469.1</v>
      </c>
      <c r="M89" s="27">
        <f>M35</f>
        <v>1934.9112409196498</v>
      </c>
      <c r="N89" s="27">
        <f>N35</f>
        <v>2135.1065846000515</v>
      </c>
      <c r="O89" s="27">
        <f>O35</f>
        <v>2322.8788344790005</v>
      </c>
      <c r="P89" s="27">
        <f>P35</f>
        <v>2496.5218553372847</v>
      </c>
      <c r="Q89" s="27">
        <f>Q35</f>
        <v>2655.1517638973728</v>
      </c>
    </row>
    <row r="90" spans="3:17" x14ac:dyDescent="0.25">
      <c r="D90" t="s">
        <v>119</v>
      </c>
      <c r="E90" s="13"/>
      <c r="F90" t="s">
        <v>171</v>
      </c>
      <c r="G90" s="13"/>
      <c r="H90" s="78">
        <f>historical!E140</f>
        <v>5.3</v>
      </c>
      <c r="I90" s="78">
        <f>historical!F140</f>
        <v>6.5</v>
      </c>
      <c r="J90" s="78">
        <f>historical!G140</f>
        <v>8.4</v>
      </c>
      <c r="K90" s="78">
        <f>historical!H140</f>
        <v>0</v>
      </c>
      <c r="L90" s="78">
        <f>historical!I140</f>
        <v>0</v>
      </c>
      <c r="M90" s="27"/>
      <c r="N90" s="27"/>
      <c r="O90" s="27"/>
      <c r="P90" s="27"/>
      <c r="Q90" s="27"/>
    </row>
    <row r="91" spans="3:17" x14ac:dyDescent="0.25">
      <c r="D91" s="54" t="s">
        <v>209</v>
      </c>
      <c r="E91" s="57"/>
      <c r="F91" s="56" t="s">
        <v>171</v>
      </c>
      <c r="G91" s="57"/>
      <c r="H91" s="34">
        <f t="shared" ref="H91:Q91" si="16">SUM(H85:H90)</f>
        <v>-3163.9000000000005</v>
      </c>
      <c r="I91" s="34">
        <f t="shared" si="16"/>
        <v>-7413.4999999999991</v>
      </c>
      <c r="J91" s="34">
        <f t="shared" si="16"/>
        <v>-9985.3999999999978</v>
      </c>
      <c r="K91" s="34">
        <f t="shared" si="16"/>
        <v>-14351.299999999997</v>
      </c>
      <c r="L91" s="34">
        <f t="shared" si="16"/>
        <v>1128.4000000000001</v>
      </c>
      <c r="M91" s="34">
        <f t="shared" si="16"/>
        <v>-903.95409341825439</v>
      </c>
      <c r="N91" s="34">
        <f t="shared" si="16"/>
        <v>-324.39013822852075</v>
      </c>
      <c r="O91" s="34">
        <f t="shared" si="16"/>
        <v>209.09904878141197</v>
      </c>
      <c r="P91" s="34">
        <f t="shared" si="16"/>
        <v>692.77656787149658</v>
      </c>
      <c r="Q91" s="34">
        <f t="shared" si="16"/>
        <v>1125.5049979841549</v>
      </c>
    </row>
    <row r="92" spans="3:17" x14ac:dyDescent="0.25">
      <c r="D92" s="10"/>
      <c r="E92" s="13"/>
      <c r="F92" s="13"/>
      <c r="G92" s="13"/>
      <c r="H92" s="27"/>
      <c r="I92" s="27"/>
      <c r="J92" s="27"/>
      <c r="K92" s="27"/>
      <c r="L92" s="27"/>
    </row>
    <row r="93" spans="3:17" x14ac:dyDescent="0.25">
      <c r="C93" s="10" t="s">
        <v>210</v>
      </c>
      <c r="E93" s="13"/>
      <c r="F93" s="13"/>
      <c r="G93" s="13"/>
      <c r="H93" s="27"/>
      <c r="I93" s="27"/>
      <c r="J93" s="27"/>
      <c r="K93" s="27"/>
      <c r="L93" s="27"/>
    </row>
    <row r="94" spans="3:17" x14ac:dyDescent="0.25">
      <c r="D94" s="12" t="s">
        <v>211</v>
      </c>
      <c r="E94" s="13"/>
      <c r="F94" t="s">
        <v>171</v>
      </c>
      <c r="G94" s="13"/>
      <c r="H94" s="78">
        <f>historical!E143+historical!E144+historical!E147</f>
        <v>-1057.3</v>
      </c>
      <c r="I94" s="78">
        <f>historical!F143+historical!F144+historical!F147</f>
        <v>5837.7</v>
      </c>
      <c r="J94" s="78">
        <f>historical!G143+historical!G144+historical!G147</f>
        <v>1166.5000000000002</v>
      </c>
      <c r="K94" s="78">
        <f>historical!H143+historical!H144+historical!H147</f>
        <v>8416.1</v>
      </c>
      <c r="L94" s="78">
        <f>historical!I143+historical!I144+historical!I147</f>
        <v>-13023.199999999999</v>
      </c>
      <c r="M94" s="27">
        <f>M121</f>
        <v>0</v>
      </c>
      <c r="N94" s="27">
        <f>N121</f>
        <v>0</v>
      </c>
      <c r="O94" s="27">
        <f>O121</f>
        <v>0</v>
      </c>
      <c r="P94" s="27">
        <f>P121</f>
        <v>0</v>
      </c>
      <c r="Q94" s="27">
        <f>Q121</f>
        <v>0</v>
      </c>
    </row>
    <row r="95" spans="3:17" x14ac:dyDescent="0.25">
      <c r="D95" s="12" t="s">
        <v>212</v>
      </c>
      <c r="E95" s="13"/>
      <c r="F95" t="s">
        <v>171</v>
      </c>
      <c r="G95" s="13"/>
      <c r="H95" s="78">
        <f>historical!E145</f>
        <v>0</v>
      </c>
      <c r="I95" s="78">
        <f>historical!F145</f>
        <v>0</v>
      </c>
      <c r="J95" s="78">
        <f>historical!G145</f>
        <v>0</v>
      </c>
      <c r="K95" s="78">
        <f>historical!H145</f>
        <v>0</v>
      </c>
      <c r="L95" s="78">
        <f>historical!I145</f>
        <v>1614.8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</row>
    <row r="96" spans="3:17" x14ac:dyDescent="0.25">
      <c r="D96" s="12" t="s">
        <v>214</v>
      </c>
      <c r="E96" s="13"/>
      <c r="F96" t="s">
        <v>171</v>
      </c>
      <c r="G96" s="13"/>
      <c r="H96" s="78">
        <f>historical!E146</f>
        <v>-2185.8000000000002</v>
      </c>
      <c r="I96" s="78">
        <f>historical!F146</f>
        <v>-4395.6000000000004</v>
      </c>
      <c r="J96" s="78">
        <f>historical!G146</f>
        <v>-3347.8</v>
      </c>
      <c r="K96" s="78">
        <f>historical!H146</f>
        <v>-4219.1000000000004</v>
      </c>
      <c r="L96" s="78">
        <f>historical!I146</f>
        <v>-5295.2</v>
      </c>
      <c r="M96" s="27">
        <f>-M38*M15</f>
        <v>-6084.8531864158458</v>
      </c>
      <c r="N96" s="27">
        <f>-N38*N15</f>
        <v>-6804.7576887839668</v>
      </c>
      <c r="O96" s="27">
        <f>-O38*O15</f>
        <v>-7491.1772936111574</v>
      </c>
      <c r="P96" s="27">
        <f>-P38*P15</f>
        <v>-8135.7785240917638</v>
      </c>
      <c r="Q96" s="27">
        <f>-Q38*Q15</f>
        <v>-8733.3682795344885</v>
      </c>
    </row>
    <row r="97" spans="1:17" x14ac:dyDescent="0.25">
      <c r="D97" s="12" t="s">
        <v>213</v>
      </c>
      <c r="E97" s="13"/>
      <c r="F97" t="s">
        <v>171</v>
      </c>
      <c r="G97" s="13"/>
      <c r="H97" s="78">
        <f>historical!E148</f>
        <v>-546.29999999999995</v>
      </c>
      <c r="I97" s="78">
        <f>historical!F148</f>
        <v>-650.6</v>
      </c>
      <c r="J97" s="78">
        <f>historical!G148</f>
        <v>-536.20000000000005</v>
      </c>
      <c r="K97" s="78">
        <f>historical!H148</f>
        <v>-401.3</v>
      </c>
      <c r="L97" s="78">
        <f>historical!I148</f>
        <v>-904.6</v>
      </c>
      <c r="M97" s="27">
        <f>M123</f>
        <v>-617.96105116706747</v>
      </c>
      <c r="N97" s="27">
        <f>N123</f>
        <v>-617.96105116706747</v>
      </c>
      <c r="O97" s="27">
        <f>O123</f>
        <v>-617.96105116706747</v>
      </c>
      <c r="P97" s="27">
        <f>P123</f>
        <v>-617.96105116706747</v>
      </c>
      <c r="Q97" s="27">
        <f>Q123</f>
        <v>-617.96105116706747</v>
      </c>
    </row>
    <row r="98" spans="1:17" x14ac:dyDescent="0.25">
      <c r="D98" s="54" t="s">
        <v>215</v>
      </c>
      <c r="E98" s="55"/>
      <c r="F98" s="56" t="s">
        <v>171</v>
      </c>
      <c r="G98" s="55"/>
      <c r="H98" s="34">
        <f t="shared" ref="H98:Q98" si="17">+SUM(H94:H97)</f>
        <v>-3789.4000000000005</v>
      </c>
      <c r="I98" s="34">
        <f t="shared" si="17"/>
        <v>791.49999999999943</v>
      </c>
      <c r="J98" s="34">
        <f t="shared" si="17"/>
        <v>-2717.5</v>
      </c>
      <c r="K98" s="34">
        <f t="shared" si="17"/>
        <v>3795.7</v>
      </c>
      <c r="L98" s="34">
        <f t="shared" si="17"/>
        <v>-17608.199999999997</v>
      </c>
      <c r="M98" s="34">
        <f t="shared" si="17"/>
        <v>-6702.8142375829129</v>
      </c>
      <c r="N98" s="34">
        <f t="shared" si="17"/>
        <v>-7422.718739951034</v>
      </c>
      <c r="O98" s="34">
        <f t="shared" si="17"/>
        <v>-8109.1383447782246</v>
      </c>
      <c r="P98" s="34">
        <f t="shared" si="17"/>
        <v>-8753.7395752588309</v>
      </c>
      <c r="Q98" s="34">
        <f t="shared" si="17"/>
        <v>-9351.3293307015556</v>
      </c>
    </row>
    <row r="99" spans="1:17" x14ac:dyDescent="0.25">
      <c r="D99" s="10"/>
      <c r="E99" s="14"/>
      <c r="F99" s="14"/>
      <c r="G99" s="14"/>
      <c r="H99" s="35"/>
      <c r="I99" s="35"/>
      <c r="J99" s="27"/>
      <c r="K99" s="27"/>
      <c r="L99" s="27"/>
    </row>
    <row r="100" spans="1:17" x14ac:dyDescent="0.25">
      <c r="D100" s="10" t="s">
        <v>216</v>
      </c>
      <c r="E100" s="14"/>
      <c r="F100" t="s">
        <v>171</v>
      </c>
      <c r="G100" s="14"/>
      <c r="H100" s="35">
        <f t="shared" ref="H100:Q100" si="18">H82+H91+H98</f>
        <v>843.199999999998</v>
      </c>
      <c r="I100" s="35">
        <f t="shared" si="18"/>
        <v>-771.20000000000039</v>
      </c>
      <c r="J100" s="35">
        <f t="shared" si="18"/>
        <v>-53.899999999997817</v>
      </c>
      <c r="K100" s="35">
        <f t="shared" si="18"/>
        <v>554.60000000000127</v>
      </c>
      <c r="L100" s="35">
        <f t="shared" si="18"/>
        <v>345.20000000000437</v>
      </c>
      <c r="M100" s="35">
        <f t="shared" si="18"/>
        <v>8249.8395821114536</v>
      </c>
      <c r="N100" s="35">
        <f t="shared" si="18"/>
        <v>9937.3720972725678</v>
      </c>
      <c r="O100" s="35">
        <f t="shared" si="18"/>
        <v>11910.897538820926</v>
      </c>
      <c r="P100" s="35">
        <f t="shared" si="18"/>
        <v>13765.592003085181</v>
      </c>
      <c r="Q100" s="35">
        <f t="shared" si="18"/>
        <v>15480.833902011535</v>
      </c>
    </row>
    <row r="101" spans="1:17" x14ac:dyDescent="0.25">
      <c r="D101" s="10" t="s">
        <v>217</v>
      </c>
      <c r="E101" s="14"/>
      <c r="F101" t="s">
        <v>171</v>
      </c>
      <c r="G101" s="14"/>
      <c r="H101" s="79">
        <f>historical!E151+historical!E152</f>
        <v>1647.3</v>
      </c>
      <c r="I101" s="79">
        <f>historical!F151+historical!F152</f>
        <v>2530.6</v>
      </c>
      <c r="J101" s="79">
        <f>historical!G151+historical!G152</f>
        <v>1796.1000000000001</v>
      </c>
      <c r="K101" s="79">
        <f>historical!H151+historical!H152</f>
        <v>1767.2</v>
      </c>
      <c r="L101" s="79">
        <f>historical!I151+historical!I152</f>
        <v>2392.8000000000002</v>
      </c>
      <c r="M101" s="27">
        <f>L102</f>
        <v>2738.0000000000045</v>
      </c>
      <c r="N101" s="27">
        <f>M102</f>
        <v>10987.839582111457</v>
      </c>
      <c r="O101" s="27">
        <f>N102</f>
        <v>20925.211679384025</v>
      </c>
      <c r="P101" s="27">
        <f>O102</f>
        <v>32836.109218204947</v>
      </c>
      <c r="Q101" s="27">
        <f>P102</f>
        <v>46601.701221290132</v>
      </c>
    </row>
    <row r="102" spans="1:17" ht="15.75" thickBot="1" x14ac:dyDescent="0.3">
      <c r="D102" s="16" t="s">
        <v>218</v>
      </c>
      <c r="E102" s="53"/>
      <c r="F102" s="15" t="s">
        <v>171</v>
      </c>
      <c r="G102" s="53"/>
      <c r="H102" s="40">
        <f t="shared" ref="H102:Q102" si="19">SUM(H100:H101)</f>
        <v>2490.4999999999982</v>
      </c>
      <c r="I102" s="40">
        <f t="shared" si="19"/>
        <v>1759.3999999999996</v>
      </c>
      <c r="J102" s="40">
        <f t="shared" si="19"/>
        <v>1742.2000000000023</v>
      </c>
      <c r="K102" s="40">
        <f t="shared" si="19"/>
        <v>2321.8000000000011</v>
      </c>
      <c r="L102" s="40">
        <f t="shared" si="19"/>
        <v>2738.0000000000045</v>
      </c>
      <c r="M102" s="40">
        <f t="shared" si="19"/>
        <v>10987.839582111457</v>
      </c>
      <c r="N102" s="40">
        <f t="shared" si="19"/>
        <v>20925.211679384025</v>
      </c>
      <c r="O102" s="40">
        <f t="shared" si="19"/>
        <v>32836.109218204947</v>
      </c>
      <c r="P102" s="40">
        <f t="shared" si="19"/>
        <v>46601.701221290132</v>
      </c>
      <c r="Q102" s="40">
        <f t="shared" si="19"/>
        <v>62082.53512330167</v>
      </c>
    </row>
    <row r="103" spans="1:17" ht="15.75" thickTop="1" x14ac:dyDescent="0.25">
      <c r="E103" s="13"/>
      <c r="F103" s="13"/>
      <c r="G103" s="13"/>
      <c r="H103" s="13"/>
      <c r="I103" s="13"/>
    </row>
    <row r="104" spans="1:17" ht="15.75" x14ac:dyDescent="0.25">
      <c r="A104" s="23" t="s">
        <v>219</v>
      </c>
      <c r="B104" s="23"/>
      <c r="C104" s="23"/>
      <c r="D104" s="23"/>
      <c r="E104" s="23"/>
      <c r="F104" s="23"/>
      <c r="G104" s="23"/>
      <c r="H104" s="23"/>
      <c r="I104" s="23"/>
      <c r="J104" s="24"/>
      <c r="K104" s="24"/>
      <c r="L104" s="24"/>
      <c r="M104" s="24"/>
      <c r="N104" s="24"/>
      <c r="O104" s="24"/>
      <c r="P104" s="24"/>
      <c r="Q104" s="24"/>
    </row>
    <row r="105" spans="1:17" x14ac:dyDescent="0.25">
      <c r="E105" s="13"/>
      <c r="F105" s="13"/>
      <c r="G105" s="13"/>
      <c r="H105" s="13"/>
      <c r="I105" s="13"/>
    </row>
    <row r="106" spans="1:17" x14ac:dyDescent="0.25">
      <c r="C106" s="10" t="s">
        <v>220</v>
      </c>
      <c r="E106" s="13"/>
      <c r="F106" s="13"/>
      <c r="G106" s="13"/>
      <c r="H106" s="13"/>
      <c r="I106" s="13"/>
    </row>
    <row r="107" spans="1:17" x14ac:dyDescent="0.25">
      <c r="D107" t="s">
        <v>229</v>
      </c>
      <c r="E107" s="13"/>
      <c r="F107" t="s">
        <v>171</v>
      </c>
      <c r="G107" s="13"/>
      <c r="H107" s="79">
        <f>historical!E122</f>
        <v>-1558.5</v>
      </c>
      <c r="I107" s="79">
        <f>historical!F122</f>
        <v>-2574.4</v>
      </c>
      <c r="J107" s="79">
        <f>historical!G122</f>
        <v>-257.60000000000002</v>
      </c>
      <c r="K107" s="79">
        <f>historical!H122</f>
        <v>-2217.5</v>
      </c>
      <c r="L107" s="79">
        <f>historical!I122</f>
        <v>-1347.1</v>
      </c>
      <c r="M107" s="27">
        <f t="shared" ref="M107:Q108" si="20">L47-M47</f>
        <v>-2350.3604917961893</v>
      </c>
      <c r="N107" s="27">
        <f t="shared" si="20"/>
        <v>-2449.2370528894826</v>
      </c>
      <c r="O107" s="27">
        <f t="shared" si="20"/>
        <v>-2297.2499931973434</v>
      </c>
      <c r="P107" s="27">
        <f t="shared" si="20"/>
        <v>-2124.3896728223663</v>
      </c>
      <c r="Q107" s="27">
        <f t="shared" si="20"/>
        <v>-1940.7157159563467</v>
      </c>
    </row>
    <row r="108" spans="1:17" x14ac:dyDescent="0.25">
      <c r="D108" t="s">
        <v>221</v>
      </c>
      <c r="E108" s="13"/>
      <c r="F108" t="s">
        <v>171</v>
      </c>
      <c r="G108" s="13"/>
      <c r="H108" s="79">
        <f>historical!E124</f>
        <v>-373</v>
      </c>
      <c r="I108" s="79">
        <f>historical!F124</f>
        <v>-2817.4</v>
      </c>
      <c r="J108" s="79">
        <f>historical!G124</f>
        <v>-4977</v>
      </c>
      <c r="K108" s="79">
        <f>historical!H124</f>
        <v>-6731.4</v>
      </c>
      <c r="L108" s="79">
        <f>historical!I124</f>
        <v>4734.1000000000004</v>
      </c>
      <c r="M108" s="27">
        <f t="shared" si="20"/>
        <v>-4964.9721636909198</v>
      </c>
      <c r="N108" s="27">
        <f t="shared" si="20"/>
        <v>-3211.5777831699306</v>
      </c>
      <c r="O108" s="27">
        <f t="shared" si="20"/>
        <v>-3012.2837770382175</v>
      </c>
      <c r="P108" s="27">
        <f t="shared" si="20"/>
        <v>-2785.6195740559124</v>
      </c>
      <c r="Q108" s="27">
        <f t="shared" si="20"/>
        <v>-2544.7759209183423</v>
      </c>
    </row>
    <row r="109" spans="1:17" x14ac:dyDescent="0.25">
      <c r="D109" t="s">
        <v>186</v>
      </c>
      <c r="E109" s="13"/>
      <c r="F109" t="s">
        <v>171</v>
      </c>
      <c r="G109" s="13"/>
      <c r="H109" s="79">
        <f>historical!E125</f>
        <v>-109.5</v>
      </c>
      <c r="I109" s="79">
        <f>historical!F125</f>
        <v>-37.4</v>
      </c>
      <c r="J109" s="79">
        <f>historical!G125</f>
        <v>2124.1999999999998</v>
      </c>
      <c r="K109" s="79">
        <f>historical!H125</f>
        <v>3344.9</v>
      </c>
      <c r="L109" s="79">
        <f>historical!I125</f>
        <v>145.1</v>
      </c>
      <c r="M109" s="27">
        <f>M60-L60</f>
        <v>3383.6950520050432</v>
      </c>
      <c r="N109" s="27">
        <f>N60-M60</f>
        <v>1555.4696792326176</v>
      </c>
      <c r="O109" s="27">
        <f>O60-N60</f>
        <v>1458.9452277884739</v>
      </c>
      <c r="P109" s="27">
        <f>P60-O60</f>
        <v>1349.1645159670043</v>
      </c>
      <c r="Q109" s="27">
        <f>Q60-P60</f>
        <v>1232.5162436273749</v>
      </c>
    </row>
    <row r="110" spans="1:17" x14ac:dyDescent="0.25">
      <c r="D110" t="s">
        <v>222</v>
      </c>
      <c r="E110" s="13"/>
      <c r="F110" t="s">
        <v>171</v>
      </c>
      <c r="G110" s="13"/>
      <c r="H110" s="79">
        <f>historical!E123+historical!E126</f>
        <v>638.29999999999995</v>
      </c>
      <c r="I110" s="79">
        <f>historical!F123+historical!F126</f>
        <v>-1042.8</v>
      </c>
      <c r="J110" s="79">
        <f>historical!G123+historical!G126</f>
        <v>-301.20000000000005</v>
      </c>
      <c r="K110" s="79">
        <f>historical!H123+historical!H126</f>
        <v>154.40000000000003</v>
      </c>
      <c r="L110" s="79">
        <f>historical!I123+historical!I126</f>
        <v>-264.40000000000003</v>
      </c>
      <c r="M110" s="27">
        <f>(M49-L49)+(M61-L61)</f>
        <v>0</v>
      </c>
      <c r="N110" s="27">
        <f>(N49-M49)+(N61-M61)</f>
        <v>0</v>
      </c>
      <c r="O110" s="27">
        <f>(O49-N49)+(O61-N61)</f>
        <v>0</v>
      </c>
      <c r="P110" s="27">
        <f>(P49-O49)+(P61-O61)</f>
        <v>0</v>
      </c>
      <c r="Q110" s="27">
        <f>(Q49-P49)+(Q61-P61)</f>
        <v>0</v>
      </c>
    </row>
    <row r="111" spans="1:17" x14ac:dyDescent="0.25">
      <c r="D111" s="54" t="s">
        <v>143</v>
      </c>
      <c r="E111" s="55"/>
      <c r="F111" s="54" t="s">
        <v>171</v>
      </c>
      <c r="G111" s="55"/>
      <c r="H111" s="34">
        <f t="shared" ref="H111:Q111" si="21">SUM(H107:H110)</f>
        <v>-1402.7</v>
      </c>
      <c r="I111" s="34">
        <f t="shared" si="21"/>
        <v>-6472</v>
      </c>
      <c r="J111" s="34">
        <f t="shared" si="21"/>
        <v>-3411.6000000000004</v>
      </c>
      <c r="K111" s="34">
        <f t="shared" si="21"/>
        <v>-5449.6</v>
      </c>
      <c r="L111" s="34">
        <f t="shared" si="21"/>
        <v>3267.7000000000003</v>
      </c>
      <c r="M111" s="34">
        <f t="shared" si="21"/>
        <v>-3931.637603482066</v>
      </c>
      <c r="N111" s="34">
        <f t="shared" si="21"/>
        <v>-4105.3451568267956</v>
      </c>
      <c r="O111" s="34">
        <f t="shared" si="21"/>
        <v>-3850.5885424470871</v>
      </c>
      <c r="P111" s="34">
        <f t="shared" si="21"/>
        <v>-3560.8447309112744</v>
      </c>
      <c r="Q111" s="34">
        <f t="shared" si="21"/>
        <v>-3252.9753932473141</v>
      </c>
    </row>
    <row r="112" spans="1:17" x14ac:dyDescent="0.25">
      <c r="D112" s="10"/>
      <c r="E112" s="14"/>
      <c r="F112" s="14"/>
      <c r="G112" s="14"/>
      <c r="H112" s="14"/>
      <c r="I112" s="14"/>
    </row>
    <row r="113" spans="1:17" x14ac:dyDescent="0.25">
      <c r="C113" s="10" t="s">
        <v>223</v>
      </c>
      <c r="D113" s="10"/>
      <c r="E113" s="14"/>
      <c r="F113" s="14"/>
      <c r="G113" s="14"/>
      <c r="H113" s="14"/>
      <c r="I113" s="14"/>
    </row>
    <row r="114" spans="1:17" x14ac:dyDescent="0.25">
      <c r="D114" s="12" t="s">
        <v>224</v>
      </c>
      <c r="E114" s="13"/>
      <c r="F114" t="s">
        <v>171</v>
      </c>
      <c r="G114" s="13"/>
      <c r="H114" s="13"/>
      <c r="I114" s="13">
        <f t="shared" ref="I114:Q114" si="22">H117</f>
        <v>26428.400000000001</v>
      </c>
      <c r="J114" s="13">
        <f t="shared" si="22"/>
        <v>28725.300000000003</v>
      </c>
      <c r="K114" s="13">
        <f t="shared" si="22"/>
        <v>27908.699999999997</v>
      </c>
      <c r="L114" s="13">
        <f t="shared" si="22"/>
        <v>28381.200000000001</v>
      </c>
      <c r="M114" s="27">
        <f t="shared" si="22"/>
        <v>25929</v>
      </c>
      <c r="N114" s="27">
        <f t="shared" si="22"/>
        <v>26113.285144804278</v>
      </c>
      <c r="O114" s="27">
        <f t="shared" si="22"/>
        <v>25899.334784095492</v>
      </c>
      <c r="P114" s="27">
        <f t="shared" si="22"/>
        <v>25361.571469790804</v>
      </c>
      <c r="Q114" s="27">
        <f t="shared" si="22"/>
        <v>24568.829225953887</v>
      </c>
    </row>
    <row r="115" spans="1:17" x14ac:dyDescent="0.25">
      <c r="D115" s="12" t="s">
        <v>227</v>
      </c>
      <c r="F115" t="s">
        <v>171</v>
      </c>
      <c r="I115" s="13">
        <f>I117-I114-I116</f>
        <v>4824.5000000000018</v>
      </c>
      <c r="J115" s="13">
        <f>J117-J114-J116</f>
        <v>1929.1999999999944</v>
      </c>
      <c r="K115" s="13">
        <f>K117-K114-K116</f>
        <v>3512.1000000000035</v>
      </c>
      <c r="L115" s="13">
        <f>L117-L114-L116</f>
        <v>651.99999999999909</v>
      </c>
      <c r="M115" s="13">
        <f>(M25-L25)/M19</f>
        <v>2838.8653343379042</v>
      </c>
      <c r="N115" s="13">
        <f>(N25-M25)/N19</f>
        <v>2459.4967228285723</v>
      </c>
      <c r="O115" s="13">
        <f>(O25-N25)/O19</f>
        <v>2113.7797856975885</v>
      </c>
      <c r="P115" s="13">
        <f>(P25-O25)/P19</f>
        <v>1803.7452874657881</v>
      </c>
      <c r="Q115" s="13">
        <f>(Q25-P25)/Q19</f>
        <v>1529.6467659132179</v>
      </c>
    </row>
    <row r="116" spans="1:17" x14ac:dyDescent="0.25">
      <c r="D116" s="12" t="s">
        <v>225</v>
      </c>
      <c r="F116" t="s">
        <v>171</v>
      </c>
      <c r="H116" s="27">
        <f>-H79</f>
        <v>-1931.8</v>
      </c>
      <c r="I116" s="27">
        <f>-I79</f>
        <v>-2527.6</v>
      </c>
      <c r="J116" s="27">
        <f>-J79</f>
        <v>-2745.8</v>
      </c>
      <c r="K116" s="27">
        <f>-K79</f>
        <v>-3039.6</v>
      </c>
      <c r="L116" s="27">
        <f>-L79</f>
        <v>-3104.2</v>
      </c>
      <c r="M116" s="27">
        <f>-M114*M11</f>
        <v>-2654.5801895336244</v>
      </c>
      <c r="N116" s="27">
        <f>-N114*N11</f>
        <v>-2673.4470835373563</v>
      </c>
      <c r="O116" s="27">
        <f>-O114*O11</f>
        <v>-2651.5431000022754</v>
      </c>
      <c r="P116" s="27">
        <f>-P114*P11</f>
        <v>-2596.4875313027046</v>
      </c>
      <c r="Q116" s="27">
        <f>-Q114*Q11</f>
        <v>-2515.327522976278</v>
      </c>
    </row>
    <row r="117" spans="1:17" x14ac:dyDescent="0.25">
      <c r="D117" s="54" t="s">
        <v>226</v>
      </c>
      <c r="E117" s="54"/>
      <c r="F117" s="54" t="s">
        <v>171</v>
      </c>
      <c r="G117" s="54"/>
      <c r="H117" s="55">
        <f>H52</f>
        <v>26428.400000000001</v>
      </c>
      <c r="I117" s="55">
        <f>I52</f>
        <v>28725.300000000003</v>
      </c>
      <c r="J117" s="55">
        <f>J52</f>
        <v>27908.699999999997</v>
      </c>
      <c r="K117" s="55">
        <f>K52</f>
        <v>28381.200000000001</v>
      </c>
      <c r="L117" s="55">
        <f>L52</f>
        <v>25929</v>
      </c>
      <c r="M117" s="34">
        <f>SUM(M114:M116)</f>
        <v>26113.285144804278</v>
      </c>
      <c r="N117" s="34">
        <f>SUM(N114:N116)</f>
        <v>25899.334784095492</v>
      </c>
      <c r="O117" s="34">
        <f>SUM(O114:O116)</f>
        <v>25361.571469790804</v>
      </c>
      <c r="P117" s="34">
        <f>SUM(P114:P116)</f>
        <v>24568.829225953887</v>
      </c>
      <c r="Q117" s="34">
        <f>SUM(Q114:Q116)</f>
        <v>23583.148468890828</v>
      </c>
    </row>
    <row r="118" spans="1:17" s="41" customFormat="1" ht="15.75" x14ac:dyDescent="0.25">
      <c r="A118" s="19"/>
      <c r="B118" s="19"/>
      <c r="C118" s="19"/>
      <c r="D118" s="19" t="s">
        <v>158</v>
      </c>
      <c r="E118" s="19"/>
      <c r="F118" s="19"/>
      <c r="G118" s="19"/>
      <c r="H118" s="19"/>
      <c r="I118" s="19"/>
    </row>
    <row r="119" spans="1:17" x14ac:dyDescent="0.25">
      <c r="C119" s="10" t="s">
        <v>228</v>
      </c>
      <c r="D119" s="12"/>
    </row>
    <row r="120" spans="1:17" x14ac:dyDescent="0.25">
      <c r="D120" s="12" t="s">
        <v>230</v>
      </c>
      <c r="F120" t="s">
        <v>171</v>
      </c>
      <c r="H120" s="27"/>
      <c r="I120" s="27">
        <f t="shared" ref="I120:Q120" si="23">H122</f>
        <v>9025.7000000000007</v>
      </c>
      <c r="J120" s="27">
        <f t="shared" si="23"/>
        <v>16627.5</v>
      </c>
      <c r="K120" s="27">
        <f t="shared" si="23"/>
        <v>17919.8</v>
      </c>
      <c r="L120" s="27">
        <f t="shared" si="23"/>
        <v>26681.9</v>
      </c>
      <c r="M120" s="27">
        <f t="shared" si="23"/>
        <v>13966.8</v>
      </c>
      <c r="N120" s="27">
        <f t="shared" si="23"/>
        <v>13966.8</v>
      </c>
      <c r="O120" s="27">
        <f t="shared" si="23"/>
        <v>13966.8</v>
      </c>
      <c r="P120" s="27">
        <f t="shared" si="23"/>
        <v>13966.8</v>
      </c>
      <c r="Q120" s="27">
        <f t="shared" si="23"/>
        <v>13966.8</v>
      </c>
    </row>
    <row r="121" spans="1:17" x14ac:dyDescent="0.25">
      <c r="D121" t="s">
        <v>231</v>
      </c>
      <c r="E121" s="1"/>
      <c r="F121" t="s">
        <v>171</v>
      </c>
      <c r="G121" s="1"/>
      <c r="H121" s="27"/>
      <c r="I121" s="27">
        <f>I122-I120</f>
        <v>7601.7999999999993</v>
      </c>
      <c r="J121" s="27">
        <f>J122-J120</f>
        <v>1292.2999999999993</v>
      </c>
      <c r="K121" s="27">
        <f>K122-K120</f>
        <v>8762.1000000000022</v>
      </c>
      <c r="L121" s="109">
        <f>L122-L120</f>
        <v>-12715.100000000002</v>
      </c>
      <c r="M121" s="109">
        <v>0</v>
      </c>
      <c r="N121" s="109">
        <f>M121</f>
        <v>0</v>
      </c>
      <c r="O121" s="109">
        <f>N121</f>
        <v>0</v>
      </c>
      <c r="P121" s="109">
        <f>O121</f>
        <v>0</v>
      </c>
      <c r="Q121" s="109">
        <f>P121</f>
        <v>0</v>
      </c>
    </row>
    <row r="122" spans="1:17" x14ac:dyDescent="0.25">
      <c r="D122" s="54" t="s">
        <v>232</v>
      </c>
      <c r="E122" s="54"/>
      <c r="F122" s="54" t="s">
        <v>171</v>
      </c>
      <c r="G122" s="54"/>
      <c r="H122" s="34">
        <f>H63</f>
        <v>9025.7000000000007</v>
      </c>
      <c r="I122" s="34">
        <f>I63</f>
        <v>16627.5</v>
      </c>
      <c r="J122" s="34">
        <f>J63</f>
        <v>17919.8</v>
      </c>
      <c r="K122" s="34">
        <f>K63</f>
        <v>26681.9</v>
      </c>
      <c r="L122" s="108">
        <f>L63</f>
        <v>13966.8</v>
      </c>
      <c r="M122" s="35">
        <f>SUM(M120:M121)</f>
        <v>13966.8</v>
      </c>
      <c r="N122" s="35">
        <f>SUM(N120:N121)</f>
        <v>13966.8</v>
      </c>
      <c r="O122" s="35">
        <f>SUM(O120:O121)</f>
        <v>13966.8</v>
      </c>
      <c r="P122" s="35">
        <f>SUM(P120:P121)</f>
        <v>13966.8</v>
      </c>
      <c r="Q122" s="35">
        <f>SUM(Q120:Q121)</f>
        <v>13966.8</v>
      </c>
    </row>
    <row r="123" spans="1:17" x14ac:dyDescent="0.25">
      <c r="D123" t="s">
        <v>233</v>
      </c>
      <c r="E123" s="1"/>
      <c r="F123" t="s">
        <v>171</v>
      </c>
      <c r="G123" s="1"/>
      <c r="H123" s="27">
        <f>H34</f>
        <v>-546.29999999999995</v>
      </c>
      <c r="I123" s="27">
        <f>I34</f>
        <v>-650.6</v>
      </c>
      <c r="J123" s="27">
        <f>J34</f>
        <v>-589.20000000000005</v>
      </c>
      <c r="K123" s="27">
        <f>K34</f>
        <v>-523.70000000000005</v>
      </c>
      <c r="L123" s="27">
        <f>L34</f>
        <v>-1073.5999999999999</v>
      </c>
      <c r="M123" s="27">
        <f>-M122*M12</f>
        <v>-617.96105116706747</v>
      </c>
      <c r="N123" s="27">
        <f>-N122*N12</f>
        <v>-617.96105116706747</v>
      </c>
      <c r="O123" s="27">
        <f>-O122*O12</f>
        <v>-617.96105116706747</v>
      </c>
      <c r="P123" s="27">
        <f>-P122*P12</f>
        <v>-617.96105116706747</v>
      </c>
      <c r="Q123" s="27">
        <f>-Q122*Q12</f>
        <v>-617.96105116706747</v>
      </c>
    </row>
    <row r="124" spans="1:17" x14ac:dyDescent="0.25">
      <c r="E124" s="1"/>
      <c r="F124" s="1"/>
      <c r="G124" s="1"/>
    </row>
    <row r="126" spans="1:17" x14ac:dyDescent="0.25">
      <c r="A126" s="191" t="s">
        <v>369</v>
      </c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</row>
    <row r="128" spans="1:17" x14ac:dyDescent="0.25">
      <c r="D128" s="224" t="s">
        <v>370</v>
      </c>
      <c r="E128" s="224"/>
    </row>
    <row r="129" spans="4:17" x14ac:dyDescent="0.25">
      <c r="D129" t="s">
        <v>371</v>
      </c>
      <c r="E129" s="248">
        <v>45323</v>
      </c>
    </row>
    <row r="130" spans="4:17" x14ac:dyDescent="0.25">
      <c r="D130" t="s">
        <v>372</v>
      </c>
      <c r="E130" s="248">
        <v>45382</v>
      </c>
    </row>
    <row r="131" spans="4:17" x14ac:dyDescent="0.25">
      <c r="D131" t="s">
        <v>378</v>
      </c>
      <c r="E131" s="244">
        <f>WACC!E37</f>
        <v>0.14327157630121706</v>
      </c>
    </row>
    <row r="132" spans="4:17" x14ac:dyDescent="0.25">
      <c r="D132" t="s">
        <v>385</v>
      </c>
      <c r="E132" s="245">
        <f>Comps!U23</f>
        <v>36.675974459163257</v>
      </c>
    </row>
    <row r="133" spans="4:17" x14ac:dyDescent="0.25">
      <c r="D133" t="s">
        <v>387</v>
      </c>
      <c r="E133" s="249">
        <v>0.06</v>
      </c>
      <c r="I133" s="1"/>
    </row>
    <row r="134" spans="4:17" x14ac:dyDescent="0.25">
      <c r="D134" t="s">
        <v>388</v>
      </c>
      <c r="E134" s="246">
        <f>WACC!E47</f>
        <v>9.1673264470853874E-2</v>
      </c>
      <c r="H134" s="1"/>
      <c r="I134" s="1"/>
    </row>
    <row r="135" spans="4:17" x14ac:dyDescent="0.25">
      <c r="D135" t="s">
        <v>395</v>
      </c>
      <c r="E135" s="247">
        <f>Comps!H28</f>
        <v>119.6</v>
      </c>
      <c r="I135" s="1"/>
    </row>
    <row r="136" spans="4:17" x14ac:dyDescent="0.25">
      <c r="D136" t="s">
        <v>398</v>
      </c>
      <c r="E136" s="250">
        <v>5044</v>
      </c>
    </row>
    <row r="137" spans="4:17" x14ac:dyDescent="0.25">
      <c r="I137" s="1"/>
    </row>
    <row r="138" spans="4:17" x14ac:dyDescent="0.25">
      <c r="D138" s="10"/>
      <c r="E138" s="11"/>
      <c r="F138" s="11"/>
      <c r="G138" s="11"/>
      <c r="H138" s="11"/>
      <c r="I138" s="11"/>
    </row>
    <row r="139" spans="4:17" x14ac:dyDescent="0.25">
      <c r="D139" s="10"/>
      <c r="E139" s="11"/>
      <c r="F139" s="11"/>
      <c r="G139" s="11"/>
      <c r="H139" s="11"/>
      <c r="I139" s="11"/>
    </row>
    <row r="141" spans="4:17" x14ac:dyDescent="0.25">
      <c r="D141" s="10" t="s">
        <v>373</v>
      </c>
      <c r="E141" s="11"/>
      <c r="F141" s="11"/>
      <c r="G141" s="10"/>
      <c r="H141" s="11" t="s">
        <v>374</v>
      </c>
      <c r="I141" s="232">
        <f>YEAR(E130)</f>
        <v>2024</v>
      </c>
      <c r="J141" s="232">
        <f>I141+1</f>
        <v>2025</v>
      </c>
      <c r="K141" s="232">
        <f>J141+1</f>
        <v>2026</v>
      </c>
      <c r="L141" s="232">
        <f>K141+1</f>
        <v>2027</v>
      </c>
      <c r="M141" s="232">
        <f>L141+1</f>
        <v>2028</v>
      </c>
      <c r="N141" s="10" t="s">
        <v>377</v>
      </c>
      <c r="P141" s="10" t="s">
        <v>384</v>
      </c>
    </row>
    <row r="142" spans="4:17" x14ac:dyDescent="0.25">
      <c r="D142" s="237" t="s">
        <v>293</v>
      </c>
      <c r="E142" s="237"/>
      <c r="F142" s="238"/>
      <c r="G142" s="237"/>
      <c r="H142" s="239">
        <f>E129</f>
        <v>45323</v>
      </c>
      <c r="I142" s="239">
        <f>DATE(YEAR($H$142)+I143,MONTH($E$130),DAY($E$130))</f>
        <v>45382</v>
      </c>
      <c r="J142" s="239">
        <f>DATE(YEAR($H$142)+J143,MONTH($E$130),DAY($E$130))</f>
        <v>45747</v>
      </c>
      <c r="K142" s="239">
        <f>DATE(YEAR($H$142)+K143,MONTH($E$130),DAY($E$130))</f>
        <v>46112</v>
      </c>
      <c r="L142" s="239">
        <f>DATE(YEAR($H$142)+L143,MONTH($E$130),DAY($E$130))</f>
        <v>46477</v>
      </c>
      <c r="M142" s="239">
        <f>DATE(YEAR($H$142)+M143,MONTH($E$130),DAY($E$130))</f>
        <v>46843</v>
      </c>
      <c r="N142" s="239">
        <f>M142</f>
        <v>46843</v>
      </c>
      <c r="O142" s="56"/>
      <c r="P142" s="56" t="s">
        <v>280</v>
      </c>
      <c r="Q142" s="236">
        <f>(M146+M149)*E132</f>
        <v>1151191.4132949975</v>
      </c>
    </row>
    <row r="143" spans="4:17" x14ac:dyDescent="0.25">
      <c r="D143" s="226" t="s">
        <v>375</v>
      </c>
      <c r="E143" s="226"/>
      <c r="F143" s="227"/>
      <c r="G143" s="227"/>
      <c r="H143" s="227"/>
      <c r="I143" s="228">
        <v>0</v>
      </c>
      <c r="J143" s="228">
        <v>1</v>
      </c>
      <c r="K143" s="228">
        <v>2</v>
      </c>
      <c r="L143" s="228">
        <v>3</v>
      </c>
      <c r="M143" s="228">
        <v>4</v>
      </c>
      <c r="N143" s="228"/>
      <c r="P143" t="s">
        <v>386</v>
      </c>
      <c r="Q143" s="233">
        <f>M152*(1+E133)/(E134-E133)</f>
        <v>751959.62181223196</v>
      </c>
    </row>
    <row r="144" spans="4:17" x14ac:dyDescent="0.25">
      <c r="D144" s="226" t="s">
        <v>376</v>
      </c>
      <c r="E144" s="226"/>
      <c r="F144" s="226"/>
      <c r="G144" s="227"/>
      <c r="H144" s="227"/>
      <c r="I144" s="229">
        <f>YEARFRAC(H142,I142)</f>
        <v>0.16666666666666666</v>
      </c>
      <c r="J144" s="229">
        <f>YEARFRAC(I142,J142)</f>
        <v>1</v>
      </c>
      <c r="K144" s="229">
        <f>YEARFRAC(J142,K142)</f>
        <v>1</v>
      </c>
      <c r="L144" s="229">
        <f>YEARFRAC(K142,L142)</f>
        <v>1</v>
      </c>
      <c r="M144" s="229">
        <f>YEARFRAC(L142,M142)</f>
        <v>1</v>
      </c>
      <c r="N144" s="230">
        <v>1</v>
      </c>
      <c r="P144" s="54" t="s">
        <v>284</v>
      </c>
      <c r="Q144" s="235">
        <f>AVERAGE(Q142:Q143)</f>
        <v>951575.51755361469</v>
      </c>
    </row>
    <row r="146" spans="4:14" x14ac:dyDescent="0.25">
      <c r="D146" s="12" t="s">
        <v>165</v>
      </c>
      <c r="E146" s="59"/>
      <c r="F146" s="59"/>
      <c r="G146" s="12"/>
      <c r="H146" s="12"/>
      <c r="I146" s="13">
        <f>M33</f>
        <v>20219.180754936024</v>
      </c>
      <c r="J146" s="13">
        <f>N33</f>
        <v>22566.944606932295</v>
      </c>
      <c r="K146" s="13">
        <f>O33</f>
        <v>24808.618399492258</v>
      </c>
      <c r="L146" s="13">
        <f>P33</f>
        <v>26916.413579596516</v>
      </c>
      <c r="M146" s="13">
        <f>Q33</f>
        <v>28872.834080658493</v>
      </c>
    </row>
    <row r="147" spans="4:14" x14ac:dyDescent="0.25">
      <c r="D147" s="12" t="s">
        <v>379</v>
      </c>
      <c r="E147" s="59"/>
      <c r="F147" s="59"/>
      <c r="G147" s="59"/>
      <c r="H147" s="59"/>
      <c r="I147" s="77">
        <f>-I146*$E$131</f>
        <v>-2896.833898278916</v>
      </c>
      <c r="J147" s="77">
        <f>-J146*$E$131</f>
        <v>-3233.201726137439</v>
      </c>
      <c r="K147" s="77">
        <f>-K146*$E$131</f>
        <v>-3554.3698639506324</v>
      </c>
      <c r="L147" s="77">
        <f>-L146*$E$131</f>
        <v>-3856.3570019242775</v>
      </c>
      <c r="M147" s="77">
        <f>-M146*$E$131</f>
        <v>-4136.6564510194439</v>
      </c>
    </row>
    <row r="148" spans="4:14" x14ac:dyDescent="0.25">
      <c r="D148" s="169" t="s">
        <v>380</v>
      </c>
      <c r="E148" s="231"/>
      <c r="F148" s="231"/>
      <c r="G148" s="231"/>
      <c r="H148" s="231"/>
      <c r="I148" s="57">
        <f>SUM(I146:I147)</f>
        <v>17322.346856657106</v>
      </c>
      <c r="J148" s="57">
        <f>SUM(J146:J147)</f>
        <v>19333.742880794856</v>
      </c>
      <c r="K148" s="57">
        <f>SUM(K146:K147)</f>
        <v>21254.248535541625</v>
      </c>
      <c r="L148" s="57">
        <f>SUM(L146:L147)</f>
        <v>23060.05657767224</v>
      </c>
      <c r="M148" s="57">
        <f>SUM(M146:M147)</f>
        <v>24736.177629639049</v>
      </c>
    </row>
    <row r="149" spans="4:14" x14ac:dyDescent="0.25">
      <c r="D149" s="12" t="s">
        <v>202</v>
      </c>
      <c r="E149" s="59"/>
      <c r="F149" s="59"/>
      <c r="G149" s="59"/>
      <c r="H149" s="59"/>
      <c r="I149" s="59">
        <f>-M32</f>
        <v>2654.5801895336244</v>
      </c>
      <c r="J149" s="59">
        <f>-N32</f>
        <v>2673.4470835373563</v>
      </c>
      <c r="K149" s="59">
        <f>-O32</f>
        <v>2651.5431000022754</v>
      </c>
      <c r="L149" s="59">
        <f>-P32</f>
        <v>2596.4875313027046</v>
      </c>
      <c r="M149" s="59">
        <f>-Q32</f>
        <v>2515.327522976278</v>
      </c>
    </row>
    <row r="150" spans="4:14" x14ac:dyDescent="0.25">
      <c r="D150" s="12" t="s">
        <v>381</v>
      </c>
      <c r="E150" s="12"/>
      <c r="F150" s="12"/>
      <c r="G150" s="12"/>
      <c r="H150" s="12"/>
      <c r="I150" s="52">
        <f>-M115</f>
        <v>-2838.8653343379042</v>
      </c>
      <c r="J150" s="52">
        <f>-N115</f>
        <v>-2459.4967228285723</v>
      </c>
      <c r="K150" s="52">
        <f>-O115</f>
        <v>-2113.7797856975885</v>
      </c>
      <c r="L150" s="52">
        <f>-P115</f>
        <v>-1803.7452874657881</v>
      </c>
      <c r="M150" s="52">
        <f>-Q115</f>
        <v>-1529.6467659132179</v>
      </c>
    </row>
    <row r="151" spans="4:14" x14ac:dyDescent="0.25">
      <c r="D151" s="197" t="s">
        <v>382</v>
      </c>
      <c r="E151" s="1"/>
      <c r="F151" s="1"/>
      <c r="G151" s="1"/>
      <c r="H151" s="1"/>
      <c r="I151" s="1">
        <f>M111</f>
        <v>-3931.637603482066</v>
      </c>
      <c r="J151" s="1">
        <f>N111</f>
        <v>-4105.3451568267956</v>
      </c>
      <c r="K151" s="1">
        <f>O111</f>
        <v>-3850.5885424470871</v>
      </c>
      <c r="L151" s="1">
        <f>P111</f>
        <v>-3560.8447309112744</v>
      </c>
      <c r="M151" s="1">
        <f>Q111</f>
        <v>-3252.9753932473141</v>
      </c>
    </row>
    <row r="152" spans="4:14" x14ac:dyDescent="0.25">
      <c r="D152" s="206" t="s">
        <v>383</v>
      </c>
      <c r="E152" s="54"/>
      <c r="F152" s="54"/>
      <c r="G152" s="54"/>
      <c r="H152" s="54"/>
      <c r="I152" s="55">
        <f>SUM(I148:I151)</f>
        <v>13206.424108370758</v>
      </c>
      <c r="J152" s="55">
        <f>SUM(J148:J151)</f>
        <v>15442.348084676847</v>
      </c>
      <c r="K152" s="55">
        <f>SUM(K148:K151)</f>
        <v>17941.423307399225</v>
      </c>
      <c r="L152" s="55">
        <f>SUM(L148:L151)</f>
        <v>20291.954090597883</v>
      </c>
      <c r="M152" s="55">
        <f>SUM(M148:M151)</f>
        <v>22468.882993454794</v>
      </c>
      <c r="N152" s="234">
        <f>Q144</f>
        <v>951575.51755361469</v>
      </c>
    </row>
    <row r="153" spans="4:14" x14ac:dyDescent="0.25">
      <c r="E153" s="1"/>
      <c r="I153" s="1"/>
    </row>
    <row r="154" spans="4:14" x14ac:dyDescent="0.25">
      <c r="D154" s="10" t="s">
        <v>389</v>
      </c>
      <c r="E154" s="1"/>
      <c r="H154">
        <v>0</v>
      </c>
      <c r="I154" s="234">
        <f t="shared" ref="I154:M154" si="24">I152*I144</f>
        <v>2201.0706847284596</v>
      </c>
      <c r="J154" s="234">
        <f t="shared" si="24"/>
        <v>15442.348084676847</v>
      </c>
      <c r="K154" s="234">
        <f t="shared" si="24"/>
        <v>17941.423307399225</v>
      </c>
      <c r="L154" s="234">
        <f t="shared" si="24"/>
        <v>20291.954090597883</v>
      </c>
      <c r="M154" s="234">
        <f t="shared" si="24"/>
        <v>22468.882993454794</v>
      </c>
      <c r="N154" s="234">
        <f>N152*N144</f>
        <v>951575.51755361469</v>
      </c>
    </row>
    <row r="155" spans="4:14" x14ac:dyDescent="0.25">
      <c r="I155" s="1"/>
    </row>
    <row r="156" spans="4:14" x14ac:dyDescent="0.25">
      <c r="F156" s="1"/>
      <c r="G156" s="1"/>
      <c r="H156" s="1"/>
      <c r="I156" s="1"/>
    </row>
    <row r="158" spans="4:14" x14ac:dyDescent="0.25">
      <c r="D158" s="10" t="s">
        <v>390</v>
      </c>
      <c r="I158" s="243" t="s">
        <v>397</v>
      </c>
      <c r="J158" s="224"/>
      <c r="L158" s="243" t="s">
        <v>403</v>
      </c>
      <c r="M158" s="224"/>
    </row>
    <row r="159" spans="4:14" x14ac:dyDescent="0.25">
      <c r="D159" s="56" t="s">
        <v>391</v>
      </c>
      <c r="E159" s="236">
        <f>XNPV($E$134,H154:N154,H142:N142)</f>
        <v>722336.15563183685</v>
      </c>
      <c r="I159" s="1" t="s">
        <v>329</v>
      </c>
      <c r="J159" s="151">
        <f>E136*E135</f>
        <v>603262.4</v>
      </c>
      <c r="L159" t="s">
        <v>404</v>
      </c>
      <c r="M159" s="151">
        <f>J165</f>
        <v>5044</v>
      </c>
    </row>
    <row r="160" spans="4:14" x14ac:dyDescent="0.25">
      <c r="D160" s="12" t="s">
        <v>392</v>
      </c>
      <c r="E160" s="52">
        <f>L45+L46+L54</f>
        <v>38617.600000000006</v>
      </c>
      <c r="F160" s="11"/>
      <c r="G160" s="11"/>
      <c r="H160" s="11"/>
      <c r="I160" s="59" t="s">
        <v>399</v>
      </c>
      <c r="J160" s="27">
        <f>-E161</f>
        <v>13966.8</v>
      </c>
      <c r="L160" t="s">
        <v>405</v>
      </c>
      <c r="M160" s="1">
        <f>E165</f>
        <v>6213.1258832093381</v>
      </c>
    </row>
    <row r="161" spans="1:17" x14ac:dyDescent="0.25">
      <c r="C161" s="10"/>
      <c r="D161" s="12" t="s">
        <v>393</v>
      </c>
      <c r="E161" s="27">
        <f>-L122</f>
        <v>-13966.8</v>
      </c>
      <c r="I161" s="1" t="s">
        <v>400</v>
      </c>
      <c r="J161" s="27">
        <f>-E162</f>
        <v>3897.1</v>
      </c>
      <c r="L161" t="s">
        <v>406</v>
      </c>
      <c r="M161" s="215">
        <f>M160/M159-1</f>
        <v>0.23178546455379423</v>
      </c>
    </row>
    <row r="162" spans="1:17" x14ac:dyDescent="0.25">
      <c r="C162" s="10"/>
      <c r="D162" s="12" t="s">
        <v>394</v>
      </c>
      <c r="E162" s="27">
        <f>-L70</f>
        <v>-3897.1</v>
      </c>
      <c r="F162" s="1"/>
      <c r="I162" s="1" t="s">
        <v>401</v>
      </c>
      <c r="J162" s="13">
        <f>-E160</f>
        <v>-38617.600000000006</v>
      </c>
    </row>
    <row r="163" spans="1:17" x14ac:dyDescent="0.25">
      <c r="D163" s="54" t="s">
        <v>290</v>
      </c>
      <c r="E163" s="235">
        <f>SUM(E159:E162)</f>
        <v>743089.85563183681</v>
      </c>
      <c r="F163" s="1"/>
      <c r="G163" s="1"/>
      <c r="H163" s="1"/>
      <c r="I163" s="11" t="s">
        <v>391</v>
      </c>
      <c r="J163" s="240">
        <f>SUM(J159:J162)</f>
        <v>582508.70000000007</v>
      </c>
    </row>
    <row r="164" spans="1:17" x14ac:dyDescent="0.25">
      <c r="F164" s="1"/>
      <c r="G164" s="1"/>
      <c r="H164" s="1"/>
      <c r="I164" s="1"/>
    </row>
    <row r="165" spans="1:17" x14ac:dyDescent="0.25">
      <c r="D165" s="10" t="s">
        <v>396</v>
      </c>
      <c r="E165" s="242">
        <f>E163/E135</f>
        <v>6213.1258832093381</v>
      </c>
      <c r="F165" s="1"/>
      <c r="G165" s="1"/>
      <c r="H165" s="1"/>
      <c r="I165" s="11" t="s">
        <v>402</v>
      </c>
      <c r="J165" s="241">
        <f>J159/E135</f>
        <v>5044</v>
      </c>
    </row>
    <row r="168" spans="1:17" x14ac:dyDescent="0.25">
      <c r="D168" s="10"/>
      <c r="E168" s="11"/>
      <c r="F168" s="10"/>
      <c r="G168" s="11"/>
      <c r="H168" s="11"/>
      <c r="I168" s="11"/>
    </row>
    <row r="169" spans="1:17" x14ac:dyDescent="0.25">
      <c r="A169" s="191" t="s">
        <v>407</v>
      </c>
      <c r="B169" s="223"/>
      <c r="C169" s="223"/>
      <c r="D169" s="191"/>
      <c r="E169" s="191"/>
      <c r="F169" s="191"/>
      <c r="G169" s="191"/>
      <c r="H169" s="191"/>
      <c r="I169" s="191"/>
      <c r="J169" s="223"/>
      <c r="K169" s="223"/>
      <c r="L169" s="223"/>
      <c r="M169" s="223"/>
      <c r="N169" s="223"/>
      <c r="O169" s="223"/>
      <c r="P169" s="223"/>
      <c r="Q169" s="223"/>
    </row>
    <row r="170" spans="1:17" x14ac:dyDescent="0.25">
      <c r="D170" s="10"/>
      <c r="E170" s="11"/>
      <c r="F170" s="11"/>
      <c r="G170" s="11"/>
      <c r="H170" s="11"/>
      <c r="I170" s="11"/>
    </row>
    <row r="171" spans="1:17" x14ac:dyDescent="0.25">
      <c r="C171" s="10"/>
      <c r="H171" s="305" t="s">
        <v>408</v>
      </c>
      <c r="I171" s="305"/>
      <c r="J171" s="305"/>
      <c r="K171" s="305"/>
      <c r="L171" s="305"/>
      <c r="M171" s="305"/>
    </row>
    <row r="172" spans="1:17" x14ac:dyDescent="0.25">
      <c r="D172" s="10"/>
      <c r="E172" s="11"/>
      <c r="F172" s="11"/>
      <c r="G172" s="11"/>
      <c r="H172" s="11"/>
      <c r="I172" s="11"/>
    </row>
    <row r="173" spans="1:17" x14ac:dyDescent="0.25">
      <c r="A173" s="41"/>
      <c r="B173" s="41"/>
      <c r="C173" s="41"/>
      <c r="D173" s="41"/>
      <c r="E173" s="41"/>
      <c r="F173" s="41"/>
      <c r="G173" s="41"/>
      <c r="H173" s="41"/>
      <c r="J173" s="299" t="s">
        <v>409</v>
      </c>
      <c r="K173" s="299"/>
      <c r="L173" s="299"/>
      <c r="M173" s="299"/>
      <c r="N173" s="299"/>
    </row>
    <row r="174" spans="1:17" ht="15.75" x14ac:dyDescent="0.25">
      <c r="A174" s="19"/>
      <c r="B174" s="19"/>
      <c r="C174" s="19"/>
      <c r="D174" s="19"/>
      <c r="E174" s="19"/>
      <c r="F174" s="19"/>
      <c r="G174" s="19"/>
      <c r="H174" s="19"/>
      <c r="I174" s="259">
        <f>E165</f>
        <v>6213.1258832093381</v>
      </c>
      <c r="J174" s="252">
        <v>25</v>
      </c>
      <c r="K174" s="252">
        <v>30</v>
      </c>
      <c r="L174" s="252">
        <v>36.675974459163257</v>
      </c>
      <c r="M174" s="252">
        <v>40</v>
      </c>
      <c r="N174" s="252">
        <v>45</v>
      </c>
    </row>
    <row r="175" spans="1:17" x14ac:dyDescent="0.25">
      <c r="A175" s="41"/>
      <c r="B175" s="41"/>
      <c r="C175" s="41"/>
      <c r="D175" s="41"/>
      <c r="E175" s="162"/>
      <c r="F175" s="162"/>
      <c r="G175" s="162"/>
      <c r="H175" s="300" t="s">
        <v>388</v>
      </c>
      <c r="I175" s="255">
        <v>7.17E-2</v>
      </c>
      <c r="J175" s="254">
        <f t="dataTable" ref="J175:N179" dt2D="1" dtr="1" r1="E132" r2="E134" ca="1"/>
        <v>9554.1268390524328</v>
      </c>
      <c r="K175" s="254">
        <v>10045.86990122231</v>
      </c>
      <c r="L175" s="254">
        <v>10702.442725925674</v>
      </c>
      <c r="M175" s="254">
        <v>11029.356025562061</v>
      </c>
      <c r="N175" s="254">
        <v>11521.099087731938</v>
      </c>
    </row>
    <row r="176" spans="1:17" x14ac:dyDescent="0.25">
      <c r="A176" s="41"/>
      <c r="B176" s="41"/>
      <c r="C176" s="41"/>
      <c r="D176" s="41"/>
      <c r="E176" s="162"/>
      <c r="F176" s="162"/>
      <c r="G176" s="162"/>
      <c r="H176" s="300"/>
      <c r="I176" s="255">
        <v>8.1699999999999995E-2</v>
      </c>
      <c r="J176" s="254">
        <v>6377.9126920847193</v>
      </c>
      <c r="K176" s="257">
        <v>6850.9994456593613</v>
      </c>
      <c r="L176" s="257">
        <v>7482.6624624259157</v>
      </c>
      <c r="M176" s="257">
        <v>7797.1729528086471</v>
      </c>
      <c r="N176" s="254">
        <v>8270.2597063832873</v>
      </c>
    </row>
    <row r="177" spans="1:14" x14ac:dyDescent="0.25">
      <c r="A177" s="41"/>
      <c r="B177" s="41"/>
      <c r="C177" s="41"/>
      <c r="D177" s="41"/>
      <c r="E177" s="162"/>
      <c r="F177" s="162"/>
      <c r="G177" s="162"/>
      <c r="H177" s="300"/>
      <c r="I177" s="255">
        <v>9.1673264470853874E-2</v>
      </c>
      <c r="J177" s="254">
        <v>5149.8025747162783</v>
      </c>
      <c r="K177" s="257">
        <v>5605.1492835550298</v>
      </c>
      <c r="L177" s="258">
        <v>6213.1258832093381</v>
      </c>
      <c r="M177" s="257">
        <v>6515.8427012325301</v>
      </c>
      <c r="N177" s="254">
        <v>6971.1894100712807</v>
      </c>
    </row>
    <row r="178" spans="1:14" x14ac:dyDescent="0.25">
      <c r="A178" s="41"/>
      <c r="B178" s="41"/>
      <c r="C178" s="41"/>
      <c r="D178" s="89"/>
      <c r="E178" s="91"/>
      <c r="F178" s="91"/>
      <c r="G178" s="91"/>
      <c r="H178" s="300"/>
      <c r="I178" s="255">
        <v>0.1017</v>
      </c>
      <c r="J178" s="256">
        <v>4466.0223409396076</v>
      </c>
      <c r="K178" s="257">
        <v>4904.3579854968257</v>
      </c>
      <c r="L178" s="257">
        <v>5489.6214990177996</v>
      </c>
      <c r="M178" s="257">
        <v>5781.0292746112673</v>
      </c>
      <c r="N178" s="254">
        <v>6219.3649191684872</v>
      </c>
    </row>
    <row r="179" spans="1:14" x14ac:dyDescent="0.25">
      <c r="A179" s="41"/>
      <c r="B179" s="41"/>
      <c r="C179" s="41"/>
      <c r="D179" s="41"/>
      <c r="E179" s="41"/>
      <c r="F179" s="41"/>
      <c r="G179" s="41"/>
      <c r="H179" s="300"/>
      <c r="I179" s="255">
        <v>0.11169999999999999</v>
      </c>
      <c r="J179" s="254">
        <v>4017.2749646557654</v>
      </c>
      <c r="K179" s="254">
        <v>4439.422910055895</v>
      </c>
      <c r="L179" s="254">
        <v>5003.0726903517989</v>
      </c>
      <c r="M179" s="254">
        <v>5283.718800856157</v>
      </c>
      <c r="N179" s="254">
        <v>5705.8667462562871</v>
      </c>
    </row>
    <row r="180" spans="1:14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5.75" x14ac:dyDescent="0.25">
      <c r="A181" s="19"/>
      <c r="B181" s="19"/>
      <c r="C181" s="19"/>
      <c r="D181" s="19"/>
      <c r="E181" s="93"/>
      <c r="F181" s="93"/>
      <c r="G181" s="93"/>
      <c r="H181" s="93"/>
      <c r="I181" s="93"/>
      <c r="J181" s="93"/>
      <c r="K181" s="93"/>
      <c r="L181" s="93"/>
      <c r="M181" s="93"/>
      <c r="N181" s="93"/>
    </row>
    <row r="182" spans="1:14" x14ac:dyDescent="0.25">
      <c r="A182" s="41"/>
      <c r="B182" s="41"/>
      <c r="C182" s="41"/>
      <c r="D182" s="41"/>
      <c r="E182" s="41"/>
      <c r="F182" s="41"/>
      <c r="G182" s="41"/>
      <c r="J182" s="299" t="s">
        <v>410</v>
      </c>
      <c r="K182" s="299"/>
      <c r="L182" s="299"/>
      <c r="M182" s="299"/>
      <c r="N182" s="299"/>
    </row>
    <row r="183" spans="1:14" x14ac:dyDescent="0.25">
      <c r="I183" s="253">
        <f>E165</f>
        <v>6213.1258832093381</v>
      </c>
      <c r="J183" s="260">
        <v>0.04</v>
      </c>
      <c r="K183" s="260">
        <v>0.05</v>
      </c>
      <c r="L183" s="260">
        <v>0.06</v>
      </c>
      <c r="M183" s="260">
        <v>7.0000000000000007E-2</v>
      </c>
      <c r="N183" s="260">
        <v>0.08</v>
      </c>
    </row>
    <row r="184" spans="1:14" x14ac:dyDescent="0.25">
      <c r="H184" s="300" t="s">
        <v>388</v>
      </c>
      <c r="I184" s="255">
        <v>7.17E-2</v>
      </c>
      <c r="J184" s="225">
        <f t="dataTable" ref="J184:N188" dt2D="1" dtr="1" r1="E133" r2="E134" ca="1"/>
        <v>6633.8713237428965</v>
      </c>
      <c r="K184" s="225">
        <v>7730.6981764050752</v>
      </c>
      <c r="L184" s="225">
        <v>10702.442725925674</v>
      </c>
      <c r="M184" s="225">
        <v>48635.887858041751</v>
      </c>
      <c r="N184" s="225">
        <v>-4836.5588944591509</v>
      </c>
    </row>
    <row r="185" spans="1:14" x14ac:dyDescent="0.25">
      <c r="H185" s="300"/>
      <c r="I185" s="255">
        <v>8.1699999999999995E-2</v>
      </c>
      <c r="J185" s="225">
        <v>5863.3620633084201</v>
      </c>
      <c r="K185" s="261">
        <v>6417.6021052776587</v>
      </c>
      <c r="L185" s="261">
        <v>7482.6624624259157</v>
      </c>
      <c r="M185" s="261">
        <v>10368.338814699408</v>
      </c>
      <c r="N185" s="225">
        <v>47203.148723131708</v>
      </c>
    </row>
    <row r="186" spans="1:14" x14ac:dyDescent="0.25">
      <c r="H186" s="300"/>
      <c r="I186" s="255">
        <v>9.1673264470853874E-2</v>
      </c>
      <c r="J186" s="225">
        <v>5343.4613796726208</v>
      </c>
      <c r="K186" s="261">
        <v>5673.9504134834615</v>
      </c>
      <c r="L186" s="262">
        <v>6213.1258832093381</v>
      </c>
      <c r="M186" s="261">
        <v>7249.8502758959967</v>
      </c>
      <c r="N186" s="225">
        <v>10062.81197610735</v>
      </c>
    </row>
    <row r="187" spans="1:14" x14ac:dyDescent="0.25">
      <c r="H187" s="300"/>
      <c r="I187" s="255">
        <v>0.1017</v>
      </c>
      <c r="J187" s="225">
        <v>4952.1882730394791</v>
      </c>
      <c r="K187" s="261">
        <v>5168.9287519881836</v>
      </c>
      <c r="L187" s="261">
        <v>5489.6214990177996</v>
      </c>
      <c r="M187" s="261">
        <v>6012.6440548989094</v>
      </c>
      <c r="N187" s="225">
        <v>7017.7150493801219</v>
      </c>
    </row>
    <row r="188" spans="1:14" x14ac:dyDescent="0.25">
      <c r="H188" s="300"/>
      <c r="I188" s="255">
        <v>0.11169999999999999</v>
      </c>
      <c r="J188" s="225">
        <v>4640.5642015278863</v>
      </c>
      <c r="K188" s="225">
        <v>4792.4417450627016</v>
      </c>
      <c r="L188" s="225">
        <v>5003.0726903517989</v>
      </c>
      <c r="M188" s="225">
        <v>5314.7256717507753</v>
      </c>
      <c r="N188" s="225">
        <v>5823.0051398367996</v>
      </c>
    </row>
    <row r="189" spans="1:14" x14ac:dyDescent="0.25">
      <c r="I189" s="251"/>
    </row>
  </sheetData>
  <mergeCells count="7">
    <mergeCell ref="J182:N182"/>
    <mergeCell ref="H184:H188"/>
    <mergeCell ref="H1:L1"/>
    <mergeCell ref="M1:Q1"/>
    <mergeCell ref="H171:M171"/>
    <mergeCell ref="H175:H179"/>
    <mergeCell ref="J173:N173"/>
  </mergeCells>
  <pageMargins left="0.7" right="0.7" top="0.75" bottom="0.75" header="0.3" footer="0.3"/>
  <pageSetup scale="42" orientation="portrait" r:id="rId1"/>
  <rowBreaks count="1" manualBreakCount="1">
    <brk id="102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Scenarios!$D$5:$D$7</xm:f>
          </x14:formula1>
          <xm:sqref>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80"/>
  <sheetViews>
    <sheetView showGridLines="0" workbookViewId="0">
      <selection activeCell="I5" sqref="I5"/>
    </sheetView>
  </sheetViews>
  <sheetFormatPr defaultRowHeight="15" x14ac:dyDescent="0.25"/>
  <cols>
    <col min="1" max="3" width="1.28515625" style="12" customWidth="1"/>
    <col min="4" max="4" width="57.140625" style="12" customWidth="1"/>
    <col min="5" max="5" width="10.5703125" style="12" bestFit="1" customWidth="1"/>
    <col min="6" max="6" width="10.85546875" style="12" bestFit="1" customWidth="1"/>
    <col min="7" max="7" width="11.85546875" style="12" bestFit="1" customWidth="1"/>
    <col min="8" max="9" width="12.140625" style="12" bestFit="1" customWidth="1"/>
    <col min="10" max="10" width="10.85546875" style="12" bestFit="1" customWidth="1"/>
    <col min="11" max="11" width="11.28515625" style="12" bestFit="1" customWidth="1"/>
    <col min="12" max="12" width="10.42578125" style="12" bestFit="1" customWidth="1"/>
    <col min="13" max="13" width="10.5703125" style="12" bestFit="1" customWidth="1"/>
    <col min="14" max="14" width="10.85546875" style="12" bestFit="1" customWidth="1"/>
    <col min="15" max="16384" width="9.140625" style="12"/>
  </cols>
  <sheetData>
    <row r="1" spans="1:12" customFormat="1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customFormat="1" ht="15.75" x14ac:dyDescent="0.25">
      <c r="A2" s="3" t="s">
        <v>251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4.25" customHeight="1" x14ac:dyDescent="0.25">
      <c r="A3" s="80"/>
      <c r="B3" s="80"/>
      <c r="C3" s="80"/>
      <c r="D3" s="80"/>
      <c r="E3" s="80"/>
      <c r="F3" s="80"/>
      <c r="G3" s="80"/>
      <c r="H3" s="80"/>
      <c r="I3" s="80"/>
    </row>
    <row r="4" spans="1:12" s="76" customFormat="1" ht="15.75" x14ac:dyDescent="0.25">
      <c r="A4" s="94"/>
      <c r="B4" s="94"/>
      <c r="C4" s="94"/>
      <c r="D4" s="94" t="s">
        <v>251</v>
      </c>
      <c r="E4" s="94" t="s">
        <v>252</v>
      </c>
      <c r="F4" s="94"/>
      <c r="G4" s="94"/>
      <c r="H4" s="94">
        <f>model!M2</f>
        <v>2024</v>
      </c>
      <c r="I4" s="94">
        <f>model!N2</f>
        <v>2025</v>
      </c>
      <c r="J4" s="94">
        <f>model!O2</f>
        <v>2026</v>
      </c>
      <c r="K4" s="94">
        <f>model!P2</f>
        <v>2027</v>
      </c>
      <c r="L4" s="94">
        <f>model!Q2</f>
        <v>2028</v>
      </c>
    </row>
    <row r="5" spans="1:12" x14ac:dyDescent="0.25">
      <c r="D5" s="6" t="s">
        <v>253</v>
      </c>
      <c r="E5" s="100">
        <f>AVERAGE(model!I7:L7)</f>
        <v>0.12172337870635669</v>
      </c>
      <c r="F5" s="6"/>
      <c r="G5" s="6"/>
      <c r="H5" s="102">
        <f>E5</f>
        <v>0.12172337870635669</v>
      </c>
      <c r="I5" s="104">
        <f>H5*(1-$E$8)</f>
        <v>0.10346487190040318</v>
      </c>
      <c r="J5" s="104">
        <f t="shared" ref="I5:L7" si="0">I5*(1-$E$8)</f>
        <v>8.7945141115342698E-2</v>
      </c>
      <c r="K5" s="104">
        <f t="shared" si="0"/>
        <v>7.4753369948041298E-2</v>
      </c>
      <c r="L5" s="104">
        <f t="shared" si="0"/>
        <v>6.3540364455835108E-2</v>
      </c>
    </row>
    <row r="6" spans="1:12" x14ac:dyDescent="0.25">
      <c r="D6" s="6" t="s">
        <v>254</v>
      </c>
      <c r="E6" s="100">
        <f>MAX(model!I7:L7)</f>
        <v>0.19956886681458896</v>
      </c>
      <c r="F6" s="7"/>
      <c r="G6" s="7"/>
      <c r="H6" s="102">
        <f>E6</f>
        <v>0.19956886681458896</v>
      </c>
      <c r="I6" s="104">
        <f t="shared" si="0"/>
        <v>0.16963353679240062</v>
      </c>
      <c r="J6" s="104">
        <f t="shared" si="0"/>
        <v>0.14418850627354052</v>
      </c>
      <c r="K6" s="104">
        <f t="shared" si="0"/>
        <v>0.12256023033250944</v>
      </c>
      <c r="L6" s="104">
        <f t="shared" si="0"/>
        <v>0.10417619578263303</v>
      </c>
    </row>
    <row r="7" spans="1:12" x14ac:dyDescent="0.25">
      <c r="C7" s="92"/>
      <c r="D7" s="83" t="s">
        <v>255</v>
      </c>
      <c r="E7" s="101">
        <f>MIN(model!I7:L7)</f>
        <v>6.2395438355967281E-2</v>
      </c>
      <c r="F7" s="84"/>
      <c r="G7" s="84"/>
      <c r="H7" s="102">
        <f>E7</f>
        <v>6.2395438355967281E-2</v>
      </c>
      <c r="I7" s="104">
        <f t="shared" si="0"/>
        <v>5.3036122602572185E-2</v>
      </c>
      <c r="J7" s="104">
        <f t="shared" si="0"/>
        <v>4.5080704212186358E-2</v>
      </c>
      <c r="K7" s="104">
        <f t="shared" si="0"/>
        <v>3.8318598580358403E-2</v>
      </c>
      <c r="L7" s="104">
        <f t="shared" si="0"/>
        <v>3.2570808793304644E-2</v>
      </c>
    </row>
    <row r="8" spans="1:12" x14ac:dyDescent="0.25">
      <c r="C8" s="92"/>
      <c r="D8" s="85" t="s">
        <v>256</v>
      </c>
      <c r="E8" s="103">
        <v>0.15</v>
      </c>
      <c r="F8" s="86"/>
      <c r="G8" s="86"/>
      <c r="H8" s="86"/>
      <c r="I8" s="86"/>
    </row>
    <row r="9" spans="1:12" x14ac:dyDescent="0.25">
      <c r="C9" s="92"/>
      <c r="D9" s="83"/>
      <c r="E9" s="84"/>
      <c r="F9" s="84"/>
      <c r="G9" s="84"/>
      <c r="H9" s="84"/>
      <c r="I9" s="84"/>
    </row>
    <row r="10" spans="1:12" x14ac:dyDescent="0.25">
      <c r="C10" s="92"/>
      <c r="D10" s="83"/>
      <c r="E10" s="84"/>
      <c r="F10" s="84"/>
      <c r="G10" s="84"/>
      <c r="H10" s="84"/>
      <c r="I10" s="84"/>
    </row>
    <row r="11" spans="1:12" x14ac:dyDescent="0.25">
      <c r="C11" s="92"/>
      <c r="D11" s="83"/>
      <c r="E11" s="84"/>
      <c r="F11" s="84"/>
      <c r="G11" s="84"/>
      <c r="H11" s="84"/>
      <c r="I11" s="84"/>
    </row>
    <row r="12" spans="1:12" x14ac:dyDescent="0.25">
      <c r="C12" s="92"/>
      <c r="D12" s="83"/>
      <c r="E12" s="84"/>
      <c r="F12" s="84"/>
      <c r="G12" s="84"/>
      <c r="H12" s="84"/>
      <c r="I12" s="84"/>
    </row>
    <row r="13" spans="1:12" x14ac:dyDescent="0.25">
      <c r="C13" s="92"/>
      <c r="D13" s="83"/>
      <c r="E13" s="84"/>
      <c r="F13" s="84"/>
      <c r="G13" s="84"/>
      <c r="H13" s="84"/>
      <c r="I13" s="84"/>
    </row>
    <row r="14" spans="1:12" x14ac:dyDescent="0.25">
      <c r="C14" s="92"/>
      <c r="D14" s="83"/>
      <c r="E14" s="84"/>
      <c r="F14" s="84"/>
      <c r="G14" s="84"/>
      <c r="H14" s="84"/>
      <c r="I14" s="84"/>
    </row>
    <row r="15" spans="1:12" x14ac:dyDescent="0.25">
      <c r="C15" s="92"/>
      <c r="D15" s="83"/>
      <c r="E15" s="84"/>
      <c r="F15" s="84"/>
      <c r="G15" s="84"/>
      <c r="H15" s="84"/>
      <c r="I15" s="84"/>
    </row>
    <row r="16" spans="1:12" x14ac:dyDescent="0.25">
      <c r="C16" s="92"/>
      <c r="D16" s="83"/>
      <c r="E16" s="84"/>
      <c r="F16" s="84"/>
      <c r="G16" s="84"/>
      <c r="H16" s="84"/>
      <c r="I16" s="84"/>
    </row>
    <row r="17" spans="1:9" x14ac:dyDescent="0.25">
      <c r="C17" s="92"/>
      <c r="D17" s="85"/>
      <c r="E17" s="86"/>
      <c r="F17" s="86"/>
      <c r="G17" s="86"/>
      <c r="H17" s="86"/>
      <c r="I17" s="86"/>
    </row>
    <row r="18" spans="1:9" x14ac:dyDescent="0.25">
      <c r="C18" s="92"/>
      <c r="D18" s="83"/>
      <c r="E18" s="84"/>
      <c r="F18" s="84"/>
      <c r="G18" s="84"/>
      <c r="H18" s="84"/>
      <c r="I18" s="84"/>
    </row>
    <row r="19" spans="1:9" x14ac:dyDescent="0.25">
      <c r="C19" s="92"/>
      <c r="D19" s="83"/>
      <c r="E19" s="84"/>
      <c r="F19" s="84"/>
      <c r="G19" s="84"/>
      <c r="H19" s="84"/>
      <c r="I19" s="84"/>
    </row>
    <row r="20" spans="1:9" x14ac:dyDescent="0.25">
      <c r="C20" s="92"/>
      <c r="D20" s="85"/>
      <c r="E20" s="86"/>
      <c r="F20" s="86"/>
      <c r="G20" s="86"/>
      <c r="H20" s="86"/>
      <c r="I20" s="86"/>
    </row>
    <row r="21" spans="1:9" x14ac:dyDescent="0.25">
      <c r="C21" s="92"/>
      <c r="D21" s="83"/>
      <c r="E21" s="84"/>
      <c r="F21" s="84"/>
      <c r="G21" s="84"/>
      <c r="H21" s="84"/>
      <c r="I21" s="84"/>
    </row>
    <row r="22" spans="1:9" x14ac:dyDescent="0.25">
      <c r="C22" s="92"/>
      <c r="D22" s="83"/>
      <c r="E22" s="84"/>
      <c r="F22" s="84"/>
      <c r="G22" s="84"/>
      <c r="H22" s="84"/>
      <c r="I22" s="84"/>
    </row>
    <row r="23" spans="1:9" x14ac:dyDescent="0.25">
      <c r="C23" s="92"/>
      <c r="D23" s="83"/>
      <c r="E23" s="84"/>
      <c r="F23" s="84"/>
      <c r="G23" s="84"/>
      <c r="H23" s="84"/>
      <c r="I23" s="84"/>
    </row>
    <row r="24" spans="1:9" x14ac:dyDescent="0.25">
      <c r="C24" s="92"/>
      <c r="D24" s="83"/>
      <c r="E24" s="84"/>
      <c r="F24" s="84"/>
      <c r="G24" s="84"/>
      <c r="H24" s="84"/>
      <c r="I24" s="84"/>
    </row>
    <row r="25" spans="1:9" x14ac:dyDescent="0.25">
      <c r="C25" s="92"/>
      <c r="D25" s="83"/>
      <c r="E25" s="84"/>
      <c r="F25" s="84"/>
      <c r="G25" s="84"/>
      <c r="H25" s="84"/>
      <c r="I25" s="84"/>
    </row>
    <row r="26" spans="1:9" x14ac:dyDescent="0.25">
      <c r="C26" s="92"/>
      <c r="D26" s="85"/>
      <c r="E26" s="86"/>
      <c r="F26" s="86"/>
      <c r="G26" s="86"/>
      <c r="H26" s="86"/>
      <c r="I26" s="86"/>
    </row>
    <row r="27" spans="1:9" x14ac:dyDescent="0.25">
      <c r="C27" s="92"/>
      <c r="D27" s="83"/>
      <c r="E27" s="84"/>
      <c r="F27" s="84"/>
      <c r="G27" s="84"/>
      <c r="H27" s="84"/>
      <c r="I27" s="84"/>
    </row>
    <row r="28" spans="1:9" x14ac:dyDescent="0.25">
      <c r="C28" s="92"/>
      <c r="D28" s="85"/>
      <c r="E28" s="86"/>
      <c r="F28" s="86"/>
      <c r="G28" s="86"/>
      <c r="H28" s="86"/>
      <c r="I28" s="86"/>
    </row>
    <row r="29" spans="1:9" x14ac:dyDescent="0.25">
      <c r="C29" s="92"/>
      <c r="D29" s="92"/>
      <c r="E29" s="92"/>
      <c r="F29" s="92"/>
      <c r="G29" s="92"/>
      <c r="H29" s="92"/>
      <c r="I29" s="92"/>
    </row>
    <row r="30" spans="1:9" x14ac:dyDescent="0.25">
      <c r="C30" s="92"/>
      <c r="D30" s="92"/>
      <c r="E30" s="92"/>
      <c r="F30" s="92"/>
      <c r="G30" s="92"/>
      <c r="H30" s="92"/>
      <c r="I30" s="92"/>
    </row>
    <row r="31" spans="1:9" ht="15.75" x14ac:dyDescent="0.25">
      <c r="A31" s="72"/>
      <c r="B31" s="72"/>
      <c r="C31" s="95"/>
      <c r="D31" s="95"/>
      <c r="E31" s="95"/>
      <c r="F31" s="95"/>
      <c r="G31" s="95"/>
      <c r="H31" s="95"/>
      <c r="I31" s="95"/>
    </row>
    <row r="32" spans="1:9" x14ac:dyDescent="0.25">
      <c r="C32" s="92"/>
      <c r="D32" s="92"/>
      <c r="E32" s="92"/>
      <c r="F32" s="92"/>
      <c r="G32" s="92"/>
      <c r="H32" s="92"/>
      <c r="I32" s="96"/>
    </row>
    <row r="33" spans="3:9" x14ac:dyDescent="0.25">
      <c r="C33" s="92"/>
      <c r="D33" s="87"/>
      <c r="E33" s="88"/>
      <c r="F33" s="88"/>
      <c r="G33" s="88"/>
      <c r="H33" s="88"/>
      <c r="I33" s="88"/>
    </row>
    <row r="34" spans="3:9" x14ac:dyDescent="0.25">
      <c r="C34" s="92"/>
      <c r="D34" s="89"/>
      <c r="E34" s="92"/>
      <c r="F34" s="92"/>
      <c r="G34" s="92"/>
      <c r="H34" s="92"/>
      <c r="I34" s="96"/>
    </row>
    <row r="35" spans="3:9" x14ac:dyDescent="0.25">
      <c r="C35" s="92"/>
      <c r="D35" s="92"/>
      <c r="E35" s="97"/>
      <c r="F35" s="97"/>
      <c r="G35" s="97"/>
      <c r="H35" s="97"/>
      <c r="I35" s="96"/>
    </row>
    <row r="36" spans="3:9" x14ac:dyDescent="0.25">
      <c r="C36" s="92"/>
      <c r="D36" s="92"/>
      <c r="E36" s="97"/>
      <c r="F36" s="97"/>
      <c r="G36" s="97"/>
      <c r="H36" s="97"/>
      <c r="I36" s="96"/>
    </row>
    <row r="37" spans="3:9" x14ac:dyDescent="0.25">
      <c r="C37" s="92"/>
      <c r="D37" s="92"/>
      <c r="E37" s="97"/>
      <c r="F37" s="97"/>
      <c r="G37" s="97"/>
      <c r="H37" s="97"/>
      <c r="I37" s="96"/>
    </row>
    <row r="38" spans="3:9" x14ac:dyDescent="0.25">
      <c r="C38" s="92"/>
      <c r="D38" s="92"/>
      <c r="E38" s="97"/>
      <c r="F38" s="97"/>
      <c r="G38" s="97"/>
      <c r="H38" s="97"/>
      <c r="I38" s="96"/>
    </row>
    <row r="39" spans="3:9" x14ac:dyDescent="0.25">
      <c r="C39" s="92"/>
      <c r="D39" s="92"/>
      <c r="E39" s="97"/>
      <c r="F39" s="97"/>
      <c r="G39" s="97"/>
      <c r="H39" s="97"/>
      <c r="I39" s="96"/>
    </row>
    <row r="40" spans="3:9" x14ac:dyDescent="0.25">
      <c r="C40" s="92"/>
      <c r="D40" s="92"/>
      <c r="E40" s="97"/>
      <c r="F40" s="97"/>
      <c r="G40" s="97"/>
      <c r="H40" s="97"/>
      <c r="I40" s="96"/>
    </row>
    <row r="41" spans="3:9" x14ac:dyDescent="0.25">
      <c r="C41" s="92"/>
      <c r="D41" s="92"/>
      <c r="E41" s="97"/>
      <c r="F41" s="97"/>
      <c r="G41" s="97"/>
      <c r="H41" s="97"/>
      <c r="I41" s="96"/>
    </row>
    <row r="42" spans="3:9" x14ac:dyDescent="0.25">
      <c r="C42" s="92"/>
      <c r="D42" s="89"/>
      <c r="E42" s="97"/>
      <c r="F42" s="97"/>
      <c r="G42" s="97"/>
      <c r="H42" s="97"/>
      <c r="I42" s="96"/>
    </row>
    <row r="43" spans="3:9" x14ac:dyDescent="0.25">
      <c r="C43" s="92"/>
      <c r="D43" s="92"/>
      <c r="E43" s="97"/>
      <c r="F43" s="97"/>
      <c r="G43" s="97"/>
      <c r="H43" s="97"/>
      <c r="I43" s="96"/>
    </row>
    <row r="44" spans="3:9" x14ac:dyDescent="0.25">
      <c r="C44" s="92"/>
      <c r="D44" s="92"/>
      <c r="E44" s="97"/>
      <c r="F44" s="97"/>
      <c r="G44" s="97"/>
      <c r="H44" s="97"/>
      <c r="I44" s="96"/>
    </row>
    <row r="45" spans="3:9" x14ac:dyDescent="0.25">
      <c r="C45" s="92"/>
      <c r="D45" s="92"/>
      <c r="E45" s="97"/>
      <c r="F45" s="97"/>
      <c r="G45" s="97"/>
      <c r="H45" s="97"/>
      <c r="I45" s="96"/>
    </row>
    <row r="46" spans="3:9" x14ac:dyDescent="0.25">
      <c r="C46" s="92"/>
      <c r="D46" s="92"/>
      <c r="E46" s="97"/>
      <c r="F46" s="97"/>
      <c r="G46" s="97"/>
      <c r="H46" s="97"/>
      <c r="I46" s="96"/>
    </row>
    <row r="47" spans="3:9" x14ac:dyDescent="0.25">
      <c r="C47" s="92"/>
      <c r="D47" s="92"/>
      <c r="E47" s="97"/>
      <c r="F47" s="97"/>
      <c r="G47" s="97"/>
      <c r="H47" s="97"/>
      <c r="I47" s="96"/>
    </row>
    <row r="48" spans="3:9" x14ac:dyDescent="0.25">
      <c r="C48" s="92"/>
      <c r="D48" s="92"/>
      <c r="E48" s="97"/>
      <c r="F48" s="97"/>
      <c r="G48" s="97"/>
      <c r="H48" s="97"/>
      <c r="I48" s="96"/>
    </row>
    <row r="49" spans="3:9" x14ac:dyDescent="0.25">
      <c r="C49" s="92"/>
      <c r="D49" s="89"/>
      <c r="E49" s="90"/>
      <c r="F49" s="90"/>
      <c r="G49" s="90"/>
      <c r="H49" s="90"/>
      <c r="I49" s="91"/>
    </row>
    <row r="50" spans="3:9" x14ac:dyDescent="0.25">
      <c r="C50" s="92"/>
      <c r="D50" s="89"/>
      <c r="E50" s="97"/>
      <c r="F50" s="97"/>
      <c r="G50" s="97"/>
      <c r="H50" s="97"/>
      <c r="I50" s="96"/>
    </row>
    <row r="51" spans="3:9" x14ac:dyDescent="0.25">
      <c r="C51" s="92"/>
      <c r="D51" s="92"/>
      <c r="E51" s="97"/>
      <c r="F51" s="97"/>
      <c r="G51" s="97"/>
      <c r="H51" s="97"/>
      <c r="I51" s="96"/>
    </row>
    <row r="52" spans="3:9" x14ac:dyDescent="0.25">
      <c r="C52" s="92"/>
      <c r="D52" s="89"/>
      <c r="E52" s="97"/>
      <c r="F52" s="97"/>
      <c r="G52" s="97"/>
      <c r="H52" s="97"/>
      <c r="I52" s="96"/>
    </row>
    <row r="53" spans="3:9" x14ac:dyDescent="0.25">
      <c r="C53" s="92"/>
      <c r="D53" s="88"/>
      <c r="E53" s="97"/>
      <c r="F53" s="97"/>
      <c r="G53" s="97"/>
      <c r="H53" s="97"/>
      <c r="I53" s="96"/>
    </row>
    <row r="54" spans="3:9" x14ac:dyDescent="0.25">
      <c r="C54" s="92"/>
      <c r="D54" s="92"/>
      <c r="E54" s="97"/>
      <c r="F54" s="97"/>
      <c r="G54" s="97"/>
      <c r="H54" s="97"/>
      <c r="I54" s="96"/>
    </row>
    <row r="55" spans="3:9" x14ac:dyDescent="0.25">
      <c r="C55" s="92"/>
      <c r="D55" s="92"/>
      <c r="E55" s="97"/>
      <c r="F55" s="97"/>
      <c r="G55" s="97"/>
      <c r="H55" s="97"/>
      <c r="I55" s="96"/>
    </row>
    <row r="56" spans="3:9" x14ac:dyDescent="0.25">
      <c r="C56" s="92"/>
      <c r="D56" s="92"/>
      <c r="E56" s="97"/>
      <c r="F56" s="97"/>
      <c r="G56" s="97"/>
      <c r="H56" s="97"/>
      <c r="I56" s="96"/>
    </row>
    <row r="57" spans="3:9" x14ac:dyDescent="0.25">
      <c r="C57" s="92"/>
      <c r="D57" s="88"/>
      <c r="E57" s="97"/>
      <c r="F57" s="97"/>
      <c r="G57" s="97"/>
      <c r="H57" s="97"/>
      <c r="I57" s="96"/>
    </row>
    <row r="58" spans="3:9" x14ac:dyDescent="0.25">
      <c r="C58" s="92"/>
      <c r="D58" s="88"/>
      <c r="E58" s="97"/>
      <c r="F58" s="97"/>
      <c r="G58" s="97"/>
      <c r="H58" s="97"/>
      <c r="I58" s="96"/>
    </row>
    <row r="59" spans="3:9" x14ac:dyDescent="0.25">
      <c r="C59" s="92"/>
      <c r="D59" s="92"/>
      <c r="E59" s="97"/>
      <c r="F59" s="97"/>
      <c r="G59" s="97"/>
      <c r="H59" s="97"/>
      <c r="I59" s="96"/>
    </row>
    <row r="60" spans="3:9" x14ac:dyDescent="0.25">
      <c r="C60" s="92"/>
      <c r="D60" s="92"/>
      <c r="E60" s="90"/>
      <c r="F60" s="90"/>
      <c r="G60" s="90"/>
      <c r="H60" s="90"/>
      <c r="I60" s="91"/>
    </row>
    <row r="61" spans="3:9" x14ac:dyDescent="0.25">
      <c r="C61" s="92"/>
      <c r="D61" s="88"/>
      <c r="E61" s="97"/>
      <c r="F61" s="97"/>
      <c r="G61" s="97"/>
      <c r="H61" s="97"/>
      <c r="I61" s="96"/>
    </row>
    <row r="62" spans="3:9" x14ac:dyDescent="0.25">
      <c r="C62" s="92"/>
      <c r="D62" s="89"/>
      <c r="E62" s="90"/>
      <c r="F62" s="90"/>
      <c r="G62" s="90"/>
      <c r="H62" s="90"/>
      <c r="I62" s="91"/>
    </row>
    <row r="63" spans="3:9" x14ac:dyDescent="0.25">
      <c r="C63" s="92"/>
      <c r="D63" s="89"/>
      <c r="E63" s="90"/>
      <c r="F63" s="90"/>
      <c r="G63" s="90"/>
      <c r="H63" s="90"/>
      <c r="I63" s="91"/>
    </row>
    <row r="64" spans="3:9" x14ac:dyDescent="0.25">
      <c r="C64" s="92"/>
      <c r="D64" s="89"/>
      <c r="E64" s="97"/>
      <c r="F64" s="97"/>
      <c r="G64" s="97"/>
      <c r="H64" s="97"/>
      <c r="I64" s="96"/>
    </row>
    <row r="65" spans="3:9" x14ac:dyDescent="0.25">
      <c r="C65" s="92"/>
      <c r="D65" s="89"/>
      <c r="E65" s="97"/>
      <c r="F65" s="97"/>
      <c r="G65" s="97"/>
      <c r="H65" s="97"/>
      <c r="I65" s="96"/>
    </row>
    <row r="66" spans="3:9" x14ac:dyDescent="0.25">
      <c r="C66" s="92"/>
      <c r="D66" s="92"/>
      <c r="E66" s="97"/>
      <c r="F66" s="97"/>
      <c r="G66" s="97"/>
      <c r="H66" s="97"/>
      <c r="I66" s="96"/>
    </row>
    <row r="67" spans="3:9" x14ac:dyDescent="0.25">
      <c r="C67" s="92"/>
      <c r="D67" s="92"/>
      <c r="E67" s="97"/>
      <c r="F67" s="97"/>
      <c r="G67" s="97"/>
      <c r="H67" s="97"/>
      <c r="I67" s="96"/>
    </row>
    <row r="68" spans="3:9" x14ac:dyDescent="0.25">
      <c r="C68" s="92"/>
      <c r="D68" s="92"/>
      <c r="E68" s="97"/>
      <c r="F68" s="97"/>
      <c r="G68" s="97"/>
      <c r="H68" s="97"/>
      <c r="I68" s="96"/>
    </row>
    <row r="69" spans="3:9" x14ac:dyDescent="0.25">
      <c r="C69" s="92"/>
      <c r="D69" s="92"/>
      <c r="E69" s="97"/>
      <c r="F69" s="97"/>
      <c r="G69" s="97"/>
      <c r="H69" s="97"/>
      <c r="I69" s="96"/>
    </row>
    <row r="70" spans="3:9" x14ac:dyDescent="0.25">
      <c r="C70" s="92"/>
      <c r="D70" s="89"/>
      <c r="E70" s="90"/>
      <c r="F70" s="90"/>
      <c r="G70" s="90"/>
      <c r="H70" s="90"/>
      <c r="I70" s="91"/>
    </row>
    <row r="71" spans="3:9" x14ac:dyDescent="0.25">
      <c r="C71" s="92"/>
      <c r="D71" s="89"/>
      <c r="E71" s="97"/>
      <c r="F71" s="97"/>
      <c r="G71" s="97"/>
      <c r="H71" s="97"/>
      <c r="I71" s="96"/>
    </row>
    <row r="72" spans="3:9" x14ac:dyDescent="0.25">
      <c r="C72" s="92"/>
      <c r="D72" s="89"/>
      <c r="E72" s="97"/>
      <c r="F72" s="97"/>
      <c r="G72" s="97"/>
      <c r="H72" s="97"/>
      <c r="I72" s="96"/>
    </row>
    <row r="73" spans="3:9" x14ac:dyDescent="0.25">
      <c r="C73" s="92"/>
      <c r="D73" s="89"/>
      <c r="E73" s="97"/>
      <c r="F73" s="97"/>
      <c r="G73" s="97"/>
      <c r="H73" s="97"/>
      <c r="I73" s="96"/>
    </row>
    <row r="74" spans="3:9" x14ac:dyDescent="0.25">
      <c r="C74" s="92"/>
      <c r="D74" s="92"/>
      <c r="E74" s="97"/>
      <c r="F74" s="97"/>
      <c r="G74" s="97"/>
      <c r="H74" s="97"/>
      <c r="I74" s="96"/>
    </row>
    <row r="75" spans="3:9" x14ac:dyDescent="0.25">
      <c r="C75" s="92"/>
      <c r="D75" s="92"/>
      <c r="E75" s="97"/>
      <c r="F75" s="97"/>
      <c r="G75" s="97"/>
      <c r="H75" s="97"/>
      <c r="I75" s="96"/>
    </row>
    <row r="76" spans="3:9" x14ac:dyDescent="0.25">
      <c r="C76" s="92"/>
      <c r="D76" s="92"/>
      <c r="E76" s="97"/>
      <c r="F76" s="97"/>
      <c r="G76" s="97"/>
      <c r="H76" s="97"/>
      <c r="I76" s="96"/>
    </row>
    <row r="77" spans="3:9" x14ac:dyDescent="0.25">
      <c r="C77" s="92"/>
      <c r="D77" s="92"/>
      <c r="E77" s="97"/>
      <c r="F77" s="97"/>
      <c r="G77" s="97"/>
      <c r="H77" s="97"/>
      <c r="I77" s="96"/>
    </row>
    <row r="78" spans="3:9" x14ac:dyDescent="0.25">
      <c r="C78" s="92"/>
      <c r="D78" s="92"/>
      <c r="E78" s="97"/>
      <c r="F78" s="97"/>
      <c r="G78" s="97"/>
      <c r="H78" s="97"/>
      <c r="I78" s="96"/>
    </row>
    <row r="79" spans="3:9" x14ac:dyDescent="0.25">
      <c r="C79" s="92"/>
      <c r="D79" s="92"/>
      <c r="E79" s="97"/>
      <c r="F79" s="97"/>
      <c r="G79" s="97"/>
      <c r="H79" s="97"/>
      <c r="I79" s="96"/>
    </row>
    <row r="80" spans="3:9" x14ac:dyDescent="0.25">
      <c r="C80" s="92"/>
      <c r="D80" s="89"/>
      <c r="E80" s="90"/>
      <c r="F80" s="90"/>
      <c r="G80" s="90"/>
      <c r="H80" s="90"/>
      <c r="I80" s="91"/>
    </row>
    <row r="81" spans="3:10" x14ac:dyDescent="0.25">
      <c r="C81" s="92"/>
      <c r="D81" s="92"/>
      <c r="E81" s="97"/>
      <c r="F81" s="97"/>
      <c r="G81" s="97"/>
      <c r="H81" s="97"/>
      <c r="I81" s="96"/>
    </row>
    <row r="82" spans="3:10" x14ac:dyDescent="0.25">
      <c r="C82" s="92"/>
      <c r="D82" s="92"/>
      <c r="E82" s="97"/>
      <c r="F82" s="97"/>
      <c r="G82" s="97"/>
      <c r="H82" s="97"/>
      <c r="I82" s="96"/>
    </row>
    <row r="83" spans="3:10" x14ac:dyDescent="0.25">
      <c r="C83" s="92"/>
      <c r="D83" s="92"/>
      <c r="E83" s="97"/>
      <c r="F83" s="97"/>
      <c r="G83" s="97"/>
      <c r="H83" s="97"/>
      <c r="I83" s="96"/>
    </row>
    <row r="84" spans="3:10" x14ac:dyDescent="0.25">
      <c r="C84" s="92"/>
      <c r="D84" s="92"/>
      <c r="E84" s="97"/>
      <c r="F84" s="97"/>
      <c r="G84" s="97"/>
      <c r="H84" s="97"/>
      <c r="I84" s="96"/>
    </row>
    <row r="85" spans="3:10" x14ac:dyDescent="0.25">
      <c r="C85" s="92"/>
      <c r="D85" s="92"/>
      <c r="E85" s="97"/>
      <c r="F85" s="97"/>
      <c r="G85" s="97"/>
      <c r="H85" s="97"/>
      <c r="I85" s="96"/>
    </row>
    <row r="86" spans="3:10" x14ac:dyDescent="0.25">
      <c r="C86" s="92"/>
      <c r="D86" s="92"/>
      <c r="E86" s="97"/>
      <c r="F86" s="97"/>
      <c r="G86" s="97"/>
      <c r="H86" s="97"/>
      <c r="I86" s="96"/>
    </row>
    <row r="87" spans="3:10" x14ac:dyDescent="0.25">
      <c r="C87" s="92"/>
      <c r="D87" s="92"/>
      <c r="E87" s="97"/>
      <c r="F87" s="97"/>
      <c r="G87" s="97"/>
      <c r="H87" s="97"/>
      <c r="I87" s="96"/>
    </row>
    <row r="88" spans="3:10" x14ac:dyDescent="0.25">
      <c r="C88" s="92"/>
      <c r="D88" s="92"/>
      <c r="E88" s="97"/>
      <c r="F88" s="97"/>
      <c r="G88" s="97"/>
      <c r="H88" s="97"/>
      <c r="I88" s="96"/>
    </row>
    <row r="89" spans="3:10" x14ac:dyDescent="0.25">
      <c r="C89" s="92"/>
      <c r="D89" s="92"/>
      <c r="E89" s="97"/>
      <c r="F89" s="97"/>
      <c r="G89" s="97"/>
      <c r="H89" s="97"/>
      <c r="I89" s="96"/>
    </row>
    <row r="90" spans="3:10" x14ac:dyDescent="0.25">
      <c r="C90" s="92"/>
      <c r="D90" s="92"/>
      <c r="E90" s="97"/>
      <c r="F90" s="97"/>
      <c r="G90" s="97"/>
      <c r="H90" s="97"/>
      <c r="I90" s="96"/>
    </row>
    <row r="91" spans="3:10" x14ac:dyDescent="0.25">
      <c r="C91" s="92"/>
      <c r="D91" s="92"/>
      <c r="E91" s="97"/>
      <c r="F91" s="97"/>
      <c r="G91" s="97"/>
      <c r="H91" s="97"/>
      <c r="I91" s="96"/>
    </row>
    <row r="92" spans="3:10" x14ac:dyDescent="0.25">
      <c r="C92" s="92"/>
      <c r="D92" s="92"/>
      <c r="E92" s="97"/>
      <c r="F92" s="97"/>
      <c r="G92" s="97"/>
      <c r="H92" s="97"/>
      <c r="I92" s="96"/>
    </row>
    <row r="93" spans="3:10" x14ac:dyDescent="0.25">
      <c r="C93" s="92"/>
      <c r="D93" s="89"/>
      <c r="E93" s="90"/>
      <c r="F93" s="90"/>
      <c r="G93" s="90"/>
      <c r="H93" s="90"/>
      <c r="I93" s="91"/>
    </row>
    <row r="94" spans="3:10" x14ac:dyDescent="0.25">
      <c r="C94" s="92"/>
      <c r="D94" s="89"/>
      <c r="E94" s="90"/>
      <c r="F94" s="90"/>
      <c r="G94" s="90"/>
      <c r="H94" s="90"/>
      <c r="I94" s="91"/>
    </row>
    <row r="95" spans="3:10" x14ac:dyDescent="0.25">
      <c r="C95" s="92"/>
      <c r="D95" s="92"/>
      <c r="E95" s="97"/>
      <c r="F95" s="97"/>
      <c r="G95" s="97"/>
      <c r="H95" s="97"/>
      <c r="I95" s="96"/>
      <c r="J95" s="59"/>
    </row>
    <row r="96" spans="3:10" x14ac:dyDescent="0.25">
      <c r="C96" s="92"/>
      <c r="D96" s="92"/>
      <c r="E96" s="92"/>
      <c r="F96" s="92"/>
      <c r="G96" s="92"/>
      <c r="H96" s="92"/>
      <c r="I96" s="92"/>
    </row>
    <row r="97" spans="1:10" x14ac:dyDescent="0.25">
      <c r="C97" s="92"/>
      <c r="D97" s="92"/>
      <c r="E97" s="92"/>
      <c r="F97" s="92"/>
      <c r="G97" s="92"/>
      <c r="H97" s="92"/>
      <c r="I97" s="92"/>
    </row>
    <row r="98" spans="1:10" x14ac:dyDescent="0.25">
      <c r="C98" s="92"/>
      <c r="D98" s="92"/>
      <c r="E98" s="92"/>
      <c r="F98" s="92"/>
      <c r="G98" s="92"/>
      <c r="H98" s="92"/>
      <c r="I98" s="92"/>
    </row>
    <row r="99" spans="1:10" ht="15.75" x14ac:dyDescent="0.25">
      <c r="A99" s="5"/>
      <c r="B99" s="5"/>
      <c r="C99" s="19"/>
      <c r="D99" s="19"/>
      <c r="E99" s="19"/>
      <c r="F99" s="19"/>
      <c r="G99" s="19"/>
      <c r="H99" s="19"/>
      <c r="I99" s="19"/>
    </row>
    <row r="100" spans="1:10" x14ac:dyDescent="0.25">
      <c r="C100" s="92"/>
      <c r="D100" s="92"/>
      <c r="E100" s="92"/>
      <c r="F100" s="92"/>
      <c r="G100" s="92"/>
      <c r="H100" s="92"/>
      <c r="I100" s="92"/>
    </row>
    <row r="101" spans="1:10" x14ac:dyDescent="0.25">
      <c r="C101" s="92"/>
      <c r="D101" s="89"/>
      <c r="E101" s="92"/>
      <c r="F101" s="92"/>
      <c r="G101" s="92"/>
      <c r="H101" s="92"/>
      <c r="I101" s="92"/>
    </row>
    <row r="102" spans="1:10" x14ac:dyDescent="0.25">
      <c r="C102" s="92"/>
      <c r="D102" s="92"/>
      <c r="E102" s="96"/>
      <c r="F102" s="96"/>
      <c r="G102" s="96"/>
      <c r="H102" s="96"/>
      <c r="I102" s="96"/>
    </row>
    <row r="103" spans="1:10" x14ac:dyDescent="0.25">
      <c r="C103" s="92"/>
      <c r="D103" s="89"/>
      <c r="E103" s="92"/>
      <c r="F103" s="92"/>
      <c r="G103" s="92"/>
      <c r="H103" s="92"/>
      <c r="I103" s="92"/>
    </row>
    <row r="104" spans="1:10" x14ac:dyDescent="0.25">
      <c r="C104" s="92"/>
      <c r="D104" s="92"/>
      <c r="E104" s="96"/>
      <c r="F104" s="96"/>
      <c r="G104" s="96"/>
      <c r="H104" s="96"/>
      <c r="I104" s="96"/>
    </row>
    <row r="105" spans="1:10" x14ac:dyDescent="0.25">
      <c r="C105" s="92"/>
      <c r="D105" s="92"/>
      <c r="E105" s="96"/>
      <c r="F105" s="96"/>
      <c r="G105" s="96"/>
      <c r="H105" s="92"/>
      <c r="I105" s="92"/>
    </row>
    <row r="106" spans="1:10" x14ac:dyDescent="0.25">
      <c r="C106" s="92"/>
      <c r="D106" s="92"/>
      <c r="E106" s="92"/>
      <c r="F106" s="92"/>
      <c r="G106" s="92"/>
      <c r="H106" s="92"/>
      <c r="I106" s="92"/>
      <c r="J106" s="59"/>
    </row>
    <row r="107" spans="1:10" x14ac:dyDescent="0.25">
      <c r="C107" s="92"/>
      <c r="D107" s="92"/>
      <c r="E107" s="92"/>
      <c r="F107" s="92"/>
      <c r="G107" s="92"/>
      <c r="H107" s="92"/>
      <c r="I107" s="92"/>
    </row>
    <row r="108" spans="1:10" x14ac:dyDescent="0.25">
      <c r="C108" s="92"/>
      <c r="D108" s="92"/>
      <c r="E108" s="92"/>
      <c r="F108" s="92"/>
      <c r="G108" s="92"/>
      <c r="H108" s="92"/>
      <c r="I108" s="92"/>
    </row>
    <row r="109" spans="1:10" x14ac:dyDescent="0.25">
      <c r="C109" s="92"/>
      <c r="D109" s="92"/>
      <c r="E109" s="92"/>
      <c r="F109" s="92"/>
      <c r="G109" s="92"/>
      <c r="H109" s="92"/>
      <c r="I109" s="92"/>
    </row>
    <row r="110" spans="1:10" x14ac:dyDescent="0.25">
      <c r="C110" s="92"/>
      <c r="D110" s="92"/>
      <c r="E110" s="92"/>
      <c r="F110" s="92"/>
      <c r="G110" s="92"/>
      <c r="H110" s="92"/>
      <c r="I110" s="92"/>
    </row>
    <row r="111" spans="1:10" x14ac:dyDescent="0.25">
      <c r="C111" s="92"/>
      <c r="D111" s="92"/>
      <c r="E111" s="92"/>
      <c r="F111" s="92"/>
      <c r="G111" s="92"/>
      <c r="H111" s="92"/>
      <c r="I111" s="92"/>
    </row>
    <row r="112" spans="1:10" x14ac:dyDescent="0.25">
      <c r="C112" s="92"/>
      <c r="D112" s="92"/>
      <c r="E112" s="92"/>
      <c r="F112" s="92"/>
      <c r="G112" s="92"/>
      <c r="H112" s="92"/>
      <c r="I112" s="92"/>
    </row>
    <row r="113" spans="3:9" x14ac:dyDescent="0.25">
      <c r="C113" s="92"/>
      <c r="D113" s="92"/>
      <c r="E113" s="92"/>
      <c r="F113" s="92"/>
      <c r="G113" s="92"/>
      <c r="H113" s="92"/>
      <c r="I113" s="92"/>
    </row>
    <row r="114" spans="3:9" x14ac:dyDescent="0.25">
      <c r="C114" s="92"/>
      <c r="D114" s="92"/>
      <c r="E114" s="92"/>
      <c r="F114" s="92"/>
      <c r="G114" s="92"/>
      <c r="H114" s="92"/>
      <c r="I114" s="96"/>
    </row>
    <row r="115" spans="3:9" x14ac:dyDescent="0.25">
      <c r="C115" s="92"/>
      <c r="D115" s="92"/>
      <c r="E115" s="92"/>
      <c r="F115" s="92"/>
      <c r="G115" s="92"/>
      <c r="H115" s="96"/>
      <c r="I115" s="96"/>
    </row>
    <row r="116" spans="3:9" x14ac:dyDescent="0.25">
      <c r="C116" s="92"/>
      <c r="D116" s="92"/>
      <c r="E116" s="92"/>
      <c r="F116" s="92"/>
      <c r="G116" s="92"/>
      <c r="H116" s="92"/>
      <c r="I116" s="96"/>
    </row>
    <row r="117" spans="3:9" x14ac:dyDescent="0.25">
      <c r="C117" s="92"/>
      <c r="D117" s="92"/>
      <c r="E117" s="92"/>
      <c r="F117" s="92"/>
      <c r="G117" s="92"/>
      <c r="H117" s="92"/>
      <c r="I117" s="92"/>
    </row>
    <row r="118" spans="3:9" x14ac:dyDescent="0.25">
      <c r="C118" s="92"/>
      <c r="D118" s="92"/>
      <c r="E118" s="92"/>
      <c r="F118" s="92"/>
      <c r="G118" s="92"/>
      <c r="H118" s="92"/>
      <c r="I118" s="96"/>
    </row>
    <row r="119" spans="3:9" x14ac:dyDescent="0.25">
      <c r="C119" s="92"/>
      <c r="D119" s="89"/>
      <c r="E119" s="91"/>
      <c r="F119" s="91"/>
      <c r="G119" s="91"/>
      <c r="H119" s="91"/>
      <c r="I119" s="91"/>
    </row>
    <row r="120" spans="3:9" x14ac:dyDescent="0.25">
      <c r="C120" s="92"/>
      <c r="D120" s="89"/>
      <c r="E120" s="91"/>
      <c r="F120" s="91"/>
      <c r="G120" s="91"/>
      <c r="H120" s="91"/>
      <c r="I120" s="91"/>
    </row>
    <row r="121" spans="3:9" x14ac:dyDescent="0.25">
      <c r="C121" s="92"/>
      <c r="D121" s="92"/>
      <c r="E121" s="92"/>
      <c r="F121" s="92"/>
      <c r="G121" s="92"/>
      <c r="H121" s="92"/>
      <c r="I121" s="92"/>
    </row>
    <row r="122" spans="3:9" x14ac:dyDescent="0.25">
      <c r="C122" s="92"/>
      <c r="D122" s="92"/>
      <c r="E122" s="96"/>
      <c r="F122" s="96"/>
      <c r="G122" s="92"/>
      <c r="H122" s="96"/>
      <c r="I122" s="96"/>
    </row>
    <row r="123" spans="3:9" x14ac:dyDescent="0.25">
      <c r="C123" s="92"/>
      <c r="D123" s="92"/>
      <c r="E123" s="92"/>
      <c r="F123" s="96"/>
      <c r="G123" s="92"/>
      <c r="H123" s="92"/>
      <c r="I123" s="92"/>
    </row>
    <row r="124" spans="3:9" x14ac:dyDescent="0.25">
      <c r="C124" s="92"/>
      <c r="D124" s="92"/>
      <c r="E124" s="92"/>
      <c r="F124" s="96"/>
      <c r="G124" s="96"/>
      <c r="H124" s="96"/>
      <c r="I124" s="96"/>
    </row>
    <row r="125" spans="3:9" x14ac:dyDescent="0.25">
      <c r="C125" s="92"/>
      <c r="D125" s="92"/>
      <c r="E125" s="92"/>
      <c r="F125" s="92"/>
      <c r="G125" s="96"/>
      <c r="H125" s="96"/>
      <c r="I125" s="92"/>
    </row>
    <row r="126" spans="3:9" x14ac:dyDescent="0.25">
      <c r="C126" s="92"/>
      <c r="D126" s="92"/>
      <c r="E126" s="92"/>
      <c r="F126" s="92"/>
      <c r="G126" s="92"/>
      <c r="H126" s="92"/>
      <c r="I126" s="92"/>
    </row>
    <row r="127" spans="3:9" x14ac:dyDescent="0.25">
      <c r="C127" s="92"/>
      <c r="D127" s="89"/>
      <c r="E127" s="91"/>
      <c r="F127" s="91"/>
      <c r="G127" s="89"/>
      <c r="H127" s="89"/>
      <c r="I127" s="91"/>
    </row>
    <row r="128" spans="3:9" x14ac:dyDescent="0.25">
      <c r="C128" s="92"/>
      <c r="D128" s="89"/>
      <c r="E128" s="91"/>
      <c r="F128" s="91"/>
      <c r="G128" s="91"/>
      <c r="H128" s="91"/>
      <c r="I128" s="91"/>
    </row>
    <row r="129" spans="1:9" x14ac:dyDescent="0.25">
      <c r="C129" s="92"/>
      <c r="D129" s="92"/>
      <c r="E129" s="96"/>
      <c r="F129" s="96"/>
      <c r="G129" s="96"/>
      <c r="H129" s="96"/>
      <c r="I129" s="96"/>
    </row>
    <row r="130" spans="1:9" x14ac:dyDescent="0.25">
      <c r="A130" s="98"/>
      <c r="B130" s="98"/>
      <c r="C130" s="92"/>
      <c r="D130" s="89"/>
      <c r="E130" s="91"/>
      <c r="F130" s="91"/>
      <c r="G130" s="91"/>
      <c r="H130" s="91"/>
      <c r="I130" s="91"/>
    </row>
    <row r="131" spans="1:9" x14ac:dyDescent="0.25">
      <c r="C131" s="92"/>
      <c r="D131" s="89"/>
      <c r="E131" s="92"/>
      <c r="F131" s="92"/>
      <c r="G131" s="92"/>
      <c r="H131" s="92"/>
      <c r="I131" s="92"/>
    </row>
    <row r="132" spans="1:9" x14ac:dyDescent="0.25">
      <c r="C132" s="92"/>
      <c r="D132" s="92"/>
      <c r="E132" s="96"/>
      <c r="F132" s="96"/>
      <c r="G132" s="96"/>
      <c r="H132" s="96"/>
      <c r="I132" s="96"/>
    </row>
    <row r="133" spans="1:9" x14ac:dyDescent="0.25">
      <c r="C133" s="92"/>
      <c r="D133" s="92"/>
      <c r="E133" s="92"/>
      <c r="F133" s="92"/>
      <c r="G133" s="92"/>
      <c r="H133" s="92"/>
      <c r="I133" s="92"/>
    </row>
    <row r="134" spans="1:9" x14ac:dyDescent="0.25">
      <c r="C134" s="92"/>
      <c r="D134" s="92"/>
      <c r="E134" s="96"/>
      <c r="F134" s="92"/>
      <c r="G134" s="92"/>
      <c r="H134" s="92"/>
      <c r="I134" s="96"/>
    </row>
    <row r="135" spans="1:9" x14ac:dyDescent="0.25">
      <c r="C135" s="92"/>
      <c r="D135" s="92"/>
      <c r="E135" s="96"/>
      <c r="F135" s="92"/>
      <c r="G135" s="92"/>
      <c r="H135" s="92"/>
      <c r="I135" s="92"/>
    </row>
    <row r="136" spans="1:9" x14ac:dyDescent="0.25">
      <c r="C136" s="92"/>
      <c r="D136" s="92"/>
      <c r="E136" s="92"/>
      <c r="F136" s="92"/>
      <c r="G136" s="92"/>
      <c r="H136" s="92"/>
      <c r="I136" s="96"/>
    </row>
    <row r="137" spans="1:9" x14ac:dyDescent="0.25">
      <c r="C137" s="92"/>
      <c r="D137" s="92"/>
      <c r="E137" s="92"/>
      <c r="F137" s="96"/>
      <c r="G137" s="96"/>
      <c r="H137" s="96"/>
      <c r="I137" s="96"/>
    </row>
    <row r="138" spans="1:9" x14ac:dyDescent="0.25">
      <c r="C138" s="92"/>
      <c r="D138" s="92"/>
      <c r="E138" s="92"/>
      <c r="F138" s="92"/>
      <c r="G138" s="92"/>
      <c r="H138" s="92"/>
      <c r="I138" s="92"/>
    </row>
    <row r="139" spans="1:9" x14ac:dyDescent="0.25">
      <c r="C139" s="92"/>
      <c r="D139" s="92"/>
      <c r="E139" s="92"/>
      <c r="F139" s="92"/>
      <c r="G139" s="92"/>
      <c r="H139" s="92"/>
      <c r="I139" s="96"/>
    </row>
    <row r="140" spans="1:9" x14ac:dyDescent="0.25">
      <c r="C140" s="92"/>
      <c r="D140" s="92"/>
      <c r="E140" s="92"/>
      <c r="F140" s="92"/>
      <c r="G140" s="92"/>
      <c r="H140" s="92"/>
      <c r="I140" s="96"/>
    </row>
    <row r="141" spans="1:9" x14ac:dyDescent="0.25">
      <c r="C141" s="92"/>
      <c r="D141" s="89"/>
      <c r="E141" s="91"/>
      <c r="F141" s="91"/>
      <c r="G141" s="91"/>
      <c r="H141" s="91"/>
      <c r="I141" s="91"/>
    </row>
    <row r="142" spans="1:9" x14ac:dyDescent="0.25">
      <c r="C142" s="92"/>
      <c r="D142" s="89"/>
      <c r="E142" s="92"/>
      <c r="F142" s="92"/>
      <c r="G142" s="92"/>
      <c r="H142" s="92"/>
      <c r="I142" s="92"/>
    </row>
    <row r="143" spans="1:9" x14ac:dyDescent="0.25">
      <c r="C143" s="92"/>
      <c r="D143" s="92"/>
      <c r="E143" s="92"/>
      <c r="F143" s="96"/>
      <c r="G143" s="92"/>
      <c r="H143" s="92"/>
      <c r="I143" s="92"/>
    </row>
    <row r="144" spans="1:9" x14ac:dyDescent="0.25">
      <c r="C144" s="92"/>
      <c r="D144" s="92"/>
      <c r="E144" s="92"/>
      <c r="F144" s="96"/>
      <c r="G144" s="96"/>
      <c r="H144" s="96"/>
      <c r="I144" s="96"/>
    </row>
    <row r="145" spans="1:10" x14ac:dyDescent="0.25">
      <c r="C145" s="92"/>
      <c r="D145" s="92"/>
      <c r="E145" s="92"/>
      <c r="F145" s="96"/>
      <c r="G145" s="96"/>
      <c r="H145" s="96"/>
      <c r="I145" s="96"/>
    </row>
    <row r="146" spans="1:10" x14ac:dyDescent="0.25">
      <c r="C146" s="92"/>
      <c r="D146" s="92"/>
      <c r="E146" s="96"/>
      <c r="F146" s="96"/>
      <c r="G146" s="96"/>
      <c r="H146" s="96"/>
      <c r="I146" s="96"/>
    </row>
    <row r="147" spans="1:10" x14ac:dyDescent="0.25">
      <c r="C147" s="92"/>
      <c r="D147" s="92"/>
      <c r="E147" s="92"/>
      <c r="F147" s="92"/>
      <c r="G147" s="92"/>
      <c r="H147" s="92"/>
      <c r="I147" s="92"/>
    </row>
    <row r="148" spans="1:10" x14ac:dyDescent="0.25">
      <c r="C148" s="92"/>
      <c r="D148" s="92"/>
      <c r="E148" s="92"/>
      <c r="F148" s="92"/>
      <c r="G148" s="92"/>
      <c r="H148" s="92"/>
      <c r="I148" s="92"/>
    </row>
    <row r="149" spans="1:10" x14ac:dyDescent="0.25">
      <c r="C149" s="92"/>
      <c r="D149" s="89"/>
      <c r="E149" s="91"/>
      <c r="F149" s="89"/>
      <c r="G149" s="91"/>
      <c r="H149" s="91"/>
      <c r="I149" s="91"/>
    </row>
    <row r="150" spans="1:10" x14ac:dyDescent="0.25">
      <c r="C150" s="92"/>
      <c r="D150" s="89"/>
      <c r="E150" s="89"/>
      <c r="F150" s="89"/>
      <c r="G150" s="89"/>
      <c r="H150" s="89"/>
      <c r="I150" s="89"/>
    </row>
    <row r="151" spans="1:10" x14ac:dyDescent="0.25">
      <c r="C151" s="92"/>
      <c r="D151" s="89"/>
      <c r="E151" s="91"/>
      <c r="F151" s="91"/>
      <c r="G151" s="91"/>
      <c r="H151" s="91"/>
      <c r="I151" s="91"/>
    </row>
    <row r="152" spans="1:10" x14ac:dyDescent="0.25">
      <c r="C152" s="89"/>
      <c r="D152" s="92"/>
      <c r="E152" s="92"/>
      <c r="F152" s="92"/>
      <c r="G152" s="92"/>
      <c r="H152" s="92"/>
      <c r="I152" s="92"/>
    </row>
    <row r="153" spans="1:10" x14ac:dyDescent="0.25">
      <c r="C153" s="92"/>
      <c r="D153" s="89"/>
      <c r="E153" s="91"/>
      <c r="F153" s="91"/>
      <c r="G153" s="91"/>
      <c r="H153" s="91"/>
      <c r="I153" s="91"/>
    </row>
    <row r="154" spans="1:10" x14ac:dyDescent="0.25">
      <c r="C154" s="92"/>
      <c r="D154" s="92"/>
      <c r="E154" s="92"/>
      <c r="F154" s="92"/>
      <c r="G154" s="92"/>
      <c r="H154" s="92"/>
      <c r="I154" s="92"/>
    </row>
    <row r="155" spans="1:10" ht="15.75" x14ac:dyDescent="0.25">
      <c r="A155" s="5"/>
      <c r="B155" s="5"/>
      <c r="C155" s="19"/>
      <c r="D155" s="19"/>
      <c r="E155" s="19"/>
      <c r="F155" s="19"/>
      <c r="G155" s="19"/>
      <c r="H155" s="19"/>
      <c r="I155" s="19"/>
    </row>
    <row r="156" spans="1:10" x14ac:dyDescent="0.25">
      <c r="C156" s="92"/>
      <c r="D156" s="92"/>
      <c r="E156" s="96"/>
      <c r="F156" s="96"/>
      <c r="G156" s="96"/>
      <c r="H156" s="96"/>
      <c r="I156" s="96"/>
    </row>
    <row r="157" spans="1:10" x14ac:dyDescent="0.25">
      <c r="C157" s="92"/>
      <c r="D157" s="92"/>
      <c r="E157" s="96"/>
      <c r="F157" s="96"/>
      <c r="G157" s="96"/>
      <c r="H157" s="96"/>
      <c r="I157" s="96"/>
    </row>
    <row r="158" spans="1:10" x14ac:dyDescent="0.25">
      <c r="C158" s="92"/>
      <c r="D158" s="92"/>
      <c r="E158" s="96"/>
      <c r="F158" s="96"/>
      <c r="G158" s="96"/>
      <c r="H158" s="96"/>
      <c r="I158" s="96"/>
    </row>
    <row r="159" spans="1:10" ht="15.75" thickBot="1" x14ac:dyDescent="0.3">
      <c r="A159" s="99"/>
      <c r="B159" s="99"/>
      <c r="C159" s="92"/>
      <c r="D159" s="89"/>
      <c r="E159" s="91"/>
      <c r="F159" s="91"/>
      <c r="G159" s="91"/>
      <c r="H159" s="91"/>
      <c r="I159" s="91"/>
      <c r="J159" s="10"/>
    </row>
    <row r="160" spans="1:10" ht="15.75" thickTop="1" x14ac:dyDescent="0.25">
      <c r="C160" s="92"/>
      <c r="D160" s="92"/>
      <c r="E160" s="92"/>
      <c r="F160" s="92"/>
      <c r="G160" s="92"/>
      <c r="H160" s="92"/>
      <c r="I160" s="92"/>
    </row>
    <row r="161" spans="1:14" x14ac:dyDescent="0.25">
      <c r="C161" s="92"/>
      <c r="D161" s="92"/>
      <c r="E161" s="92"/>
      <c r="F161" s="92"/>
      <c r="G161" s="92"/>
      <c r="H161" s="92"/>
      <c r="I161" s="92"/>
    </row>
    <row r="162" spans="1:14" ht="15.75" x14ac:dyDescent="0.25">
      <c r="A162" s="5"/>
      <c r="B162" s="5"/>
      <c r="C162" s="19"/>
      <c r="D162" s="19"/>
      <c r="E162" s="93"/>
      <c r="F162" s="93"/>
      <c r="G162" s="93"/>
      <c r="H162" s="93"/>
      <c r="I162" s="93"/>
      <c r="J162" s="18"/>
      <c r="K162" s="18"/>
      <c r="L162" s="18"/>
      <c r="M162" s="18"/>
      <c r="N162" s="18"/>
    </row>
    <row r="163" spans="1:14" x14ac:dyDescent="0.25">
      <c r="C163" s="92"/>
      <c r="D163" s="92"/>
      <c r="E163" s="92"/>
      <c r="F163" s="92"/>
      <c r="G163" s="92"/>
      <c r="H163" s="92"/>
      <c r="I163" s="92"/>
    </row>
    <row r="164" spans="1:14" x14ac:dyDescent="0.25">
      <c r="C164" s="92"/>
      <c r="D164" s="92"/>
      <c r="E164" s="92"/>
      <c r="F164" s="92"/>
      <c r="G164" s="92"/>
      <c r="H164" s="92"/>
      <c r="I164" s="92"/>
    </row>
    <row r="165" spans="1:14" x14ac:dyDescent="0.25">
      <c r="C165" s="92"/>
      <c r="D165" s="92"/>
      <c r="E165" s="92"/>
      <c r="F165" s="92"/>
      <c r="G165" s="92"/>
      <c r="H165" s="92"/>
      <c r="I165" s="92"/>
    </row>
    <row r="166" spans="1:14" x14ac:dyDescent="0.25">
      <c r="C166" s="92"/>
      <c r="D166" s="92"/>
      <c r="E166" s="92"/>
      <c r="F166" s="92"/>
      <c r="G166" s="92"/>
      <c r="H166" s="92"/>
      <c r="I166" s="92"/>
    </row>
    <row r="167" spans="1:14" x14ac:dyDescent="0.25">
      <c r="C167" s="92"/>
      <c r="D167" s="92"/>
      <c r="E167" s="92"/>
      <c r="F167" s="92"/>
      <c r="G167" s="92"/>
      <c r="H167" s="92"/>
      <c r="I167" s="92"/>
    </row>
    <row r="168" spans="1:14" x14ac:dyDescent="0.25">
      <c r="C168" s="92"/>
      <c r="D168" s="92"/>
      <c r="E168" s="92"/>
      <c r="F168" s="92"/>
      <c r="G168" s="92"/>
      <c r="H168" s="92"/>
      <c r="I168" s="92"/>
    </row>
    <row r="169" spans="1:14" x14ac:dyDescent="0.25">
      <c r="C169" s="92"/>
      <c r="D169" s="92"/>
      <c r="E169" s="92"/>
      <c r="F169" s="92"/>
      <c r="G169" s="92"/>
      <c r="H169" s="92"/>
      <c r="I169" s="92"/>
    </row>
    <row r="170" spans="1:14" x14ac:dyDescent="0.25">
      <c r="C170" s="92"/>
      <c r="D170" s="92"/>
      <c r="E170" s="92"/>
      <c r="F170" s="92"/>
      <c r="G170" s="92"/>
      <c r="H170" s="92"/>
      <c r="I170" s="92"/>
    </row>
    <row r="171" spans="1:14" x14ac:dyDescent="0.25">
      <c r="C171" s="92"/>
      <c r="D171" s="92"/>
      <c r="E171" s="92"/>
      <c r="F171" s="92"/>
      <c r="G171" s="92"/>
      <c r="H171" s="92"/>
      <c r="I171" s="92"/>
    </row>
    <row r="172" spans="1:14" x14ac:dyDescent="0.25">
      <c r="C172" s="92"/>
      <c r="D172" s="92"/>
      <c r="E172" s="92"/>
      <c r="F172" s="92"/>
      <c r="G172" s="92"/>
      <c r="H172" s="92"/>
      <c r="I172" s="92"/>
    </row>
    <row r="173" spans="1:14" x14ac:dyDescent="0.25">
      <c r="C173" s="92"/>
      <c r="D173" s="92"/>
      <c r="E173" s="92"/>
      <c r="F173" s="92"/>
      <c r="G173" s="92"/>
      <c r="H173" s="92"/>
      <c r="I173" s="92"/>
    </row>
    <row r="174" spans="1:14" x14ac:dyDescent="0.25">
      <c r="C174" s="92"/>
      <c r="D174" s="92"/>
      <c r="E174" s="92"/>
      <c r="F174" s="92"/>
      <c r="G174" s="92"/>
      <c r="H174" s="92"/>
      <c r="I174" s="92"/>
    </row>
    <row r="175" spans="1:14" x14ac:dyDescent="0.25">
      <c r="C175" s="92"/>
      <c r="D175" s="92"/>
      <c r="E175" s="92"/>
      <c r="F175" s="92"/>
      <c r="G175" s="92"/>
      <c r="H175" s="92"/>
      <c r="I175" s="92"/>
    </row>
    <row r="176" spans="1:14" x14ac:dyDescent="0.25">
      <c r="C176" s="92"/>
      <c r="D176" s="92"/>
      <c r="E176" s="92"/>
      <c r="F176" s="92"/>
      <c r="G176" s="92"/>
      <c r="H176" s="92"/>
      <c r="I176" s="92"/>
    </row>
    <row r="177" spans="3:9" x14ac:dyDescent="0.25">
      <c r="C177" s="92"/>
      <c r="D177" s="92"/>
      <c r="E177" s="92"/>
      <c r="F177" s="92"/>
      <c r="G177" s="92"/>
      <c r="H177" s="92"/>
      <c r="I177" s="92"/>
    </row>
    <row r="178" spans="3:9" x14ac:dyDescent="0.25">
      <c r="C178" s="92"/>
      <c r="D178" s="92"/>
      <c r="E178" s="92"/>
      <c r="F178" s="92"/>
      <c r="G178" s="92"/>
      <c r="H178" s="92"/>
      <c r="I178" s="92"/>
    </row>
    <row r="179" spans="3:9" x14ac:dyDescent="0.25">
      <c r="C179" s="92"/>
      <c r="D179" s="92"/>
      <c r="E179" s="92"/>
      <c r="F179" s="92"/>
      <c r="G179" s="92"/>
      <c r="H179" s="92"/>
      <c r="I179" s="92"/>
    </row>
    <row r="180" spans="3:9" x14ac:dyDescent="0.25">
      <c r="C180" s="92"/>
      <c r="D180" s="92"/>
      <c r="E180" s="92"/>
      <c r="F180" s="92"/>
      <c r="G180" s="92"/>
      <c r="H180" s="92"/>
      <c r="I18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84"/>
  <sheetViews>
    <sheetView showGridLines="0" tabSelected="1" zoomScale="80" zoomScaleNormal="80" workbookViewId="0">
      <selection activeCell="U4" sqref="U4"/>
    </sheetView>
  </sheetViews>
  <sheetFormatPr defaultRowHeight="15" x14ac:dyDescent="0.25"/>
  <cols>
    <col min="1" max="3" width="1.28515625" style="12" customWidth="1"/>
    <col min="4" max="4" width="37.140625" style="12" bestFit="1" customWidth="1"/>
    <col min="5" max="5" width="16.85546875" style="12" bestFit="1" customWidth="1"/>
    <col min="6" max="6" width="9.28515625" style="12" customWidth="1"/>
    <col min="7" max="7" width="12.28515625" style="12" bestFit="1" customWidth="1"/>
    <col min="8" max="8" width="12.5703125" style="12" bestFit="1" customWidth="1"/>
    <col min="9" max="9" width="14" style="12" customWidth="1"/>
    <col min="10" max="10" width="15.28515625" style="12" customWidth="1"/>
    <col min="11" max="11" width="14" style="12" customWidth="1"/>
    <col min="12" max="12" width="19.28515625" style="12" bestFit="1" customWidth="1"/>
    <col min="13" max="13" width="3" style="12" customWidth="1"/>
    <col min="14" max="14" width="10.85546875" style="12" hidden="1" customWidth="1"/>
    <col min="15" max="15" width="9.140625" style="12" hidden="1" customWidth="1"/>
    <col min="16" max="16" width="13.7109375" style="12" bestFit="1" customWidth="1"/>
    <col min="17" max="17" width="12.5703125" style="12" customWidth="1"/>
    <col min="18" max="18" width="11.5703125" style="12" customWidth="1"/>
    <col min="19" max="19" width="1.7109375" style="12" customWidth="1"/>
    <col min="20" max="21" width="9.7109375" style="12" bestFit="1" customWidth="1"/>
    <col min="22" max="22" width="10.42578125" style="12" bestFit="1" customWidth="1"/>
    <col min="23" max="16384" width="9.140625" style="12"/>
  </cols>
  <sheetData>
    <row r="1" spans="1:22" customFormat="1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2" customFormat="1" ht="15.75" x14ac:dyDescent="0.25">
      <c r="A2" s="3" t="s">
        <v>291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2" ht="14.25" customHeight="1" x14ac:dyDescent="0.25">
      <c r="A3" s="80"/>
      <c r="B3" s="80"/>
      <c r="C3" s="80"/>
      <c r="D3" s="80"/>
      <c r="E3" s="80"/>
      <c r="F3" s="80"/>
      <c r="G3" s="80"/>
      <c r="H3" s="80"/>
      <c r="I3" s="80"/>
    </row>
    <row r="4" spans="1:22" s="76" customFormat="1" ht="15.75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22" x14ac:dyDescent="0.25">
      <c r="D5" s="118"/>
      <c r="E5" s="119"/>
      <c r="F5" s="118"/>
      <c r="G5" s="306" t="s">
        <v>269</v>
      </c>
      <c r="H5" s="306"/>
      <c r="I5" s="306"/>
      <c r="J5" s="306"/>
      <c r="K5" s="306"/>
      <c r="L5" s="306"/>
      <c r="M5" s="306"/>
      <c r="N5" s="306"/>
      <c r="O5" s="306"/>
      <c r="P5" s="307" t="s">
        <v>277</v>
      </c>
      <c r="Q5" s="307"/>
      <c r="R5" s="307"/>
      <c r="S5" s="24"/>
      <c r="T5" s="307" t="s">
        <v>278</v>
      </c>
      <c r="U5" s="307"/>
      <c r="V5" s="307"/>
    </row>
    <row r="6" spans="1:22" x14ac:dyDescent="0.25">
      <c r="D6" s="118"/>
      <c r="E6" s="119"/>
      <c r="F6" s="121"/>
      <c r="G6" s="124" t="s">
        <v>270</v>
      </c>
      <c r="H6" s="125" t="s">
        <v>271</v>
      </c>
      <c r="I6" s="126" t="s">
        <v>272</v>
      </c>
      <c r="J6" s="126" t="s">
        <v>189</v>
      </c>
      <c r="K6" s="126" t="s">
        <v>273</v>
      </c>
      <c r="L6" s="126" t="s">
        <v>274</v>
      </c>
      <c r="M6" s="24"/>
      <c r="N6" s="24"/>
      <c r="O6" s="24"/>
      <c r="P6" s="24" t="s">
        <v>144</v>
      </c>
      <c r="Q6" s="24" t="s">
        <v>163</v>
      </c>
      <c r="R6" s="24" t="s">
        <v>283</v>
      </c>
      <c r="S6" s="24"/>
      <c r="T6" s="24" t="s">
        <v>279</v>
      </c>
      <c r="U6" s="24" t="s">
        <v>280</v>
      </c>
      <c r="V6" s="24" t="s">
        <v>281</v>
      </c>
    </row>
    <row r="7" spans="1:22" x14ac:dyDescent="0.25">
      <c r="C7" s="92"/>
      <c r="D7" s="123" t="s">
        <v>268</v>
      </c>
      <c r="E7" s="152" t="s">
        <v>301</v>
      </c>
      <c r="F7" s="122"/>
      <c r="G7" s="127" t="s">
        <v>275</v>
      </c>
      <c r="H7" s="125" t="s">
        <v>276</v>
      </c>
      <c r="I7" s="126" t="s">
        <v>171</v>
      </c>
      <c r="J7" s="126" t="s">
        <v>171</v>
      </c>
      <c r="K7" s="126" t="s">
        <v>171</v>
      </c>
      <c r="L7" s="126" t="s">
        <v>171</v>
      </c>
      <c r="M7" s="24"/>
      <c r="N7" s="24"/>
      <c r="O7" s="24"/>
      <c r="P7" s="126" t="s">
        <v>171</v>
      </c>
      <c r="Q7" s="126" t="s">
        <v>171</v>
      </c>
      <c r="R7" s="126" t="s">
        <v>171</v>
      </c>
      <c r="S7" s="24"/>
      <c r="T7" s="24" t="s">
        <v>282</v>
      </c>
      <c r="U7" s="24" t="s">
        <v>282</v>
      </c>
      <c r="V7" s="24" t="s">
        <v>282</v>
      </c>
    </row>
    <row r="8" spans="1:22" ht="15.75" x14ac:dyDescent="0.25">
      <c r="C8" s="92"/>
      <c r="D8" s="158" t="str">
        <f>'Comps data'!A5</f>
        <v>Dr. Reddy's Laboratories Limited</v>
      </c>
      <c r="E8" s="159">
        <f>'Comps data'!B5</f>
        <v>500124</v>
      </c>
      <c r="F8" s="147"/>
      <c r="G8" s="157">
        <f>'Comps data'!C5</f>
        <v>1173.9749999999999</v>
      </c>
      <c r="H8" s="157">
        <f>'Comps data'!D5</f>
        <v>832.8</v>
      </c>
      <c r="I8" s="150">
        <f>G8*H8</f>
        <v>977686.37999999989</v>
      </c>
      <c r="J8" s="156">
        <f>'Comps data'!E5</f>
        <v>50973.567599999995</v>
      </c>
      <c r="K8" s="156">
        <f>'Comps data'!F5</f>
        <v>59790.760199999997</v>
      </c>
      <c r="L8" s="149">
        <f>I8+J8-K8</f>
        <v>968869.18739999982</v>
      </c>
      <c r="M8" s="146"/>
      <c r="N8" s="146"/>
      <c r="O8" s="146"/>
      <c r="P8" s="156">
        <f>'Comps data'!G5</f>
        <v>310624.39319999999</v>
      </c>
      <c r="Q8" s="156">
        <f>'Comps data'!H5</f>
        <v>53558.873999999996</v>
      </c>
      <c r="R8" s="156">
        <f>'Comps data'!I5</f>
        <v>85372.315799999997</v>
      </c>
      <c r="S8" s="146"/>
      <c r="T8" s="148">
        <f>L8/P8</f>
        <v>3.119102068639469</v>
      </c>
      <c r="U8" s="148">
        <f>L8/Q8</f>
        <v>18.089797545034273</v>
      </c>
      <c r="V8" s="148">
        <f>I8/R8</f>
        <v>11.452030682761448</v>
      </c>
    </row>
    <row r="9" spans="1:22" ht="15.75" x14ac:dyDescent="0.25">
      <c r="C9" s="92"/>
      <c r="D9" s="158" t="str">
        <f>'Comps data'!A6</f>
        <v>Lupin Limited</v>
      </c>
      <c r="E9" s="159">
        <f>'Comps data'!B6</f>
        <v>500257</v>
      </c>
      <c r="F9" s="147"/>
      <c r="G9" s="157">
        <f>'Comps data'!C6</f>
        <v>2019.2369999999999</v>
      </c>
      <c r="H9" s="157">
        <f>'Comps data'!D6</f>
        <v>455.9</v>
      </c>
      <c r="I9" s="150">
        <f t="shared" ref="I9:I16" si="0">G9*H9</f>
        <v>920570.14829999988</v>
      </c>
      <c r="J9" s="156">
        <f>'Comps data'!E6</f>
        <v>34350.081599999998</v>
      </c>
      <c r="K9" s="156">
        <f>'Comps data'!F6</f>
        <v>29059.082999999999</v>
      </c>
      <c r="L9" s="149">
        <f t="shared" ref="L9:L16" si="1">I9+J9-K9</f>
        <v>925861.14689999993</v>
      </c>
      <c r="M9" s="146"/>
      <c r="N9" s="146"/>
      <c r="O9" s="146"/>
      <c r="P9" s="156">
        <f>'Comps data'!G6</f>
        <v>218316.65999999997</v>
      </c>
      <c r="Q9" s="156">
        <f>'Comps data'!H6</f>
        <v>28622.7912</v>
      </c>
      <c r="R9" s="156">
        <f>'Comps data'!I6</f>
        <v>50788.292999999998</v>
      </c>
      <c r="S9" s="146"/>
      <c r="T9" s="148">
        <f t="shared" ref="T9:T16" si="2">L9/P9</f>
        <v>4.240909268674228</v>
      </c>
      <c r="U9" s="148">
        <f t="shared" ref="U9:U16" si="3">L9/Q9</f>
        <v>32.346990215964681</v>
      </c>
      <c r="V9" s="148">
        <f t="shared" ref="V9:V16" si="4">I9/R9</f>
        <v>18.125636715138267</v>
      </c>
    </row>
    <row r="10" spans="1:22" ht="15.75" x14ac:dyDescent="0.25">
      <c r="C10" s="92"/>
      <c r="D10" s="158" t="str">
        <f>'Comps data'!A7</f>
        <v>Zydus Lifesciences Limited</v>
      </c>
      <c r="E10" s="159" t="str">
        <f>'Comps data'!B7</f>
        <v>ZYDUSLIFE</v>
      </c>
      <c r="F10" s="147"/>
      <c r="G10" s="157">
        <f>'Comps data'!C7</f>
        <v>858.92280000000005</v>
      </c>
      <c r="H10" s="157">
        <f>'Comps data'!D7</f>
        <v>1007.4</v>
      </c>
      <c r="I10" s="150">
        <f t="shared" si="0"/>
        <v>865278.82871999999</v>
      </c>
      <c r="J10" s="156">
        <f>'Comps data'!E7</f>
        <v>1900.5588</v>
      </c>
      <c r="K10" s="156">
        <f>'Comps data'!F7</f>
        <v>24895.100399999996</v>
      </c>
      <c r="L10" s="149">
        <f t="shared" si="1"/>
        <v>842284.28711999999</v>
      </c>
      <c r="M10" s="146"/>
      <c r="N10" s="146"/>
      <c r="O10" s="146"/>
      <c r="P10" s="156">
        <f>'Comps data'!G7</f>
        <v>221274.22319999998</v>
      </c>
      <c r="Q10" s="156">
        <f>'Comps data'!H7</f>
        <v>45270.183599999997</v>
      </c>
      <c r="R10" s="156">
        <f>'Comps data'!I7</f>
        <v>62038.815599999994</v>
      </c>
      <c r="S10" s="146"/>
      <c r="T10" s="148">
        <f t="shared" si="2"/>
        <v>3.8065178805698325</v>
      </c>
      <c r="U10" s="148">
        <f t="shared" si="3"/>
        <v>18.605718381049378</v>
      </c>
      <c r="V10" s="148">
        <f t="shared" si="4"/>
        <v>13.947378271999121</v>
      </c>
    </row>
    <row r="11" spans="1:22" ht="15.75" x14ac:dyDescent="0.25">
      <c r="C11" s="92"/>
      <c r="D11" s="158" t="str">
        <f>'Comps data'!A8</f>
        <v>Aurobindo Pharma Limited</v>
      </c>
      <c r="E11" s="159" t="str">
        <f>'Comps data'!B8</f>
        <v>AUROPHARMA</v>
      </c>
      <c r="F11" s="147"/>
      <c r="G11" s="157">
        <f>'Comps data'!C8</f>
        <v>1218.3725999999999</v>
      </c>
      <c r="H11" s="157">
        <f>'Comps data'!D8</f>
        <v>583.70000000000005</v>
      </c>
      <c r="I11" s="150">
        <f t="shared" si="0"/>
        <v>711164.08661999996</v>
      </c>
      <c r="J11" s="156">
        <f>'Comps data'!E8</f>
        <v>84088.200599999996</v>
      </c>
      <c r="K11" s="156">
        <f>'Comps data'!F8</f>
        <v>68525.987999999998</v>
      </c>
      <c r="L11" s="149">
        <f t="shared" si="1"/>
        <v>726726.29921999993</v>
      </c>
      <c r="M11" s="146"/>
      <c r="N11" s="146"/>
      <c r="O11" s="146"/>
      <c r="P11" s="156">
        <f>'Comps data'!G8</f>
        <v>307190.40960000001</v>
      </c>
      <c r="Q11" s="156">
        <f>'Comps data'!H8</f>
        <v>34835.040000000001</v>
      </c>
      <c r="R11" s="156">
        <f>'Comps data'!I8</f>
        <v>65572.693799999994</v>
      </c>
      <c r="S11" s="146"/>
      <c r="T11" s="148">
        <f t="shared" si="2"/>
        <v>2.3657193600747095</v>
      </c>
      <c r="U11" s="148">
        <f t="shared" si="3"/>
        <v>20.861933823529409</v>
      </c>
      <c r="V11" s="148">
        <f t="shared" si="4"/>
        <v>10.845430398041692</v>
      </c>
    </row>
    <row r="12" spans="1:22" ht="15.75" x14ac:dyDescent="0.25">
      <c r="C12" s="92"/>
      <c r="D12" s="158" t="str">
        <f>'Comps data'!A9</f>
        <v>Abbott India Limited</v>
      </c>
      <c r="E12" s="159">
        <f>'Comps data'!B9</f>
        <v>500488</v>
      </c>
      <c r="F12" s="147"/>
      <c r="G12" s="157">
        <f>'Comps data'!C9</f>
        <v>29763.468000000001</v>
      </c>
      <c r="H12" s="157">
        <f>'Comps data'!D9</f>
        <v>21.2</v>
      </c>
      <c r="I12" s="150">
        <f t="shared" si="0"/>
        <v>630985.52159999998</v>
      </c>
      <c r="J12" s="156">
        <f>'Comps data'!E9</f>
        <v>603.63660000000004</v>
      </c>
      <c r="K12" s="156">
        <f>'Comps data'!F9</f>
        <v>11032.803599999999</v>
      </c>
      <c r="L12" s="149">
        <f t="shared" si="1"/>
        <v>620556.35459999996</v>
      </c>
      <c r="M12" s="146"/>
      <c r="N12" s="146"/>
      <c r="O12" s="146"/>
      <c r="P12" s="156">
        <f>'Comps data'!G9</f>
        <v>62295.809399999998</v>
      </c>
      <c r="Q12" s="156">
        <f>'Comps data'!H9</f>
        <v>13315.010999999999</v>
      </c>
      <c r="R12" s="156">
        <f>'Comps data'!I9</f>
        <v>15462.317999999999</v>
      </c>
      <c r="S12" s="146"/>
      <c r="T12" s="148">
        <f t="shared" si="2"/>
        <v>9.9614462124638514</v>
      </c>
      <c r="U12" s="148">
        <f t="shared" si="3"/>
        <v>46.605771080474511</v>
      </c>
      <c r="V12" s="148">
        <f t="shared" si="4"/>
        <v>40.807951408061847</v>
      </c>
    </row>
    <row r="13" spans="1:22" ht="15.75" x14ac:dyDescent="0.25">
      <c r="C13" s="92"/>
      <c r="D13" s="158" t="str">
        <f>'Comps data'!A10</f>
        <v>GlaxoSmithKline Pharmaceuticals Limited</v>
      </c>
      <c r="E13" s="159">
        <f>'Comps data'!B10</f>
        <v>500660</v>
      </c>
      <c r="F13" s="147"/>
      <c r="G13" s="157">
        <f>'Comps data'!C10</f>
        <v>2805.5867999999996</v>
      </c>
      <c r="H13" s="157">
        <f>'Comps data'!D10</f>
        <v>169.4</v>
      </c>
      <c r="I13" s="150">
        <f t="shared" si="0"/>
        <v>475266.40391999995</v>
      </c>
      <c r="J13" s="156">
        <f>'Comps data'!E10</f>
        <v>147.70739999999998</v>
      </c>
      <c r="K13" s="156">
        <f>'Comps data'!F10</f>
        <v>21062.392199999998</v>
      </c>
      <c r="L13" s="149">
        <f t="shared" si="1"/>
        <v>454351.71911999997</v>
      </c>
      <c r="M13" s="146"/>
      <c r="N13" s="146"/>
      <c r="O13" s="146"/>
      <c r="P13" s="156">
        <f>'Comps data'!G10</f>
        <v>36965.271000000001</v>
      </c>
      <c r="Q13" s="156">
        <f>'Comps data'!H10</f>
        <v>8573.005799999999</v>
      </c>
      <c r="R13" s="156">
        <f>'Comps data'!I10</f>
        <v>10716.043799999999</v>
      </c>
      <c r="S13" s="146"/>
      <c r="T13" s="148">
        <f t="shared" si="2"/>
        <v>12.291313084651806</v>
      </c>
      <c r="U13" s="148">
        <f t="shared" si="3"/>
        <v>52.997948411512802</v>
      </c>
      <c r="V13" s="148">
        <f t="shared" si="4"/>
        <v>44.350920245398768</v>
      </c>
    </row>
    <row r="14" spans="1:22" ht="15.75" x14ac:dyDescent="0.25">
      <c r="C14" s="92"/>
      <c r="D14" s="158" t="str">
        <f>'Comps data'!A11</f>
        <v>Ipca Laboratories Limited</v>
      </c>
      <c r="E14" s="159" t="str">
        <f>'Comps data'!B11</f>
        <v>IPCALAB</v>
      </c>
      <c r="F14" s="147"/>
      <c r="G14" s="157">
        <f>'Comps data'!C11</f>
        <v>1418.1617999999999</v>
      </c>
      <c r="H14" s="157">
        <f>'Comps data'!D11</f>
        <v>253.8</v>
      </c>
      <c r="I14" s="150">
        <f t="shared" si="0"/>
        <v>359929.46483999997</v>
      </c>
      <c r="J14" s="156">
        <f>'Comps data'!E11</f>
        <v>11995.89</v>
      </c>
      <c r="K14" s="156">
        <f>'Comps data'!F11</f>
        <v>9012.7127999999993</v>
      </c>
      <c r="L14" s="149">
        <f t="shared" si="1"/>
        <v>362912.64204000001</v>
      </c>
      <c r="M14" s="146"/>
      <c r="N14" s="146"/>
      <c r="O14" s="146"/>
      <c r="P14" s="156">
        <f>'Comps data'!G11</f>
        <v>87068.816399999996</v>
      </c>
      <c r="Q14" s="156">
        <f>'Comps data'!H11</f>
        <v>7278.6449999999995</v>
      </c>
      <c r="R14" s="156">
        <f>'Comps data'!I11</f>
        <v>15878.972399999999</v>
      </c>
      <c r="S14" s="146"/>
      <c r="T14" s="148">
        <f t="shared" si="2"/>
        <v>4.1681127301967091</v>
      </c>
      <c r="U14" s="148">
        <f t="shared" si="3"/>
        <v>49.859917888563054</v>
      </c>
      <c r="V14" s="148">
        <f t="shared" si="4"/>
        <v>22.667050220453813</v>
      </c>
    </row>
    <row r="15" spans="1:22" ht="15.75" x14ac:dyDescent="0.25">
      <c r="C15" s="92"/>
      <c r="D15" s="158" t="str">
        <f>'Comps data'!A12</f>
        <v>Laurus Labs Limited</v>
      </c>
      <c r="E15" s="159" t="str">
        <f>'Comps data'!B12</f>
        <v>LAURUSLABS</v>
      </c>
      <c r="F15" s="147"/>
      <c r="G15" s="157">
        <f>'Comps data'!C12</f>
        <v>625.83539999999994</v>
      </c>
      <c r="H15" s="157">
        <f>'Comps data'!D12</f>
        <v>538.79999999999995</v>
      </c>
      <c r="I15" s="150">
        <f t="shared" si="0"/>
        <v>337200.11351999996</v>
      </c>
      <c r="J15" s="156">
        <f>'Comps data'!E12</f>
        <v>27620.43</v>
      </c>
      <c r="K15" s="156">
        <f>'Comps data'!F12</f>
        <v>1441.2143999999998</v>
      </c>
      <c r="L15" s="149">
        <f t="shared" si="1"/>
        <v>363379.32911999995</v>
      </c>
      <c r="M15" s="146"/>
      <c r="N15" s="146"/>
      <c r="O15" s="146"/>
      <c r="P15" s="156">
        <f>'Comps data'!G12</f>
        <v>55505.538</v>
      </c>
      <c r="Q15" s="156">
        <f>'Comps data'!H12</f>
        <v>3580.8371999999995</v>
      </c>
      <c r="R15" s="156">
        <f>'Comps data'!I12</f>
        <v>10546.137599999998</v>
      </c>
      <c r="S15" s="146"/>
      <c r="T15" s="148">
        <f t="shared" si="2"/>
        <v>6.5467220427626511</v>
      </c>
      <c r="U15" s="148">
        <f t="shared" si="3"/>
        <v>101.47887458273725</v>
      </c>
      <c r="V15" s="148">
        <f t="shared" si="4"/>
        <v>31.973801813471503</v>
      </c>
    </row>
    <row r="16" spans="1:22" ht="15.75" x14ac:dyDescent="0.25">
      <c r="C16" s="92"/>
      <c r="D16" s="158" t="str">
        <f>'Comps data'!A13</f>
        <v>Ajanta Pharma Limited</v>
      </c>
      <c r="E16" s="159" t="str">
        <f>'Comps data'!B13</f>
        <v>AJANTPHARM</v>
      </c>
      <c r="F16" s="147"/>
      <c r="G16" s="157">
        <f>'Comps data'!C13</f>
        <v>2676.663</v>
      </c>
      <c r="H16" s="157">
        <f>'Comps data'!D13</f>
        <v>125.4</v>
      </c>
      <c r="I16" s="150">
        <f t="shared" si="0"/>
        <v>335653.54019999999</v>
      </c>
      <c r="J16" s="156">
        <f>'Comps data'!E13</f>
        <v>327.00540000000001</v>
      </c>
      <c r="K16" s="156">
        <f>'Comps data'!F13</f>
        <v>7403.2997999999989</v>
      </c>
      <c r="L16" s="149">
        <f t="shared" si="1"/>
        <v>328577.24580000003</v>
      </c>
      <c r="M16" s="146"/>
      <c r="N16" s="146"/>
      <c r="O16" s="146"/>
      <c r="P16" s="156">
        <f>'Comps data'!G13</f>
        <v>45218.955600000001</v>
      </c>
      <c r="Q16" s="156">
        <f>'Comps data'!H13</f>
        <v>8958.9233999999997</v>
      </c>
      <c r="R16" s="156">
        <f>'Comps data'!I13</f>
        <v>12425.3514</v>
      </c>
      <c r="S16" s="146"/>
      <c r="T16" s="148">
        <f t="shared" si="2"/>
        <v>7.2663607869793445</v>
      </c>
      <c r="U16" s="148">
        <f t="shared" si="3"/>
        <v>36.675974459163257</v>
      </c>
      <c r="V16" s="148">
        <f t="shared" si="4"/>
        <v>27.013605442176871</v>
      </c>
    </row>
    <row r="17" spans="1:22" ht="15.75" x14ac:dyDescent="0.25">
      <c r="C17" s="92"/>
      <c r="D17" s="146"/>
      <c r="E17" s="84"/>
      <c r="F17" s="84"/>
      <c r="G17" s="84"/>
      <c r="H17" s="84"/>
      <c r="I17" s="84"/>
    </row>
    <row r="18" spans="1:22" ht="15.75" x14ac:dyDescent="0.25">
      <c r="C18" s="92"/>
      <c r="D18" s="146"/>
      <c r="E18" s="84"/>
      <c r="F18" s="84"/>
      <c r="G18" s="84"/>
      <c r="H18" s="84"/>
      <c r="I18" s="84"/>
    </row>
    <row r="19" spans="1:22" ht="15.75" x14ac:dyDescent="0.25">
      <c r="C19" s="92"/>
      <c r="D19" s="146"/>
      <c r="E19" s="84"/>
      <c r="F19" s="84"/>
      <c r="G19" s="84"/>
      <c r="H19" s="84"/>
      <c r="I19" s="84"/>
    </row>
    <row r="20" spans="1:22" x14ac:dyDescent="0.25">
      <c r="C20" s="92"/>
      <c r="D20" s="127" t="s">
        <v>158</v>
      </c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37">
        <f>MAX(T8:T16)</f>
        <v>12.291313084651806</v>
      </c>
      <c r="U20" s="137">
        <f t="shared" ref="U20:V20" si="5">MAX(U8:U16)</f>
        <v>101.47887458273725</v>
      </c>
      <c r="V20" s="137">
        <f t="shared" si="5"/>
        <v>44.350920245398768</v>
      </c>
    </row>
    <row r="21" spans="1:22" x14ac:dyDescent="0.25">
      <c r="C21" s="92"/>
      <c r="D21" s="127" t="s">
        <v>450</v>
      </c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37">
        <f>QUARTILE(T8:T16,3)</f>
        <v>7.2663607869793445</v>
      </c>
      <c r="U21" s="137">
        <f t="shared" ref="U21:V21" si="6">QUARTILE(U8:U16,3)</f>
        <v>49.859917888563054</v>
      </c>
      <c r="V21" s="137">
        <f t="shared" si="6"/>
        <v>31.973801813471503</v>
      </c>
    </row>
    <row r="22" spans="1:22" x14ac:dyDescent="0.25">
      <c r="C22" s="92"/>
      <c r="D22" s="131" t="s">
        <v>284</v>
      </c>
      <c r="E22" s="132"/>
      <c r="F22" s="132"/>
      <c r="G22" s="132"/>
      <c r="H22" s="132"/>
      <c r="I22" s="132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98">
        <f>AVERAGE(T8:T16)</f>
        <v>5.9740226038902886</v>
      </c>
      <c r="U22" s="298">
        <f t="shared" ref="U22:V22" si="7">AVERAGE(U8:U16)</f>
        <v>41.946991820892066</v>
      </c>
      <c r="V22" s="298">
        <f t="shared" si="7"/>
        <v>24.575978355278149</v>
      </c>
    </row>
    <row r="23" spans="1:22" x14ac:dyDescent="0.25">
      <c r="C23" s="92"/>
      <c r="D23" s="131" t="s">
        <v>285</v>
      </c>
      <c r="E23" s="132"/>
      <c r="F23" s="132"/>
      <c r="G23" s="132"/>
      <c r="H23" s="132"/>
      <c r="I23" s="132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98">
        <f>MEDIAN(T8:T16)</f>
        <v>4.240909268674228</v>
      </c>
      <c r="U23" s="298">
        <f t="shared" ref="U23:V23" si="8">MEDIAN(U8:U16)</f>
        <v>36.675974459163257</v>
      </c>
      <c r="V23" s="298">
        <f t="shared" si="8"/>
        <v>22.667050220453813</v>
      </c>
    </row>
    <row r="24" spans="1:22" x14ac:dyDescent="0.25">
      <c r="C24" s="92"/>
      <c r="D24" s="123" t="s">
        <v>451</v>
      </c>
      <c r="E24" s="127"/>
      <c r="F24" s="127"/>
      <c r="G24" s="127"/>
      <c r="H24" s="127"/>
      <c r="I24" s="12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137">
        <f>QUARTILE(T8:T16,1)</f>
        <v>3.8065178805698325</v>
      </c>
      <c r="U24" s="137">
        <f t="shared" ref="U24:V24" si="9">QUARTILE(U8:U16,1)</f>
        <v>20.861933823529409</v>
      </c>
      <c r="V24" s="137">
        <f t="shared" si="9"/>
        <v>13.947378271999121</v>
      </c>
    </row>
    <row r="25" spans="1:22" x14ac:dyDescent="0.25">
      <c r="C25" s="92"/>
      <c r="D25" s="123" t="s">
        <v>415</v>
      </c>
      <c r="E25" s="127"/>
      <c r="F25" s="127"/>
      <c r="G25" s="127"/>
      <c r="H25" s="127"/>
      <c r="I25" s="127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137">
        <f>MIN(T8:T16)</f>
        <v>2.3657193600747095</v>
      </c>
      <c r="U25" s="137">
        <f t="shared" ref="U25:V25" si="10">MIN(U8:U16)</f>
        <v>18.089797545034273</v>
      </c>
      <c r="V25" s="137">
        <f t="shared" si="10"/>
        <v>10.845430398041692</v>
      </c>
    </row>
    <row r="26" spans="1:22" s="76" customFormat="1" x14ac:dyDescent="0.25">
      <c r="A26" s="12"/>
      <c r="B26" s="12"/>
      <c r="C26" s="92"/>
      <c r="D26" s="294"/>
      <c r="E26" s="295"/>
      <c r="F26" s="295"/>
      <c r="G26" s="295"/>
      <c r="H26" s="295"/>
      <c r="I26" s="295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7"/>
      <c r="U26" s="297"/>
      <c r="V26" s="297"/>
    </row>
    <row r="27" spans="1:22" x14ac:dyDescent="0.25">
      <c r="C27" s="92"/>
      <c r="D27" s="83"/>
      <c r="E27" s="84"/>
      <c r="F27" s="84"/>
      <c r="G27" s="84"/>
      <c r="H27" s="84"/>
      <c r="I27" s="84"/>
    </row>
    <row r="28" spans="1:22" x14ac:dyDescent="0.25">
      <c r="C28" s="92"/>
      <c r="D28" s="128" t="str">
        <f>'Comps data'!A4</f>
        <v>Alkem Laboratories Limited</v>
      </c>
      <c r="E28" s="127" t="str">
        <f>'Comps data'!B4</f>
        <v>ALKEM</v>
      </c>
      <c r="F28" s="127"/>
      <c r="G28" s="154">
        <f>'Comps data'!C4</f>
        <v>5037.42</v>
      </c>
      <c r="H28" s="155">
        <f>'Comps data'!D4</f>
        <v>119.6</v>
      </c>
      <c r="I28" s="129">
        <f>G28*H28</f>
        <v>602475.43200000003</v>
      </c>
      <c r="J28" s="154">
        <f>'Comps data'!E4</f>
        <v>14746.8336</v>
      </c>
      <c r="K28" s="154">
        <f>'Comps data'!F4</f>
        <v>22839.149999999998</v>
      </c>
      <c r="L28" s="129">
        <f>I28+J28-K28</f>
        <v>594383.11560000002</v>
      </c>
      <c r="M28" s="123"/>
      <c r="N28" s="123"/>
      <c r="O28" s="123"/>
      <c r="P28" s="154">
        <f>'Comps data'!G4</f>
        <v>127287.06539999999</v>
      </c>
      <c r="Q28" s="154">
        <f>'Comps data'!H4</f>
        <v>21485.023199999996</v>
      </c>
      <c r="R28" s="154">
        <f>'Comps data'!I4</f>
        <v>24621.030599999998</v>
      </c>
      <c r="S28" s="24"/>
      <c r="T28" s="137">
        <f>L28/P28</f>
        <v>4.6696269863096402</v>
      </c>
      <c r="U28" s="137">
        <f>L28/Q28</f>
        <v>27.664997615641397</v>
      </c>
      <c r="V28" s="137">
        <f>I28/R28</f>
        <v>24.469951798037247</v>
      </c>
    </row>
    <row r="29" spans="1:22" x14ac:dyDescent="0.25">
      <c r="C29" s="92"/>
      <c r="D29" s="83"/>
      <c r="E29" s="84"/>
      <c r="F29" s="153"/>
      <c r="G29" s="84"/>
      <c r="H29" s="84"/>
      <c r="I29" s="84"/>
    </row>
    <row r="30" spans="1:22" x14ac:dyDescent="0.25">
      <c r="C30" s="92"/>
      <c r="D30" s="131" t="s">
        <v>286</v>
      </c>
      <c r="E30" s="132"/>
      <c r="F30" s="132"/>
      <c r="G30" s="132" t="s">
        <v>288</v>
      </c>
      <c r="H30" s="132" t="s">
        <v>274</v>
      </c>
      <c r="I30" s="132" t="s">
        <v>289</v>
      </c>
      <c r="J30" s="24" t="s">
        <v>290</v>
      </c>
      <c r="K30" s="24" t="s">
        <v>271</v>
      </c>
      <c r="L30" s="24" t="s">
        <v>312</v>
      </c>
      <c r="M30" s="120"/>
    </row>
    <row r="31" spans="1:22" x14ac:dyDescent="0.25">
      <c r="C31" s="92"/>
      <c r="D31" s="83" t="s">
        <v>287</v>
      </c>
      <c r="E31" s="84"/>
      <c r="F31" s="84"/>
      <c r="G31" s="135">
        <f>T23</f>
        <v>4.240909268674228</v>
      </c>
      <c r="H31" s="160">
        <f>G31*P28</f>
        <v>539812.89543720265</v>
      </c>
      <c r="I31" s="84">
        <f>$J$28-$K$28</f>
        <v>-8092.3163999999979</v>
      </c>
      <c r="J31" s="82">
        <f>H31-I31</f>
        <v>547905.21183720266</v>
      </c>
      <c r="K31" s="12">
        <f>$H$28</f>
        <v>119.6</v>
      </c>
      <c r="L31" s="134">
        <f>J31/K31</f>
        <v>4581.1472561639021</v>
      </c>
    </row>
    <row r="32" spans="1:22" x14ac:dyDescent="0.25">
      <c r="C32" s="92"/>
      <c r="D32" s="83" t="s">
        <v>280</v>
      </c>
      <c r="E32" s="84"/>
      <c r="F32" s="84"/>
      <c r="G32" s="135">
        <f>U23</f>
        <v>36.675974459163257</v>
      </c>
      <c r="H32" s="160">
        <f>G32*Q28</f>
        <v>787984.16213772993</v>
      </c>
      <c r="I32" s="84">
        <f>$J$28-$K$28</f>
        <v>-8092.3163999999979</v>
      </c>
      <c r="J32" s="82">
        <f>H32-I32</f>
        <v>796076.47853772994</v>
      </c>
      <c r="K32" s="12">
        <f>$H$28</f>
        <v>119.6</v>
      </c>
      <c r="L32" s="134">
        <f>J32/K32</f>
        <v>6656.1578473054342</v>
      </c>
      <c r="Q32" s="133"/>
    </row>
    <row r="33" spans="1:12" x14ac:dyDescent="0.25">
      <c r="C33" s="92"/>
      <c r="D33" s="92" t="s">
        <v>281</v>
      </c>
      <c r="E33" s="92"/>
      <c r="F33" s="92"/>
      <c r="G33" s="136">
        <f>V23</f>
        <v>22.667050220453813</v>
      </c>
      <c r="H33" s="161">
        <f>J33+I33</f>
        <v>549993.82068953</v>
      </c>
      <c r="I33" s="84">
        <f>$J$28-$K$28</f>
        <v>-8092.3163999999979</v>
      </c>
      <c r="J33" s="82">
        <f>G33*R28</f>
        <v>558086.13708953001</v>
      </c>
      <c r="K33" s="12">
        <f>$H$28</f>
        <v>119.6</v>
      </c>
      <c r="L33" s="134">
        <f>J33/K33</f>
        <v>4666.2720492435619</v>
      </c>
    </row>
    <row r="34" spans="1:12" x14ac:dyDescent="0.25">
      <c r="C34" s="92"/>
      <c r="D34" s="92"/>
      <c r="E34" s="92"/>
      <c r="F34" s="92"/>
      <c r="G34" s="130"/>
      <c r="H34" s="92"/>
      <c r="I34" s="92"/>
    </row>
    <row r="35" spans="1:12" s="76" customFormat="1" ht="15.75" x14ac:dyDescent="0.25">
      <c r="A35" s="94"/>
      <c r="B35" s="94"/>
      <c r="C35" s="117"/>
      <c r="D35" s="117"/>
      <c r="E35" s="117"/>
      <c r="F35" s="117"/>
      <c r="G35" s="117"/>
      <c r="H35" s="117"/>
      <c r="I35" s="117"/>
    </row>
    <row r="36" spans="1:12" x14ac:dyDescent="0.25">
      <c r="C36" s="92"/>
      <c r="D36" s="92"/>
      <c r="E36" s="92"/>
      <c r="F36" s="92"/>
      <c r="G36" s="92"/>
      <c r="H36" s="92"/>
      <c r="I36" s="96"/>
    </row>
    <row r="37" spans="1:12" x14ac:dyDescent="0.25">
      <c r="C37" s="92"/>
      <c r="D37" s="87"/>
      <c r="E37" s="88"/>
      <c r="F37" s="88"/>
      <c r="G37" s="88"/>
      <c r="H37" s="88"/>
      <c r="I37" s="88"/>
    </row>
    <row r="38" spans="1:12" x14ac:dyDescent="0.25">
      <c r="C38" s="92"/>
      <c r="D38" s="89"/>
      <c r="E38" s="92"/>
      <c r="F38" s="92"/>
      <c r="G38" s="92"/>
      <c r="H38" s="92"/>
      <c r="I38" s="96"/>
    </row>
    <row r="39" spans="1:12" x14ac:dyDescent="0.25">
      <c r="C39" s="92"/>
      <c r="D39" s="92"/>
      <c r="E39" s="97"/>
      <c r="F39" s="97"/>
      <c r="G39" s="97"/>
      <c r="H39" s="97"/>
      <c r="I39" s="96"/>
    </row>
    <row r="40" spans="1:12" x14ac:dyDescent="0.25">
      <c r="C40" s="92"/>
      <c r="D40" s="92"/>
      <c r="E40" s="97"/>
      <c r="F40" s="97"/>
      <c r="G40" s="97"/>
      <c r="H40" s="97"/>
      <c r="I40" s="96"/>
    </row>
    <row r="41" spans="1:12" x14ac:dyDescent="0.25">
      <c r="C41" s="92"/>
      <c r="D41" s="92"/>
      <c r="E41" s="97"/>
      <c r="F41" s="97"/>
      <c r="G41" s="97"/>
      <c r="H41" s="97"/>
      <c r="I41" s="96"/>
    </row>
    <row r="42" spans="1:12" x14ac:dyDescent="0.25">
      <c r="C42" s="92"/>
      <c r="D42" s="92"/>
      <c r="E42" s="97"/>
      <c r="F42" s="97"/>
      <c r="G42" s="97"/>
      <c r="H42" s="97"/>
      <c r="I42" s="96"/>
    </row>
    <row r="43" spans="1:12" x14ac:dyDescent="0.25">
      <c r="C43" s="92"/>
      <c r="D43" s="92"/>
      <c r="E43" s="97"/>
      <c r="F43" s="97"/>
      <c r="G43" s="97"/>
      <c r="H43" s="97"/>
      <c r="I43" s="96"/>
    </row>
    <row r="44" spans="1:12" x14ac:dyDescent="0.25">
      <c r="C44" s="92"/>
      <c r="D44" s="92"/>
      <c r="E44" s="97"/>
      <c r="F44" s="97"/>
      <c r="G44" s="97"/>
      <c r="H44" s="97"/>
      <c r="I44" s="96"/>
    </row>
    <row r="45" spans="1:12" x14ac:dyDescent="0.25">
      <c r="C45" s="92"/>
      <c r="D45" s="92"/>
      <c r="E45" s="97"/>
      <c r="F45" s="97"/>
      <c r="G45" s="97"/>
      <c r="H45" s="97"/>
      <c r="I45" s="96"/>
    </row>
    <row r="46" spans="1:12" x14ac:dyDescent="0.25">
      <c r="C46" s="92"/>
      <c r="D46" s="89"/>
      <c r="E46" s="97"/>
      <c r="F46" s="97"/>
      <c r="G46" s="97"/>
      <c r="H46" s="97"/>
      <c r="I46" s="96"/>
    </row>
    <row r="47" spans="1:12" x14ac:dyDescent="0.25">
      <c r="C47" s="92"/>
      <c r="D47" s="92"/>
      <c r="E47" s="97"/>
      <c r="F47" s="97"/>
      <c r="G47" s="97"/>
      <c r="H47" s="97"/>
      <c r="I47" s="96"/>
    </row>
    <row r="48" spans="1:12" x14ac:dyDescent="0.25">
      <c r="C48" s="92"/>
      <c r="D48" s="92"/>
      <c r="E48" s="97"/>
      <c r="F48" s="97"/>
      <c r="G48" s="97"/>
      <c r="H48" s="97"/>
      <c r="I48" s="96"/>
    </row>
    <row r="49" spans="3:9" x14ac:dyDescent="0.25">
      <c r="C49" s="92"/>
      <c r="D49" s="92"/>
      <c r="E49" s="97"/>
      <c r="F49" s="97"/>
      <c r="G49" s="97"/>
      <c r="H49" s="97"/>
      <c r="I49" s="96"/>
    </row>
    <row r="50" spans="3:9" x14ac:dyDescent="0.25">
      <c r="C50" s="92"/>
      <c r="D50" s="92"/>
      <c r="E50" s="97"/>
      <c r="F50" s="97"/>
      <c r="G50" s="97"/>
      <c r="H50" s="97"/>
      <c r="I50" s="96"/>
    </row>
    <row r="51" spans="3:9" x14ac:dyDescent="0.25">
      <c r="C51" s="92"/>
      <c r="D51" s="92"/>
      <c r="E51" s="97"/>
      <c r="F51" s="97"/>
      <c r="G51" s="97"/>
      <c r="H51" s="97"/>
      <c r="I51" s="96"/>
    </row>
    <row r="52" spans="3:9" x14ac:dyDescent="0.25">
      <c r="C52" s="92"/>
      <c r="D52" s="92"/>
      <c r="E52" s="97"/>
      <c r="F52" s="97"/>
      <c r="G52" s="97"/>
      <c r="H52" s="97"/>
      <c r="I52" s="96"/>
    </row>
    <row r="53" spans="3:9" x14ac:dyDescent="0.25">
      <c r="C53" s="92"/>
      <c r="D53" s="89"/>
      <c r="E53" s="90"/>
      <c r="F53" s="90"/>
      <c r="G53" s="90"/>
      <c r="H53" s="90"/>
      <c r="I53" s="91"/>
    </row>
    <row r="54" spans="3:9" x14ac:dyDescent="0.25">
      <c r="C54" s="92"/>
      <c r="D54" s="89"/>
      <c r="E54" s="97"/>
      <c r="F54" s="97"/>
      <c r="G54" s="97"/>
      <c r="H54" s="97"/>
      <c r="I54" s="96"/>
    </row>
    <row r="55" spans="3:9" x14ac:dyDescent="0.25">
      <c r="C55" s="92"/>
      <c r="D55" s="92"/>
      <c r="E55" s="97"/>
      <c r="F55" s="97"/>
      <c r="G55" s="97"/>
      <c r="H55" s="97"/>
      <c r="I55" s="96"/>
    </row>
    <row r="56" spans="3:9" x14ac:dyDescent="0.25">
      <c r="C56" s="92"/>
      <c r="D56" s="89"/>
      <c r="E56" s="97"/>
      <c r="F56" s="97"/>
      <c r="G56" s="97"/>
      <c r="H56" s="97"/>
      <c r="I56" s="96"/>
    </row>
    <row r="57" spans="3:9" x14ac:dyDescent="0.25">
      <c r="C57" s="92"/>
      <c r="D57" s="88"/>
      <c r="E57" s="97"/>
      <c r="F57" s="97"/>
      <c r="G57" s="97"/>
      <c r="H57" s="97"/>
      <c r="I57" s="96"/>
    </row>
    <row r="58" spans="3:9" x14ac:dyDescent="0.25">
      <c r="C58" s="92"/>
      <c r="D58" s="92"/>
      <c r="E58" s="97"/>
      <c r="F58" s="97"/>
      <c r="G58" s="97"/>
      <c r="H58" s="97"/>
      <c r="I58" s="96"/>
    </row>
    <row r="59" spans="3:9" x14ac:dyDescent="0.25">
      <c r="C59" s="92"/>
      <c r="D59" s="92"/>
      <c r="E59" s="97"/>
      <c r="F59" s="97"/>
      <c r="G59" s="97"/>
      <c r="H59" s="97"/>
      <c r="I59" s="96"/>
    </row>
    <row r="60" spans="3:9" x14ac:dyDescent="0.25">
      <c r="C60" s="92"/>
      <c r="D60" s="92"/>
      <c r="E60" s="97"/>
      <c r="F60" s="97"/>
      <c r="G60" s="97"/>
      <c r="H60" s="97"/>
      <c r="I60" s="96"/>
    </row>
    <row r="61" spans="3:9" x14ac:dyDescent="0.25">
      <c r="C61" s="92"/>
      <c r="D61" s="88"/>
      <c r="E61" s="97"/>
      <c r="F61" s="97"/>
      <c r="G61" s="97"/>
      <c r="H61" s="97"/>
      <c r="I61" s="96"/>
    </row>
    <row r="62" spans="3:9" x14ac:dyDescent="0.25">
      <c r="C62" s="92"/>
      <c r="D62" s="88"/>
      <c r="E62" s="97"/>
      <c r="F62" s="97"/>
      <c r="G62" s="97"/>
      <c r="H62" s="97"/>
      <c r="I62" s="96"/>
    </row>
    <row r="63" spans="3:9" x14ac:dyDescent="0.25">
      <c r="C63" s="92"/>
      <c r="D63" s="92"/>
      <c r="E63" s="97"/>
      <c r="F63" s="97"/>
      <c r="G63" s="97"/>
      <c r="H63" s="97"/>
      <c r="I63" s="96"/>
    </row>
    <row r="64" spans="3:9" x14ac:dyDescent="0.25">
      <c r="C64" s="92"/>
      <c r="D64" s="92"/>
      <c r="E64" s="90"/>
      <c r="F64" s="90"/>
      <c r="G64" s="90"/>
      <c r="H64" s="90"/>
      <c r="I64" s="91"/>
    </row>
    <row r="65" spans="3:9" x14ac:dyDescent="0.25">
      <c r="C65" s="92"/>
      <c r="D65" s="88"/>
      <c r="E65" s="97"/>
      <c r="F65" s="97"/>
      <c r="G65" s="97"/>
      <c r="H65" s="97"/>
      <c r="I65" s="96"/>
    </row>
    <row r="66" spans="3:9" x14ac:dyDescent="0.25">
      <c r="C66" s="92"/>
      <c r="D66" s="89"/>
      <c r="E66" s="90"/>
      <c r="F66" s="90"/>
      <c r="G66" s="90"/>
      <c r="H66" s="90"/>
      <c r="I66" s="91"/>
    </row>
    <row r="67" spans="3:9" x14ac:dyDescent="0.25">
      <c r="C67" s="92"/>
      <c r="D67" s="89"/>
      <c r="E67" s="90"/>
      <c r="F67" s="90"/>
      <c r="G67" s="90"/>
      <c r="H67" s="90"/>
      <c r="I67" s="91"/>
    </row>
    <row r="68" spans="3:9" x14ac:dyDescent="0.25">
      <c r="C68" s="92"/>
      <c r="D68" s="89"/>
      <c r="E68" s="97"/>
      <c r="F68" s="97"/>
      <c r="G68" s="97"/>
      <c r="H68" s="97"/>
      <c r="I68" s="96"/>
    </row>
    <row r="69" spans="3:9" x14ac:dyDescent="0.25">
      <c r="C69" s="92"/>
      <c r="D69" s="89"/>
      <c r="E69" s="97"/>
      <c r="F69" s="97"/>
      <c r="G69" s="97"/>
      <c r="H69" s="97"/>
      <c r="I69" s="96"/>
    </row>
    <row r="70" spans="3:9" x14ac:dyDescent="0.25">
      <c r="C70" s="92"/>
      <c r="D70" s="92"/>
      <c r="E70" s="97"/>
      <c r="F70" s="97"/>
      <c r="G70" s="97"/>
      <c r="H70" s="97"/>
      <c r="I70" s="96"/>
    </row>
    <row r="71" spans="3:9" x14ac:dyDescent="0.25">
      <c r="C71" s="92"/>
      <c r="D71" s="92"/>
      <c r="E71" s="97"/>
      <c r="F71" s="97"/>
      <c r="G71" s="97"/>
      <c r="H71" s="97"/>
      <c r="I71" s="96"/>
    </row>
    <row r="72" spans="3:9" x14ac:dyDescent="0.25">
      <c r="C72" s="92"/>
      <c r="D72" s="92"/>
      <c r="E72" s="97"/>
      <c r="F72" s="97"/>
      <c r="G72" s="97"/>
      <c r="H72" s="97"/>
      <c r="I72" s="96"/>
    </row>
    <row r="73" spans="3:9" x14ac:dyDescent="0.25">
      <c r="C73" s="92"/>
      <c r="D73" s="92"/>
      <c r="E73" s="97"/>
      <c r="F73" s="97"/>
      <c r="G73" s="97"/>
      <c r="H73" s="97"/>
      <c r="I73" s="96"/>
    </row>
    <row r="74" spans="3:9" x14ac:dyDescent="0.25">
      <c r="C74" s="92"/>
      <c r="D74" s="89"/>
      <c r="E74" s="90"/>
      <c r="F74" s="90"/>
      <c r="G74" s="90"/>
      <c r="H74" s="90"/>
      <c r="I74" s="91"/>
    </row>
    <row r="75" spans="3:9" x14ac:dyDescent="0.25">
      <c r="C75" s="92"/>
      <c r="D75" s="89"/>
      <c r="E75" s="97"/>
      <c r="F75" s="97"/>
      <c r="G75" s="97"/>
      <c r="H75" s="97"/>
      <c r="I75" s="96"/>
    </row>
    <row r="76" spans="3:9" x14ac:dyDescent="0.25">
      <c r="C76" s="92"/>
      <c r="D76" s="89"/>
      <c r="E76" s="97"/>
      <c r="F76" s="97"/>
      <c r="G76" s="97"/>
      <c r="H76" s="97"/>
      <c r="I76" s="96"/>
    </row>
    <row r="77" spans="3:9" x14ac:dyDescent="0.25">
      <c r="C77" s="92"/>
      <c r="D77" s="89"/>
      <c r="E77" s="97"/>
      <c r="F77" s="97"/>
      <c r="G77" s="97"/>
      <c r="H77" s="97"/>
      <c r="I77" s="96"/>
    </row>
    <row r="78" spans="3:9" x14ac:dyDescent="0.25">
      <c r="C78" s="92"/>
      <c r="D78" s="92"/>
      <c r="E78" s="97"/>
      <c r="F78" s="97"/>
      <c r="G78" s="97"/>
      <c r="H78" s="97"/>
      <c r="I78" s="96"/>
    </row>
    <row r="79" spans="3:9" x14ac:dyDescent="0.25">
      <c r="C79" s="92"/>
      <c r="D79" s="92"/>
      <c r="E79" s="97"/>
      <c r="F79" s="97"/>
      <c r="G79" s="97"/>
      <c r="H79" s="97"/>
      <c r="I79" s="96"/>
    </row>
    <row r="80" spans="3:9" x14ac:dyDescent="0.25">
      <c r="C80" s="92"/>
      <c r="D80" s="92"/>
      <c r="E80" s="97"/>
      <c r="F80" s="97"/>
      <c r="G80" s="97"/>
      <c r="H80" s="97"/>
      <c r="I80" s="96"/>
    </row>
    <row r="81" spans="3:9" x14ac:dyDescent="0.25">
      <c r="C81" s="92"/>
      <c r="D81" s="92"/>
      <c r="E81" s="97"/>
      <c r="F81" s="97"/>
      <c r="G81" s="97"/>
      <c r="H81" s="97"/>
      <c r="I81" s="96"/>
    </row>
    <row r="82" spans="3:9" x14ac:dyDescent="0.25">
      <c r="C82" s="92"/>
      <c r="D82" s="92"/>
      <c r="E82" s="97"/>
      <c r="F82" s="97"/>
      <c r="G82" s="97"/>
      <c r="H82" s="97"/>
      <c r="I82" s="96"/>
    </row>
    <row r="83" spans="3:9" x14ac:dyDescent="0.25">
      <c r="C83" s="92"/>
      <c r="D83" s="92"/>
      <c r="E83" s="97"/>
      <c r="F83" s="97"/>
      <c r="G83" s="97"/>
      <c r="H83" s="97"/>
      <c r="I83" s="96"/>
    </row>
    <row r="84" spans="3:9" x14ac:dyDescent="0.25">
      <c r="C84" s="92"/>
      <c r="D84" s="89"/>
      <c r="E84" s="90"/>
      <c r="F84" s="90"/>
      <c r="G84" s="90"/>
      <c r="H84" s="90"/>
      <c r="I84" s="91"/>
    </row>
    <row r="85" spans="3:9" x14ac:dyDescent="0.25">
      <c r="C85" s="92"/>
      <c r="D85" s="92"/>
      <c r="E85" s="97"/>
      <c r="F85" s="97"/>
      <c r="G85" s="97"/>
      <c r="H85" s="97"/>
      <c r="I85" s="96"/>
    </row>
    <row r="86" spans="3:9" x14ac:dyDescent="0.25">
      <c r="C86" s="92"/>
      <c r="D86" s="92"/>
      <c r="E86" s="97"/>
      <c r="F86" s="97"/>
      <c r="G86" s="97"/>
      <c r="H86" s="97"/>
      <c r="I86" s="96"/>
    </row>
    <row r="87" spans="3:9" x14ac:dyDescent="0.25">
      <c r="C87" s="92"/>
      <c r="D87" s="92"/>
      <c r="E87" s="97"/>
      <c r="F87" s="97"/>
      <c r="G87" s="97"/>
      <c r="H87" s="97"/>
      <c r="I87" s="96"/>
    </row>
    <row r="88" spans="3:9" x14ac:dyDescent="0.25">
      <c r="C88" s="92"/>
      <c r="D88" s="92"/>
      <c r="E88" s="97"/>
      <c r="F88" s="97"/>
      <c r="G88" s="97"/>
      <c r="H88" s="97"/>
      <c r="I88" s="96"/>
    </row>
    <row r="89" spans="3:9" x14ac:dyDescent="0.25">
      <c r="C89" s="92"/>
      <c r="D89" s="92"/>
      <c r="E89" s="97"/>
      <c r="F89" s="97"/>
      <c r="G89" s="97"/>
      <c r="H89" s="97"/>
      <c r="I89" s="96"/>
    </row>
    <row r="90" spans="3:9" x14ac:dyDescent="0.25">
      <c r="C90" s="92"/>
      <c r="D90" s="92"/>
      <c r="E90" s="97"/>
      <c r="F90" s="97"/>
      <c r="G90" s="97"/>
      <c r="H90" s="97"/>
      <c r="I90" s="96"/>
    </row>
    <row r="91" spans="3:9" x14ac:dyDescent="0.25">
      <c r="C91" s="92"/>
      <c r="D91" s="92"/>
      <c r="E91" s="97"/>
      <c r="F91" s="97"/>
      <c r="G91" s="97"/>
      <c r="H91" s="97"/>
      <c r="I91" s="96"/>
    </row>
    <row r="92" spans="3:9" x14ac:dyDescent="0.25">
      <c r="C92" s="92"/>
      <c r="D92" s="92"/>
      <c r="E92" s="97"/>
      <c r="F92" s="97"/>
      <c r="G92" s="97"/>
      <c r="H92" s="97"/>
      <c r="I92" s="96"/>
    </row>
    <row r="93" spans="3:9" x14ac:dyDescent="0.25">
      <c r="C93" s="92"/>
      <c r="D93" s="92"/>
      <c r="E93" s="97"/>
      <c r="F93" s="97"/>
      <c r="G93" s="97"/>
      <c r="H93" s="97"/>
      <c r="I93" s="96"/>
    </row>
    <row r="94" spans="3:9" x14ac:dyDescent="0.25">
      <c r="C94" s="92"/>
      <c r="D94" s="92"/>
      <c r="E94" s="97"/>
      <c r="F94" s="97"/>
      <c r="G94" s="97"/>
      <c r="H94" s="97"/>
      <c r="I94" s="96"/>
    </row>
    <row r="95" spans="3:9" x14ac:dyDescent="0.25">
      <c r="C95" s="92"/>
      <c r="D95" s="92"/>
      <c r="E95" s="97"/>
      <c r="F95" s="97"/>
      <c r="G95" s="97"/>
      <c r="H95" s="97"/>
      <c r="I95" s="96"/>
    </row>
    <row r="96" spans="3:9" x14ac:dyDescent="0.25">
      <c r="C96" s="92"/>
      <c r="D96" s="92"/>
      <c r="E96" s="97"/>
      <c r="F96" s="97"/>
      <c r="G96" s="97"/>
      <c r="H96" s="97"/>
      <c r="I96" s="96"/>
    </row>
    <row r="97" spans="1:10" x14ac:dyDescent="0.25">
      <c r="C97" s="92"/>
      <c r="D97" s="89"/>
      <c r="E97" s="90"/>
      <c r="F97" s="90"/>
      <c r="G97" s="90"/>
      <c r="H97" s="90"/>
      <c r="I97" s="91"/>
    </row>
    <row r="98" spans="1:10" x14ac:dyDescent="0.25">
      <c r="C98" s="92"/>
      <c r="D98" s="89"/>
      <c r="E98" s="90"/>
      <c r="F98" s="90"/>
      <c r="G98" s="90"/>
      <c r="H98" s="90"/>
      <c r="I98" s="91"/>
    </row>
    <row r="99" spans="1:10" x14ac:dyDescent="0.25">
      <c r="C99" s="92"/>
      <c r="D99" s="92"/>
      <c r="E99" s="97"/>
      <c r="F99" s="97"/>
      <c r="G99" s="97"/>
      <c r="H99" s="97"/>
      <c r="I99" s="96"/>
      <c r="J99" s="59"/>
    </row>
    <row r="100" spans="1:10" x14ac:dyDescent="0.25">
      <c r="C100" s="92"/>
      <c r="D100" s="92"/>
      <c r="E100" s="92"/>
      <c r="F100" s="92"/>
      <c r="G100" s="92"/>
      <c r="H100" s="92"/>
      <c r="I100" s="92"/>
    </row>
    <row r="101" spans="1:10" x14ac:dyDescent="0.25">
      <c r="C101" s="92"/>
      <c r="D101" s="92"/>
      <c r="E101" s="92"/>
      <c r="F101" s="92"/>
      <c r="G101" s="92"/>
      <c r="H101" s="92"/>
      <c r="I101" s="92"/>
    </row>
    <row r="102" spans="1:10" x14ac:dyDescent="0.25">
      <c r="C102" s="92"/>
      <c r="D102" s="92"/>
      <c r="E102" s="92"/>
      <c r="F102" s="92"/>
      <c r="G102" s="92"/>
      <c r="H102" s="92"/>
      <c r="I102" s="92"/>
    </row>
    <row r="103" spans="1:10" ht="15.75" x14ac:dyDescent="0.25">
      <c r="A103" s="5"/>
      <c r="B103" s="5"/>
      <c r="C103" s="19"/>
      <c r="D103" s="19"/>
      <c r="E103" s="19"/>
      <c r="F103" s="19"/>
      <c r="G103" s="19"/>
      <c r="H103" s="19"/>
      <c r="I103" s="19"/>
    </row>
    <row r="104" spans="1:10" x14ac:dyDescent="0.25">
      <c r="C104" s="92"/>
      <c r="D104" s="92"/>
      <c r="E104" s="92"/>
      <c r="F104" s="92"/>
      <c r="G104" s="92"/>
      <c r="H104" s="92"/>
      <c r="I104" s="92"/>
    </row>
    <row r="105" spans="1:10" x14ac:dyDescent="0.25">
      <c r="C105" s="92"/>
      <c r="D105" s="89"/>
      <c r="E105" s="92"/>
      <c r="F105" s="92"/>
      <c r="G105" s="92"/>
      <c r="H105" s="92"/>
      <c r="I105" s="92"/>
    </row>
    <row r="106" spans="1:10" x14ac:dyDescent="0.25">
      <c r="C106" s="92"/>
      <c r="D106" s="92"/>
      <c r="E106" s="96"/>
      <c r="F106" s="96"/>
      <c r="G106" s="96"/>
      <c r="H106" s="96"/>
      <c r="I106" s="96"/>
    </row>
    <row r="107" spans="1:10" x14ac:dyDescent="0.25">
      <c r="C107" s="92"/>
      <c r="D107" s="89"/>
      <c r="E107" s="92"/>
      <c r="F107" s="92"/>
      <c r="G107" s="92"/>
      <c r="H107" s="92"/>
      <c r="I107" s="92"/>
    </row>
    <row r="108" spans="1:10" x14ac:dyDescent="0.25">
      <c r="C108" s="92"/>
      <c r="D108" s="92"/>
      <c r="E108" s="96"/>
      <c r="F108" s="96"/>
      <c r="G108" s="96"/>
      <c r="H108" s="96"/>
      <c r="I108" s="96"/>
    </row>
    <row r="109" spans="1:10" x14ac:dyDescent="0.25">
      <c r="C109" s="92"/>
      <c r="D109" s="92"/>
      <c r="E109" s="96"/>
      <c r="F109" s="96"/>
      <c r="G109" s="96"/>
      <c r="H109" s="92"/>
      <c r="I109" s="92"/>
    </row>
    <row r="110" spans="1:10" x14ac:dyDescent="0.25">
      <c r="C110" s="92"/>
      <c r="D110" s="92"/>
      <c r="E110" s="92"/>
      <c r="F110" s="92"/>
      <c r="G110" s="92"/>
      <c r="H110" s="92"/>
      <c r="I110" s="92"/>
      <c r="J110" s="59"/>
    </row>
    <row r="111" spans="1:10" x14ac:dyDescent="0.25">
      <c r="C111" s="92"/>
      <c r="D111" s="92"/>
      <c r="E111" s="92"/>
      <c r="F111" s="92"/>
      <c r="G111" s="92"/>
      <c r="H111" s="92"/>
      <c r="I111" s="92"/>
    </row>
    <row r="112" spans="1:10" x14ac:dyDescent="0.25">
      <c r="C112" s="92"/>
      <c r="D112" s="92"/>
      <c r="E112" s="92"/>
      <c r="F112" s="92"/>
      <c r="G112" s="92"/>
      <c r="H112" s="92"/>
      <c r="I112" s="92"/>
    </row>
    <row r="113" spans="3:9" x14ac:dyDescent="0.25">
      <c r="C113" s="92"/>
      <c r="D113" s="92"/>
      <c r="E113" s="92"/>
      <c r="F113" s="92"/>
      <c r="G113" s="92"/>
      <c r="H113" s="92"/>
      <c r="I113" s="92"/>
    </row>
    <row r="114" spans="3:9" x14ac:dyDescent="0.25">
      <c r="C114" s="92"/>
      <c r="D114" s="92"/>
      <c r="E114" s="92"/>
      <c r="F114" s="92"/>
      <c r="G114" s="92"/>
      <c r="H114" s="92"/>
      <c r="I114" s="92"/>
    </row>
    <row r="115" spans="3:9" x14ac:dyDescent="0.25">
      <c r="C115" s="92"/>
      <c r="D115" s="92"/>
      <c r="E115" s="92"/>
      <c r="F115" s="92"/>
      <c r="G115" s="92"/>
      <c r="H115" s="92"/>
      <c r="I115" s="92"/>
    </row>
    <row r="116" spans="3:9" x14ac:dyDescent="0.25">
      <c r="C116" s="92"/>
      <c r="D116" s="92"/>
      <c r="E116" s="92"/>
      <c r="F116" s="92"/>
      <c r="G116" s="92"/>
      <c r="H116" s="92"/>
      <c r="I116" s="92"/>
    </row>
    <row r="117" spans="3:9" x14ac:dyDescent="0.25">
      <c r="C117" s="92"/>
      <c r="D117" s="92"/>
      <c r="E117" s="92"/>
      <c r="F117" s="92"/>
      <c r="G117" s="92"/>
      <c r="H117" s="92"/>
      <c r="I117" s="92"/>
    </row>
    <row r="118" spans="3:9" x14ac:dyDescent="0.25">
      <c r="C118" s="92"/>
      <c r="D118" s="92"/>
      <c r="E118" s="92"/>
      <c r="F118" s="92"/>
      <c r="G118" s="92"/>
      <c r="H118" s="92"/>
      <c r="I118" s="96"/>
    </row>
    <row r="119" spans="3:9" x14ac:dyDescent="0.25">
      <c r="C119" s="92"/>
      <c r="D119" s="92"/>
      <c r="E119" s="92"/>
      <c r="F119" s="92"/>
      <c r="G119" s="92"/>
      <c r="H119" s="96"/>
      <c r="I119" s="96"/>
    </row>
    <row r="120" spans="3:9" x14ac:dyDescent="0.25">
      <c r="C120" s="92"/>
      <c r="D120" s="92"/>
      <c r="E120" s="92"/>
      <c r="F120" s="92"/>
      <c r="G120" s="92"/>
      <c r="H120" s="92"/>
      <c r="I120" s="96"/>
    </row>
    <row r="121" spans="3:9" x14ac:dyDescent="0.25">
      <c r="C121" s="92"/>
      <c r="D121" s="92"/>
      <c r="E121" s="92"/>
      <c r="F121" s="92"/>
      <c r="G121" s="92"/>
      <c r="H121" s="92"/>
      <c r="I121" s="92"/>
    </row>
    <row r="122" spans="3:9" x14ac:dyDescent="0.25">
      <c r="C122" s="92"/>
      <c r="D122" s="92"/>
      <c r="E122" s="92"/>
      <c r="F122" s="92"/>
      <c r="G122" s="92"/>
      <c r="H122" s="92"/>
      <c r="I122" s="96"/>
    </row>
    <row r="123" spans="3:9" x14ac:dyDescent="0.25">
      <c r="C123" s="92"/>
      <c r="D123" s="89"/>
      <c r="E123" s="91"/>
      <c r="F123" s="91"/>
      <c r="G123" s="91"/>
      <c r="H123" s="91"/>
      <c r="I123" s="91"/>
    </row>
    <row r="124" spans="3:9" x14ac:dyDescent="0.25">
      <c r="C124" s="92"/>
      <c r="D124" s="89"/>
      <c r="E124" s="91"/>
      <c r="F124" s="91"/>
      <c r="G124" s="91"/>
      <c r="H124" s="91"/>
      <c r="I124" s="91"/>
    </row>
    <row r="125" spans="3:9" x14ac:dyDescent="0.25">
      <c r="C125" s="92"/>
      <c r="D125" s="92"/>
      <c r="E125" s="92"/>
      <c r="F125" s="92"/>
      <c r="G125" s="92"/>
      <c r="H125" s="92"/>
      <c r="I125" s="92"/>
    </row>
    <row r="126" spans="3:9" x14ac:dyDescent="0.25">
      <c r="C126" s="92"/>
      <c r="D126" s="92"/>
      <c r="E126" s="96"/>
      <c r="F126" s="96"/>
      <c r="G126" s="92"/>
      <c r="H126" s="96"/>
      <c r="I126" s="96"/>
    </row>
    <row r="127" spans="3:9" x14ac:dyDescent="0.25">
      <c r="C127" s="92"/>
      <c r="D127" s="92"/>
      <c r="E127" s="92"/>
      <c r="F127" s="96"/>
      <c r="G127" s="92"/>
      <c r="H127" s="92"/>
      <c r="I127" s="92"/>
    </row>
    <row r="128" spans="3:9" x14ac:dyDescent="0.25">
      <c r="C128" s="92"/>
      <c r="D128" s="92"/>
      <c r="E128" s="92"/>
      <c r="F128" s="96"/>
      <c r="G128" s="96"/>
      <c r="H128" s="96"/>
      <c r="I128" s="96"/>
    </row>
    <row r="129" spans="1:9" x14ac:dyDescent="0.25">
      <c r="C129" s="92"/>
      <c r="D129" s="92"/>
      <c r="E129" s="92"/>
      <c r="F129" s="92"/>
      <c r="G129" s="96"/>
      <c r="H129" s="96"/>
      <c r="I129" s="92"/>
    </row>
    <row r="130" spans="1:9" x14ac:dyDescent="0.25">
      <c r="C130" s="92"/>
      <c r="D130" s="92"/>
      <c r="E130" s="92"/>
      <c r="F130" s="92"/>
      <c r="G130" s="92"/>
      <c r="H130" s="92"/>
      <c r="I130" s="92"/>
    </row>
    <row r="131" spans="1:9" x14ac:dyDescent="0.25">
      <c r="C131" s="92"/>
      <c r="D131" s="89"/>
      <c r="E131" s="91"/>
      <c r="F131" s="91"/>
      <c r="G131" s="89"/>
      <c r="H131" s="89"/>
      <c r="I131" s="91"/>
    </row>
    <row r="132" spans="1:9" x14ac:dyDescent="0.25">
      <c r="C132" s="92"/>
      <c r="D132" s="89"/>
      <c r="E132" s="91"/>
      <c r="F132" s="91"/>
      <c r="G132" s="91"/>
      <c r="H132" s="91"/>
      <c r="I132" s="91"/>
    </row>
    <row r="133" spans="1:9" x14ac:dyDescent="0.25">
      <c r="C133" s="92"/>
      <c r="D133" s="92"/>
      <c r="E133" s="96"/>
      <c r="F133" s="96"/>
      <c r="G133" s="96"/>
      <c r="H133" s="96"/>
      <c r="I133" s="96"/>
    </row>
    <row r="134" spans="1:9" x14ac:dyDescent="0.25">
      <c r="A134" s="98"/>
      <c r="B134" s="98"/>
      <c r="C134" s="92"/>
      <c r="D134" s="89"/>
      <c r="E134" s="91"/>
      <c r="F134" s="91"/>
      <c r="G134" s="91"/>
      <c r="H134" s="91"/>
      <c r="I134" s="91"/>
    </row>
    <row r="135" spans="1:9" x14ac:dyDescent="0.25">
      <c r="C135" s="92"/>
      <c r="D135" s="89"/>
      <c r="E135" s="92"/>
      <c r="F135" s="92"/>
      <c r="G135" s="92"/>
      <c r="H135" s="92"/>
      <c r="I135" s="92"/>
    </row>
    <row r="136" spans="1:9" x14ac:dyDescent="0.25">
      <c r="C136" s="92"/>
      <c r="D136" s="92"/>
      <c r="E136" s="96"/>
      <c r="F136" s="96"/>
      <c r="G136" s="96"/>
      <c r="H136" s="96"/>
      <c r="I136" s="96"/>
    </row>
    <row r="137" spans="1:9" x14ac:dyDescent="0.25">
      <c r="C137" s="92"/>
      <c r="D137" s="92"/>
      <c r="E137" s="92"/>
      <c r="F137" s="92"/>
      <c r="G137" s="92"/>
      <c r="H137" s="92"/>
      <c r="I137" s="92"/>
    </row>
    <row r="138" spans="1:9" x14ac:dyDescent="0.25">
      <c r="C138" s="92"/>
      <c r="D138" s="92"/>
      <c r="E138" s="96"/>
      <c r="F138" s="92"/>
      <c r="G138" s="92"/>
      <c r="H138" s="92"/>
      <c r="I138" s="96"/>
    </row>
    <row r="139" spans="1:9" x14ac:dyDescent="0.25">
      <c r="C139" s="92"/>
      <c r="D139" s="92"/>
      <c r="E139" s="96"/>
      <c r="F139" s="92"/>
      <c r="G139" s="92"/>
      <c r="H139" s="92"/>
      <c r="I139" s="92"/>
    </row>
    <row r="140" spans="1:9" x14ac:dyDescent="0.25">
      <c r="C140" s="92"/>
      <c r="D140" s="92"/>
      <c r="E140" s="92"/>
      <c r="F140" s="92"/>
      <c r="G140" s="92"/>
      <c r="H140" s="92"/>
      <c r="I140" s="96"/>
    </row>
    <row r="141" spans="1:9" x14ac:dyDescent="0.25">
      <c r="C141" s="92"/>
      <c r="D141" s="92"/>
      <c r="E141" s="92"/>
      <c r="F141" s="96"/>
      <c r="G141" s="96"/>
      <c r="H141" s="96"/>
      <c r="I141" s="96"/>
    </row>
    <row r="142" spans="1:9" x14ac:dyDescent="0.25">
      <c r="C142" s="92"/>
      <c r="D142" s="92"/>
      <c r="E142" s="92"/>
      <c r="F142" s="92"/>
      <c r="G142" s="92"/>
      <c r="H142" s="92"/>
      <c r="I142" s="92"/>
    </row>
    <row r="143" spans="1:9" x14ac:dyDescent="0.25">
      <c r="C143" s="92"/>
      <c r="D143" s="92"/>
      <c r="E143" s="92"/>
      <c r="F143" s="92"/>
      <c r="G143" s="92"/>
      <c r="H143" s="92"/>
      <c r="I143" s="96"/>
    </row>
    <row r="144" spans="1:9" x14ac:dyDescent="0.25">
      <c r="C144" s="92"/>
      <c r="D144" s="92"/>
      <c r="E144" s="92"/>
      <c r="F144" s="92"/>
      <c r="G144" s="92"/>
      <c r="H144" s="92"/>
      <c r="I144" s="96"/>
    </row>
    <row r="145" spans="1:9" x14ac:dyDescent="0.25">
      <c r="C145" s="92"/>
      <c r="D145" s="89"/>
      <c r="E145" s="91"/>
      <c r="F145" s="91"/>
      <c r="G145" s="91"/>
      <c r="H145" s="91"/>
      <c r="I145" s="91"/>
    </row>
    <row r="146" spans="1:9" x14ac:dyDescent="0.25">
      <c r="C146" s="92"/>
      <c r="D146" s="89"/>
      <c r="E146" s="92"/>
      <c r="F146" s="92"/>
      <c r="G146" s="92"/>
      <c r="H146" s="92"/>
      <c r="I146" s="92"/>
    </row>
    <row r="147" spans="1:9" x14ac:dyDescent="0.25">
      <c r="C147" s="92"/>
      <c r="D147" s="92"/>
      <c r="E147" s="92"/>
      <c r="F147" s="96"/>
      <c r="G147" s="92"/>
      <c r="H147" s="92"/>
      <c r="I147" s="92"/>
    </row>
    <row r="148" spans="1:9" x14ac:dyDescent="0.25">
      <c r="C148" s="92"/>
      <c r="D148" s="92"/>
      <c r="E148" s="92"/>
      <c r="F148" s="96"/>
      <c r="G148" s="96"/>
      <c r="H148" s="96"/>
      <c r="I148" s="96"/>
    </row>
    <row r="149" spans="1:9" x14ac:dyDescent="0.25">
      <c r="C149" s="92"/>
      <c r="D149" s="92"/>
      <c r="E149" s="92"/>
      <c r="F149" s="96"/>
      <c r="G149" s="96"/>
      <c r="H149" s="96"/>
      <c r="I149" s="96"/>
    </row>
    <row r="150" spans="1:9" x14ac:dyDescent="0.25">
      <c r="C150" s="92"/>
      <c r="D150" s="92"/>
      <c r="E150" s="96"/>
      <c r="F150" s="96"/>
      <c r="G150" s="96"/>
      <c r="H150" s="96"/>
      <c r="I150" s="96"/>
    </row>
    <row r="151" spans="1:9" x14ac:dyDescent="0.25">
      <c r="C151" s="92"/>
      <c r="D151" s="92"/>
      <c r="E151" s="92"/>
      <c r="F151" s="92"/>
      <c r="G151" s="92"/>
      <c r="H151" s="92"/>
      <c r="I151" s="92"/>
    </row>
    <row r="152" spans="1:9" x14ac:dyDescent="0.25">
      <c r="C152" s="92"/>
      <c r="D152" s="92"/>
      <c r="E152" s="92"/>
      <c r="F152" s="92"/>
      <c r="G152" s="92"/>
      <c r="H152" s="92"/>
      <c r="I152" s="92"/>
    </row>
    <row r="153" spans="1:9" x14ac:dyDescent="0.25">
      <c r="C153" s="92"/>
      <c r="D153" s="89"/>
      <c r="E153" s="91"/>
      <c r="F153" s="89"/>
      <c r="G153" s="91"/>
      <c r="H153" s="91"/>
      <c r="I153" s="91"/>
    </row>
    <row r="154" spans="1:9" x14ac:dyDescent="0.25">
      <c r="C154" s="92"/>
      <c r="D154" s="89"/>
      <c r="E154" s="89"/>
      <c r="F154" s="89"/>
      <c r="G154" s="89"/>
      <c r="H154" s="89"/>
      <c r="I154" s="89"/>
    </row>
    <row r="155" spans="1:9" x14ac:dyDescent="0.25">
      <c r="C155" s="92"/>
      <c r="D155" s="89"/>
      <c r="E155" s="91"/>
      <c r="F155" s="91"/>
      <c r="G155" s="91"/>
      <c r="H155" s="91"/>
      <c r="I155" s="91"/>
    </row>
    <row r="156" spans="1:9" x14ac:dyDescent="0.25">
      <c r="C156" s="89"/>
      <c r="D156" s="92"/>
      <c r="E156" s="92"/>
      <c r="F156" s="92"/>
      <c r="G156" s="92"/>
      <c r="H156" s="92"/>
      <c r="I156" s="92"/>
    </row>
    <row r="157" spans="1:9" x14ac:dyDescent="0.25">
      <c r="C157" s="92"/>
      <c r="D157" s="89"/>
      <c r="E157" s="91"/>
      <c r="F157" s="91"/>
      <c r="G157" s="91"/>
      <c r="H157" s="91"/>
      <c r="I157" s="91"/>
    </row>
    <row r="158" spans="1:9" x14ac:dyDescent="0.25">
      <c r="C158" s="92"/>
      <c r="D158" s="92"/>
      <c r="E158" s="92"/>
      <c r="F158" s="92"/>
      <c r="G158" s="92"/>
      <c r="H158" s="92"/>
      <c r="I158" s="92"/>
    </row>
    <row r="159" spans="1:9" ht="15.75" x14ac:dyDescent="0.25">
      <c r="A159" s="5"/>
      <c r="B159" s="5"/>
      <c r="C159" s="19"/>
      <c r="D159" s="19"/>
      <c r="E159" s="19"/>
      <c r="F159" s="19"/>
      <c r="G159" s="19"/>
      <c r="H159" s="19"/>
      <c r="I159" s="19"/>
    </row>
    <row r="160" spans="1:9" x14ac:dyDescent="0.25">
      <c r="C160" s="92"/>
      <c r="D160" s="92"/>
      <c r="E160" s="96"/>
      <c r="F160" s="96"/>
      <c r="G160" s="96"/>
      <c r="H160" s="96"/>
      <c r="I160" s="96"/>
    </row>
    <row r="161" spans="1:14" x14ac:dyDescent="0.25">
      <c r="C161" s="92"/>
      <c r="D161" s="92"/>
      <c r="E161" s="96"/>
      <c r="F161" s="96"/>
      <c r="G161" s="96"/>
      <c r="H161" s="96"/>
      <c r="I161" s="96"/>
    </row>
    <row r="162" spans="1:14" x14ac:dyDescent="0.25">
      <c r="C162" s="92"/>
      <c r="D162" s="92"/>
      <c r="E162" s="96"/>
      <c r="F162" s="96"/>
      <c r="G162" s="96"/>
      <c r="H162" s="96"/>
      <c r="I162" s="96"/>
    </row>
    <row r="163" spans="1:14" ht="15.75" thickBot="1" x14ac:dyDescent="0.3">
      <c r="A163" s="99"/>
      <c r="B163" s="99"/>
      <c r="C163" s="92"/>
      <c r="D163" s="89"/>
      <c r="E163" s="91"/>
      <c r="F163" s="91"/>
      <c r="G163" s="91"/>
      <c r="H163" s="91"/>
      <c r="I163" s="91"/>
      <c r="J163" s="10"/>
    </row>
    <row r="164" spans="1:14" ht="15.75" thickTop="1" x14ac:dyDescent="0.25">
      <c r="C164" s="92"/>
      <c r="D164" s="92"/>
      <c r="E164" s="92"/>
      <c r="F164" s="92"/>
      <c r="G164" s="92"/>
      <c r="H164" s="92"/>
      <c r="I164" s="92"/>
    </row>
    <row r="165" spans="1:14" x14ac:dyDescent="0.25">
      <c r="C165" s="92"/>
      <c r="D165" s="92"/>
      <c r="E165" s="92"/>
      <c r="F165" s="92"/>
      <c r="G165" s="92"/>
      <c r="H165" s="92"/>
      <c r="I165" s="92"/>
    </row>
    <row r="166" spans="1:14" ht="15.75" x14ac:dyDescent="0.25">
      <c r="A166" s="5"/>
      <c r="B166" s="5"/>
      <c r="C166" s="19"/>
      <c r="D166" s="19"/>
      <c r="E166" s="93"/>
      <c r="F166" s="93"/>
      <c r="G166" s="93"/>
      <c r="H166" s="93"/>
      <c r="I166" s="93"/>
      <c r="J166" s="18"/>
      <c r="K166" s="18"/>
      <c r="L166" s="18"/>
      <c r="M166" s="18"/>
      <c r="N166" s="18"/>
    </row>
    <row r="167" spans="1:14" x14ac:dyDescent="0.25">
      <c r="C167" s="92"/>
      <c r="D167" s="92"/>
      <c r="E167" s="92"/>
      <c r="F167" s="92"/>
      <c r="G167" s="92"/>
      <c r="H167" s="92"/>
      <c r="I167" s="92"/>
    </row>
    <row r="168" spans="1:14" x14ac:dyDescent="0.25">
      <c r="C168" s="92"/>
      <c r="D168" s="92"/>
      <c r="E168" s="92"/>
      <c r="F168" s="92"/>
      <c r="G168" s="92"/>
      <c r="H168" s="92"/>
      <c r="I168" s="92"/>
    </row>
    <row r="169" spans="1:14" x14ac:dyDescent="0.25">
      <c r="C169" s="92"/>
      <c r="D169" s="92"/>
      <c r="E169" s="92"/>
      <c r="F169" s="92"/>
      <c r="G169" s="92"/>
      <c r="H169" s="92"/>
      <c r="I169" s="92"/>
    </row>
    <row r="170" spans="1:14" x14ac:dyDescent="0.25">
      <c r="C170" s="92"/>
      <c r="D170" s="92"/>
      <c r="E170" s="92"/>
      <c r="F170" s="92"/>
      <c r="G170" s="92"/>
      <c r="H170" s="92"/>
      <c r="I170" s="92"/>
    </row>
    <row r="171" spans="1:14" x14ac:dyDescent="0.25">
      <c r="C171" s="92"/>
      <c r="D171" s="92"/>
      <c r="E171" s="92"/>
      <c r="F171" s="92"/>
      <c r="G171" s="92"/>
      <c r="H171" s="92"/>
      <c r="I171" s="92"/>
    </row>
    <row r="172" spans="1:14" x14ac:dyDescent="0.25">
      <c r="C172" s="92"/>
      <c r="D172" s="92"/>
      <c r="E172" s="92"/>
      <c r="F172" s="92"/>
      <c r="G172" s="92"/>
      <c r="H172" s="92"/>
      <c r="I172" s="92"/>
    </row>
    <row r="173" spans="1:14" x14ac:dyDescent="0.25">
      <c r="C173" s="92"/>
      <c r="D173" s="92"/>
      <c r="E173" s="92"/>
      <c r="F173" s="92"/>
      <c r="G173" s="92"/>
      <c r="H173" s="92"/>
      <c r="I173" s="92"/>
    </row>
    <row r="174" spans="1:14" x14ac:dyDescent="0.25">
      <c r="C174" s="92"/>
      <c r="D174" s="92"/>
      <c r="E174" s="92"/>
      <c r="F174" s="92"/>
      <c r="G174" s="92"/>
      <c r="H174" s="92"/>
      <c r="I174" s="92"/>
    </row>
    <row r="175" spans="1:14" x14ac:dyDescent="0.25">
      <c r="C175" s="92"/>
      <c r="D175" s="92"/>
      <c r="E175" s="92"/>
      <c r="F175" s="92"/>
      <c r="G175" s="92"/>
      <c r="H175" s="92"/>
      <c r="I175" s="92"/>
    </row>
    <row r="176" spans="1:14" x14ac:dyDescent="0.25">
      <c r="C176" s="92"/>
      <c r="D176" s="92"/>
      <c r="E176" s="92"/>
      <c r="F176" s="92"/>
      <c r="G176" s="92"/>
      <c r="H176" s="92"/>
      <c r="I176" s="92"/>
    </row>
    <row r="177" spans="3:9" x14ac:dyDescent="0.25">
      <c r="C177" s="92"/>
      <c r="D177" s="92"/>
      <c r="E177" s="92"/>
      <c r="F177" s="92"/>
      <c r="G177" s="92"/>
      <c r="H177" s="92"/>
      <c r="I177" s="92"/>
    </row>
    <row r="178" spans="3:9" x14ac:dyDescent="0.25">
      <c r="C178" s="92"/>
      <c r="D178" s="92"/>
      <c r="E178" s="92"/>
      <c r="F178" s="92"/>
      <c r="G178" s="92"/>
      <c r="H178" s="92"/>
      <c r="I178" s="92"/>
    </row>
    <row r="179" spans="3:9" x14ac:dyDescent="0.25">
      <c r="C179" s="92"/>
      <c r="D179" s="92"/>
      <c r="E179" s="92"/>
      <c r="F179" s="92"/>
      <c r="G179" s="92"/>
      <c r="H179" s="92"/>
      <c r="I179" s="92"/>
    </row>
    <row r="180" spans="3:9" x14ac:dyDescent="0.25">
      <c r="C180" s="92"/>
      <c r="D180" s="92"/>
      <c r="E180" s="92"/>
      <c r="F180" s="92"/>
      <c r="G180" s="92"/>
      <c r="H180" s="92"/>
      <c r="I180" s="92"/>
    </row>
    <row r="181" spans="3:9" x14ac:dyDescent="0.25">
      <c r="C181" s="92"/>
      <c r="D181" s="92"/>
      <c r="E181" s="92"/>
      <c r="F181" s="92"/>
      <c r="G181" s="92"/>
      <c r="H181" s="92"/>
      <c r="I181" s="92"/>
    </row>
    <row r="182" spans="3:9" x14ac:dyDescent="0.25">
      <c r="C182" s="92"/>
      <c r="D182" s="92"/>
      <c r="E182" s="92"/>
      <c r="F182" s="92"/>
      <c r="G182" s="92"/>
      <c r="H182" s="92"/>
      <c r="I182" s="92"/>
    </row>
    <row r="183" spans="3:9" x14ac:dyDescent="0.25">
      <c r="C183" s="92"/>
      <c r="D183" s="92"/>
      <c r="E183" s="92"/>
      <c r="F183" s="92"/>
      <c r="G183" s="92"/>
      <c r="H183" s="92"/>
      <c r="I183" s="92"/>
    </row>
    <row r="184" spans="3:9" x14ac:dyDescent="0.25">
      <c r="C184" s="92"/>
      <c r="D184" s="92"/>
      <c r="E184" s="92"/>
      <c r="F184" s="92"/>
      <c r="G184" s="92"/>
      <c r="H184" s="92"/>
      <c r="I184" s="92"/>
    </row>
  </sheetData>
  <mergeCells count="3">
    <mergeCell ref="G5:O5"/>
    <mergeCell ref="P5:R5"/>
    <mergeCell ref="T5:V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K26"/>
  <sheetViews>
    <sheetView showGridLines="0" zoomScale="90" zoomScaleNormal="90" workbookViewId="0">
      <selection activeCell="H2" sqref="H2"/>
    </sheetView>
  </sheetViews>
  <sheetFormatPr defaultRowHeight="15" x14ac:dyDescent="0.25"/>
  <cols>
    <col min="1" max="1" width="45" bestFit="1" customWidth="1"/>
    <col min="2" max="2" width="14.140625" bestFit="1" customWidth="1"/>
    <col min="3" max="3" width="9" bestFit="1" customWidth="1"/>
    <col min="4" max="5" width="10" bestFit="1" customWidth="1"/>
    <col min="6" max="7" width="11.7109375" bestFit="1" customWidth="1"/>
    <col min="8" max="9" width="10" bestFit="1" customWidth="1"/>
  </cols>
  <sheetData>
    <row r="2" spans="1:10" x14ac:dyDescent="0.25">
      <c r="A2" s="265" t="s">
        <v>311</v>
      </c>
      <c r="B2" s="265"/>
      <c r="C2" s="265"/>
      <c r="D2" s="265"/>
      <c r="E2" s="265"/>
      <c r="F2" s="265"/>
      <c r="G2" s="265"/>
      <c r="H2" s="265"/>
      <c r="I2" s="265"/>
      <c r="J2" s="265"/>
    </row>
    <row r="3" spans="1:10" ht="15.75" x14ac:dyDescent="0.25">
      <c r="A3" s="266" t="s">
        <v>300</v>
      </c>
      <c r="B3" s="266" t="s">
        <v>301</v>
      </c>
      <c r="C3" s="266" t="s">
        <v>270</v>
      </c>
      <c r="D3" s="266" t="s">
        <v>302</v>
      </c>
      <c r="E3" s="266" t="s">
        <v>189</v>
      </c>
      <c r="F3" s="266" t="s">
        <v>175</v>
      </c>
      <c r="G3" s="266" t="s">
        <v>144</v>
      </c>
      <c r="H3" s="266" t="s">
        <v>163</v>
      </c>
      <c r="I3" s="266" t="s">
        <v>303</v>
      </c>
      <c r="J3" s="266" t="s">
        <v>149</v>
      </c>
    </row>
    <row r="4" spans="1:10" x14ac:dyDescent="0.25">
      <c r="A4" s="267" t="s">
        <v>0</v>
      </c>
      <c r="B4" s="265" t="s">
        <v>259</v>
      </c>
      <c r="C4" s="265">
        <v>5037.42</v>
      </c>
      <c r="D4" s="268">
        <v>119.6</v>
      </c>
      <c r="E4" s="265">
        <v>14746.8336</v>
      </c>
      <c r="F4" s="265">
        <v>22839.149999999998</v>
      </c>
      <c r="G4" s="265">
        <v>127287.06539999999</v>
      </c>
      <c r="H4" s="265">
        <v>21485.023199999996</v>
      </c>
      <c r="I4" s="265">
        <v>24621.030599999998</v>
      </c>
      <c r="J4" s="269">
        <v>0.12</v>
      </c>
    </row>
    <row r="5" spans="1:10" x14ac:dyDescent="0.25">
      <c r="A5" s="267" t="s">
        <v>304</v>
      </c>
      <c r="B5" s="265">
        <v>500124</v>
      </c>
      <c r="C5" s="265">
        <v>1173.9749999999999</v>
      </c>
      <c r="D5" s="270">
        <v>832.8</v>
      </c>
      <c r="E5" s="265">
        <v>50973.567599999995</v>
      </c>
      <c r="F5" s="265">
        <v>59790.760199999997</v>
      </c>
      <c r="G5" s="265">
        <v>310624.39319999999</v>
      </c>
      <c r="H5" s="265">
        <v>53558.873999999996</v>
      </c>
      <c r="I5" s="265">
        <v>85372.315799999997</v>
      </c>
      <c r="J5" s="271">
        <v>0.252</v>
      </c>
    </row>
    <row r="6" spans="1:10" x14ac:dyDescent="0.25">
      <c r="A6" s="267" t="s">
        <v>305</v>
      </c>
      <c r="B6" s="265">
        <v>500257</v>
      </c>
      <c r="C6" s="265">
        <v>2019.2369999999999</v>
      </c>
      <c r="D6" s="268">
        <v>455.9</v>
      </c>
      <c r="E6" s="265">
        <v>34350.081599999998</v>
      </c>
      <c r="F6" s="265">
        <v>29059.082999999999</v>
      </c>
      <c r="G6" s="265">
        <v>218316.65999999997</v>
      </c>
      <c r="H6" s="265">
        <v>28622.7912</v>
      </c>
      <c r="I6" s="265">
        <v>50788.292999999998</v>
      </c>
      <c r="J6" s="272">
        <v>0.2</v>
      </c>
    </row>
    <row r="7" spans="1:10" x14ac:dyDescent="0.25">
      <c r="A7" s="267" t="s">
        <v>306</v>
      </c>
      <c r="B7" s="265" t="s">
        <v>260</v>
      </c>
      <c r="C7" s="265">
        <v>858.92280000000005</v>
      </c>
      <c r="D7" s="270">
        <v>1007.4</v>
      </c>
      <c r="E7" s="265">
        <v>1900.5588</v>
      </c>
      <c r="F7" s="265">
        <v>24895.100399999996</v>
      </c>
      <c r="G7" s="265">
        <v>221274.22319999998</v>
      </c>
      <c r="H7" s="265">
        <v>45270.183599999997</v>
      </c>
      <c r="I7" s="265">
        <v>62038.815599999994</v>
      </c>
      <c r="J7" s="271">
        <v>0.219</v>
      </c>
    </row>
    <row r="8" spans="1:10" x14ac:dyDescent="0.25">
      <c r="A8" s="267" t="s">
        <v>307</v>
      </c>
      <c r="B8" s="265" t="s">
        <v>261</v>
      </c>
      <c r="C8" s="265">
        <v>1218.3725999999999</v>
      </c>
      <c r="D8" s="268">
        <v>583.70000000000005</v>
      </c>
      <c r="E8" s="265">
        <v>84088.200599999996</v>
      </c>
      <c r="F8" s="265">
        <v>68525.987999999998</v>
      </c>
      <c r="G8" s="265">
        <v>307190.40960000001</v>
      </c>
      <c r="H8" s="265">
        <v>34835.040000000001</v>
      </c>
      <c r="I8" s="265">
        <v>65572.693799999994</v>
      </c>
      <c r="J8" s="272">
        <v>0.29699999999999999</v>
      </c>
    </row>
    <row r="9" spans="1:10" x14ac:dyDescent="0.25">
      <c r="A9" s="267" t="s">
        <v>265</v>
      </c>
      <c r="B9" s="265">
        <v>500488</v>
      </c>
      <c r="C9" s="265">
        <v>29763.468000000001</v>
      </c>
      <c r="D9" s="270">
        <v>21.2</v>
      </c>
      <c r="E9" s="265">
        <v>603.63660000000004</v>
      </c>
      <c r="F9" s="265">
        <v>11032.803599999999</v>
      </c>
      <c r="G9" s="265">
        <v>62295.809399999998</v>
      </c>
      <c r="H9" s="265">
        <v>13315.010999999999</v>
      </c>
      <c r="I9" s="265">
        <v>15462.317999999999</v>
      </c>
      <c r="J9" s="271">
        <v>0.25600000000000001</v>
      </c>
    </row>
    <row r="10" spans="1:10" x14ac:dyDescent="0.25">
      <c r="A10" s="267" t="s">
        <v>266</v>
      </c>
      <c r="B10" s="265">
        <v>500660</v>
      </c>
      <c r="C10" s="265">
        <v>2805.5867999999996</v>
      </c>
      <c r="D10" s="268">
        <v>169.4</v>
      </c>
      <c r="E10" s="265">
        <v>147.70739999999998</v>
      </c>
      <c r="F10" s="265">
        <v>21062.392199999998</v>
      </c>
      <c r="G10" s="265">
        <v>36965.271000000001</v>
      </c>
      <c r="H10" s="265">
        <v>8573.005799999999</v>
      </c>
      <c r="I10" s="265">
        <v>10716.043799999999</v>
      </c>
      <c r="J10" s="272">
        <v>0.26700000000000002</v>
      </c>
    </row>
    <row r="11" spans="1:10" x14ac:dyDescent="0.25">
      <c r="A11" s="267" t="s">
        <v>308</v>
      </c>
      <c r="B11" s="265" t="s">
        <v>262</v>
      </c>
      <c r="C11" s="265">
        <v>1418.1617999999999</v>
      </c>
      <c r="D11" s="268">
        <v>253.8</v>
      </c>
      <c r="E11" s="265">
        <v>11995.89</v>
      </c>
      <c r="F11" s="265">
        <v>9012.7127999999993</v>
      </c>
      <c r="G11" s="265">
        <v>87068.816399999996</v>
      </c>
      <c r="H11" s="265">
        <v>7278.6449999999995</v>
      </c>
      <c r="I11" s="265">
        <v>15878.972399999999</v>
      </c>
      <c r="J11" s="272">
        <v>0.32900000000000001</v>
      </c>
    </row>
    <row r="12" spans="1:10" x14ac:dyDescent="0.25">
      <c r="A12" s="267" t="s">
        <v>309</v>
      </c>
      <c r="B12" s="265" t="s">
        <v>263</v>
      </c>
      <c r="C12" s="265">
        <v>625.83539999999994</v>
      </c>
      <c r="D12" s="270">
        <v>538.79999999999995</v>
      </c>
      <c r="E12" s="265">
        <v>27620.43</v>
      </c>
      <c r="F12" s="265">
        <v>1441.2143999999998</v>
      </c>
      <c r="G12" s="265">
        <v>55505.538</v>
      </c>
      <c r="H12" s="265">
        <v>3580.8371999999995</v>
      </c>
      <c r="I12" s="265">
        <v>10546.137599999998</v>
      </c>
      <c r="J12" s="271">
        <v>0.26600000000000001</v>
      </c>
    </row>
    <row r="13" spans="1:10" ht="15" customHeight="1" x14ac:dyDescent="0.25">
      <c r="A13" s="267" t="s">
        <v>310</v>
      </c>
      <c r="B13" s="265" t="s">
        <v>264</v>
      </c>
      <c r="C13" s="265">
        <v>2676.663</v>
      </c>
      <c r="D13" s="268">
        <v>125.4</v>
      </c>
      <c r="E13" s="265">
        <v>327.00540000000001</v>
      </c>
      <c r="F13" s="265">
        <v>7403.2997999999989</v>
      </c>
      <c r="G13" s="265">
        <v>45218.955600000001</v>
      </c>
      <c r="H13" s="265">
        <v>8958.9233999999997</v>
      </c>
      <c r="I13" s="265">
        <v>12425.3514</v>
      </c>
      <c r="J13" s="272">
        <v>0.25</v>
      </c>
    </row>
    <row r="14" spans="1:10" x14ac:dyDescent="0.25">
      <c r="A14" s="265"/>
      <c r="B14" s="265"/>
      <c r="C14" s="273"/>
      <c r="D14" s="274"/>
      <c r="E14" s="274"/>
      <c r="F14" s="274"/>
      <c r="G14" s="274"/>
      <c r="H14" s="274"/>
      <c r="I14" s="274"/>
      <c r="J14" s="272"/>
    </row>
    <row r="15" spans="1:10" ht="15" customHeight="1" x14ac:dyDescent="0.25">
      <c r="A15" s="265"/>
      <c r="B15" s="265"/>
      <c r="C15" s="265">
        <v>85.38</v>
      </c>
      <c r="D15" s="265"/>
      <c r="E15" s="265"/>
      <c r="F15" s="265"/>
      <c r="G15" s="265"/>
      <c r="H15" s="265"/>
      <c r="I15" s="265"/>
      <c r="J15" s="275">
        <f>AVERAGE(J4:J13)</f>
        <v>0.24560000000000004</v>
      </c>
    </row>
    <row r="17" spans="7:11" ht="15" customHeight="1" x14ac:dyDescent="0.25">
      <c r="G17" s="151"/>
      <c r="I17" s="151"/>
      <c r="K17" s="151"/>
    </row>
    <row r="18" spans="7:11" x14ac:dyDescent="0.25">
      <c r="G18" s="151"/>
      <c r="I18" s="151"/>
      <c r="K18" s="151"/>
    </row>
    <row r="19" spans="7:11" ht="15" customHeight="1" x14ac:dyDescent="0.25">
      <c r="G19" s="151"/>
      <c r="I19" s="151"/>
      <c r="K19" s="151"/>
    </row>
    <row r="20" spans="7:11" x14ac:dyDescent="0.25">
      <c r="G20" s="151"/>
      <c r="I20" s="151"/>
      <c r="K20" s="151"/>
    </row>
    <row r="21" spans="7:11" ht="15" customHeight="1" x14ac:dyDescent="0.25">
      <c r="G21" s="151"/>
      <c r="I21" s="151"/>
      <c r="K21" s="151"/>
    </row>
    <row r="22" spans="7:11" x14ac:dyDescent="0.25">
      <c r="G22" s="151"/>
      <c r="I22" s="151"/>
      <c r="K22" s="151"/>
    </row>
    <row r="23" spans="7:11" ht="15" customHeight="1" x14ac:dyDescent="0.25">
      <c r="G23" s="151"/>
      <c r="I23" s="151"/>
      <c r="K23" s="151"/>
    </row>
    <row r="24" spans="7:11" x14ac:dyDescent="0.25">
      <c r="G24" s="151"/>
      <c r="I24" s="151"/>
      <c r="K24" s="151"/>
    </row>
    <row r="25" spans="7:11" ht="15" customHeight="1" x14ac:dyDescent="0.25">
      <c r="G25" s="151"/>
      <c r="I25" s="151"/>
      <c r="K25" s="151"/>
    </row>
    <row r="26" spans="7:11" x14ac:dyDescent="0.25">
      <c r="G26" s="151"/>
      <c r="I26" s="151"/>
      <c r="K26" s="1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484"/>
  <sheetViews>
    <sheetView showGridLines="0" topLeftCell="A5" workbookViewId="0">
      <selection activeCell="I11" sqref="I11"/>
    </sheetView>
  </sheetViews>
  <sheetFormatPr defaultRowHeight="15" x14ac:dyDescent="0.25"/>
  <cols>
    <col min="1" max="3" width="1.28515625" style="12" customWidth="1"/>
    <col min="4" max="4" width="19.7109375" style="12" customWidth="1"/>
    <col min="5" max="5" width="10.5703125" style="12" bestFit="1" customWidth="1"/>
    <col min="6" max="6" width="10.85546875" style="12" bestFit="1" customWidth="1"/>
    <col min="7" max="7" width="11.85546875" style="12" bestFit="1" customWidth="1"/>
    <col min="8" max="8" width="20.85546875" style="12" bestFit="1" customWidth="1"/>
    <col min="9" max="9" width="12.140625" style="12" bestFit="1" customWidth="1"/>
    <col min="10" max="10" width="10.85546875" style="12" bestFit="1" customWidth="1"/>
    <col min="11" max="11" width="11.28515625" style="12" bestFit="1" customWidth="1"/>
    <col min="12" max="12" width="10.42578125" style="12" bestFit="1" customWidth="1"/>
    <col min="13" max="13" width="10.5703125" style="12" bestFit="1" customWidth="1"/>
    <col min="14" max="14" width="10.85546875" style="12" bestFit="1" customWidth="1"/>
    <col min="15" max="16384" width="9.140625" style="12"/>
  </cols>
  <sheetData>
    <row r="1" spans="1:12" customFormat="1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customFormat="1" ht="15.75" x14ac:dyDescent="0.25">
      <c r="A2" s="3" t="s">
        <v>292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4.25" customHeight="1" x14ac:dyDescent="0.25">
      <c r="A3" s="80"/>
      <c r="B3" s="80"/>
      <c r="C3" s="80"/>
      <c r="D3" s="80"/>
      <c r="E3" s="80"/>
      <c r="F3" s="80"/>
      <c r="G3" s="80"/>
      <c r="H3" s="80"/>
      <c r="I3" s="80"/>
    </row>
    <row r="4" spans="1:12" s="88" customFormat="1" ht="15.75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x14ac:dyDescent="0.25">
      <c r="D5" s="118"/>
      <c r="E5" s="140" t="s">
        <v>294</v>
      </c>
      <c r="F5" s="6"/>
      <c r="G5" s="6"/>
      <c r="H5" s="102"/>
      <c r="I5" s="104"/>
      <c r="J5" s="104"/>
      <c r="K5" s="104"/>
      <c r="L5" s="104"/>
    </row>
    <row r="6" spans="1:12" x14ac:dyDescent="0.25">
      <c r="D6" s="139" t="s">
        <v>293</v>
      </c>
      <c r="E6" s="140" t="s">
        <v>295</v>
      </c>
      <c r="F6" s="7"/>
      <c r="G6" s="7"/>
      <c r="H6" s="143" t="s">
        <v>299</v>
      </c>
      <c r="I6" s="144" t="s">
        <v>296</v>
      </c>
      <c r="J6" s="104"/>
      <c r="K6" s="104"/>
      <c r="L6" s="104"/>
    </row>
    <row r="7" spans="1:12" x14ac:dyDescent="0.25">
      <c r="C7" s="92"/>
      <c r="D7" s="138">
        <v>45772</v>
      </c>
      <c r="E7">
        <v>35829.160000000003</v>
      </c>
      <c r="H7" s="102"/>
      <c r="I7" s="104"/>
      <c r="J7" s="104"/>
      <c r="K7" s="104"/>
      <c r="L7" s="104"/>
    </row>
    <row r="8" spans="1:12" x14ac:dyDescent="0.25">
      <c r="C8" s="92"/>
      <c r="D8" s="138">
        <v>45771</v>
      </c>
      <c r="E8">
        <v>36138.21</v>
      </c>
      <c r="H8" s="86"/>
      <c r="I8" s="86"/>
    </row>
    <row r="9" spans="1:12" x14ac:dyDescent="0.25">
      <c r="C9" s="92"/>
      <c r="D9" s="138">
        <v>45770</v>
      </c>
      <c r="E9">
        <v>36260.74</v>
      </c>
      <c r="F9" s="84"/>
      <c r="G9" s="84"/>
      <c r="H9" s="84"/>
      <c r="I9" s="84"/>
    </row>
    <row r="10" spans="1:12" x14ac:dyDescent="0.25">
      <c r="C10" s="92"/>
      <c r="D10" s="138">
        <v>45769</v>
      </c>
      <c r="E10">
        <v>36019.75</v>
      </c>
      <c r="F10" s="84"/>
      <c r="G10" s="84"/>
      <c r="H10" s="141" t="s">
        <v>297</v>
      </c>
      <c r="I10" s="141">
        <f>YEARFRAC(D2484,D7)</f>
        <v>9.9944444444444436</v>
      </c>
    </row>
    <row r="11" spans="1:12" x14ac:dyDescent="0.25">
      <c r="C11" s="92"/>
      <c r="D11" s="138">
        <v>45768</v>
      </c>
      <c r="E11">
        <v>35957.620000000003</v>
      </c>
      <c r="F11" s="84"/>
      <c r="G11" s="84"/>
      <c r="H11" s="145" t="s">
        <v>298</v>
      </c>
      <c r="I11" s="142">
        <f>_xlfn.RRI(I10,E2484,E7)</f>
        <v>0.12709910272914726</v>
      </c>
    </row>
    <row r="12" spans="1:12" x14ac:dyDescent="0.25">
      <c r="C12" s="92"/>
      <c r="D12" s="138">
        <v>45764</v>
      </c>
      <c r="E12">
        <v>35549.39</v>
      </c>
      <c r="F12" s="84"/>
      <c r="G12" s="84"/>
      <c r="H12" s="84"/>
      <c r="I12" s="84"/>
    </row>
    <row r="13" spans="1:12" x14ac:dyDescent="0.25">
      <c r="C13" s="92"/>
      <c r="D13" s="138">
        <v>45763</v>
      </c>
      <c r="E13">
        <v>34931.660000000003</v>
      </c>
      <c r="F13" s="84"/>
      <c r="G13" s="84"/>
      <c r="H13" s="84"/>
      <c r="I13" s="84"/>
    </row>
    <row r="14" spans="1:12" x14ac:dyDescent="0.25">
      <c r="C14" s="92"/>
      <c r="D14" s="138">
        <v>45762</v>
      </c>
      <c r="E14">
        <v>34769.71</v>
      </c>
      <c r="F14" s="84"/>
      <c r="G14" s="84"/>
      <c r="H14" s="84"/>
      <c r="I14" s="84"/>
    </row>
    <row r="15" spans="1:12" x14ac:dyDescent="0.25">
      <c r="C15" s="92"/>
      <c r="D15" s="138">
        <v>45758</v>
      </c>
      <c r="E15">
        <v>34024.5</v>
      </c>
      <c r="F15" s="84"/>
      <c r="G15" s="84"/>
      <c r="H15" s="84"/>
      <c r="I15" s="84"/>
    </row>
    <row r="16" spans="1:12" x14ac:dyDescent="0.25">
      <c r="C16" s="92"/>
      <c r="D16" s="138">
        <v>45756</v>
      </c>
      <c r="E16">
        <v>33384.559999999998</v>
      </c>
      <c r="F16" s="84"/>
      <c r="G16" s="84"/>
      <c r="H16" s="84"/>
      <c r="I16" s="84"/>
    </row>
    <row r="17" spans="1:9" x14ac:dyDescent="0.25">
      <c r="C17" s="92"/>
      <c r="D17" s="138">
        <v>45755</v>
      </c>
      <c r="E17">
        <v>33588.28</v>
      </c>
      <c r="F17" s="86"/>
      <c r="G17" s="86"/>
      <c r="H17" s="86"/>
      <c r="I17" s="86"/>
    </row>
    <row r="18" spans="1:9" x14ac:dyDescent="0.25">
      <c r="C18" s="92"/>
      <c r="D18" s="138">
        <v>45754</v>
      </c>
      <c r="E18">
        <v>33030.49</v>
      </c>
      <c r="F18" s="84"/>
      <c r="G18" s="84"/>
      <c r="H18" s="84"/>
      <c r="I18" s="84"/>
    </row>
    <row r="19" spans="1:9" x14ac:dyDescent="0.25">
      <c r="C19" s="92"/>
      <c r="D19" s="138">
        <v>45751</v>
      </c>
      <c r="E19">
        <v>34137.61</v>
      </c>
      <c r="F19" s="84"/>
      <c r="G19" s="84"/>
      <c r="H19" s="84"/>
      <c r="I19" s="84"/>
    </row>
    <row r="20" spans="1:9" x14ac:dyDescent="0.25">
      <c r="C20" s="92"/>
      <c r="D20" s="138">
        <v>45750</v>
      </c>
      <c r="E20">
        <v>34652.839999999997</v>
      </c>
      <c r="F20" s="86"/>
      <c r="G20" s="86"/>
      <c r="H20" s="86"/>
      <c r="I20" s="86"/>
    </row>
    <row r="21" spans="1:9" x14ac:dyDescent="0.25">
      <c r="C21" s="92"/>
      <c r="D21" s="138">
        <v>45749</v>
      </c>
      <c r="E21">
        <v>34775.4</v>
      </c>
      <c r="F21" s="84"/>
      <c r="G21" s="84"/>
      <c r="H21" s="84"/>
      <c r="I21" s="84"/>
    </row>
    <row r="22" spans="1:9" x14ac:dyDescent="0.25">
      <c r="C22" s="92"/>
      <c r="D22" s="138">
        <v>45748</v>
      </c>
      <c r="E22">
        <v>34527.01</v>
      </c>
      <c r="F22" s="84"/>
      <c r="G22" s="84"/>
      <c r="H22" s="84"/>
      <c r="I22" s="84"/>
    </row>
    <row r="23" spans="1:9" x14ac:dyDescent="0.25">
      <c r="C23" s="92"/>
      <c r="D23" s="138">
        <v>45744</v>
      </c>
      <c r="E23">
        <v>35054.080000000002</v>
      </c>
      <c r="F23" s="84"/>
      <c r="G23" s="84"/>
      <c r="H23" s="84"/>
      <c r="I23" s="84"/>
    </row>
    <row r="24" spans="1:9" x14ac:dyDescent="0.25">
      <c r="C24" s="92"/>
      <c r="D24" s="138">
        <v>45743</v>
      </c>
      <c r="E24">
        <v>35162.32</v>
      </c>
      <c r="F24" s="84"/>
      <c r="G24" s="84"/>
      <c r="H24" s="84"/>
      <c r="I24" s="84"/>
    </row>
    <row r="25" spans="1:9" x14ac:dyDescent="0.25">
      <c r="C25" s="92"/>
      <c r="D25" s="138">
        <v>45742</v>
      </c>
      <c r="E25">
        <v>35005.67</v>
      </c>
      <c r="F25" s="84"/>
      <c r="G25" s="84"/>
      <c r="H25" s="84"/>
      <c r="I25" s="84"/>
    </row>
    <row r="26" spans="1:9" x14ac:dyDescent="0.25">
      <c r="C26" s="92"/>
      <c r="D26" s="138">
        <v>45741</v>
      </c>
      <c r="E26">
        <v>35276.65</v>
      </c>
      <c r="F26" s="86"/>
      <c r="G26" s="86"/>
      <c r="H26" s="86"/>
      <c r="I26" s="86"/>
    </row>
    <row r="27" spans="1:9" x14ac:dyDescent="0.25">
      <c r="C27" s="92"/>
      <c r="D27" s="138">
        <v>45740</v>
      </c>
      <c r="E27">
        <v>35261.269999999997</v>
      </c>
      <c r="F27" s="84"/>
      <c r="G27" s="84"/>
      <c r="H27" s="84"/>
      <c r="I27" s="84"/>
    </row>
    <row r="28" spans="1:9" x14ac:dyDescent="0.25">
      <c r="C28" s="92"/>
      <c r="D28" s="138">
        <v>45737</v>
      </c>
      <c r="E28">
        <v>34802.300000000003</v>
      </c>
      <c r="F28" s="86"/>
      <c r="G28" s="86"/>
      <c r="H28" s="86"/>
      <c r="I28" s="86"/>
    </row>
    <row r="29" spans="1:9" x14ac:dyDescent="0.25">
      <c r="C29" s="92"/>
      <c r="D29" s="138">
        <v>45736</v>
      </c>
      <c r="E29">
        <v>34564.18</v>
      </c>
      <c r="F29" s="92"/>
      <c r="G29" s="92"/>
      <c r="H29" s="92"/>
      <c r="I29" s="92"/>
    </row>
    <row r="30" spans="1:9" x14ac:dyDescent="0.25">
      <c r="C30" s="92"/>
      <c r="D30" s="138">
        <v>45735</v>
      </c>
      <c r="E30">
        <v>34142.35</v>
      </c>
      <c r="F30" s="92"/>
      <c r="G30" s="92"/>
      <c r="H30" s="92"/>
      <c r="I30" s="92"/>
    </row>
    <row r="31" spans="1:9" ht="15.75" x14ac:dyDescent="0.25">
      <c r="A31" s="72"/>
      <c r="B31" s="72"/>
      <c r="C31" s="95"/>
      <c r="D31" s="138">
        <v>45734</v>
      </c>
      <c r="E31">
        <v>34033.06</v>
      </c>
      <c r="F31" s="95"/>
      <c r="G31" s="95"/>
      <c r="H31" s="95"/>
      <c r="I31" s="95"/>
    </row>
    <row r="32" spans="1:9" x14ac:dyDescent="0.25">
      <c r="C32" s="92"/>
      <c r="D32" s="138">
        <v>45733</v>
      </c>
      <c r="E32">
        <v>33547.879999999997</v>
      </c>
      <c r="F32" s="92"/>
      <c r="G32" s="92"/>
      <c r="H32" s="92"/>
      <c r="I32" s="96"/>
    </row>
    <row r="33" spans="3:9" x14ac:dyDescent="0.25">
      <c r="C33" s="92"/>
      <c r="D33" s="138">
        <v>45729</v>
      </c>
      <c r="E33">
        <v>33381.620000000003</v>
      </c>
      <c r="F33" s="88"/>
      <c r="G33" s="88"/>
      <c r="H33" s="88"/>
      <c r="I33" s="88"/>
    </row>
    <row r="34" spans="3:9" x14ac:dyDescent="0.25">
      <c r="C34" s="92"/>
      <c r="D34" s="138">
        <v>45728</v>
      </c>
      <c r="E34">
        <v>33490.870000000003</v>
      </c>
      <c r="F34" s="92"/>
      <c r="G34" s="92"/>
      <c r="H34" s="92"/>
      <c r="I34" s="96"/>
    </row>
    <row r="35" spans="3:9" x14ac:dyDescent="0.25">
      <c r="C35" s="92"/>
      <c r="D35" s="138">
        <v>45727</v>
      </c>
      <c r="E35">
        <v>33531.68</v>
      </c>
      <c r="F35" s="97"/>
      <c r="G35" s="97"/>
      <c r="H35" s="97"/>
      <c r="I35" s="96"/>
    </row>
    <row r="36" spans="3:9" x14ac:dyDescent="0.25">
      <c r="C36" s="92"/>
      <c r="D36" s="138">
        <v>45726</v>
      </c>
      <c r="E36">
        <v>33473.919999999998</v>
      </c>
      <c r="F36" s="97"/>
      <c r="G36" s="97"/>
      <c r="H36" s="97"/>
      <c r="I36" s="96"/>
    </row>
    <row r="37" spans="3:9" x14ac:dyDescent="0.25">
      <c r="C37" s="92"/>
      <c r="D37" s="138">
        <v>45723</v>
      </c>
      <c r="E37">
        <v>33611.300000000003</v>
      </c>
      <c r="F37" s="97"/>
      <c r="G37" s="97"/>
      <c r="H37" s="97"/>
      <c r="I37" s="96"/>
    </row>
    <row r="38" spans="3:9" x14ac:dyDescent="0.25">
      <c r="C38" s="92"/>
      <c r="D38" s="138">
        <v>45722</v>
      </c>
      <c r="E38">
        <v>33599.300000000003</v>
      </c>
      <c r="F38" s="97"/>
      <c r="G38" s="97"/>
      <c r="H38" s="97"/>
      <c r="I38" s="96"/>
    </row>
    <row r="39" spans="3:9" x14ac:dyDescent="0.25">
      <c r="C39" s="92"/>
      <c r="D39" s="138">
        <v>45721</v>
      </c>
      <c r="E39">
        <v>33290.199999999997</v>
      </c>
      <c r="F39" s="97"/>
      <c r="G39" s="97"/>
      <c r="H39" s="97"/>
      <c r="I39" s="96"/>
    </row>
    <row r="40" spans="3:9" x14ac:dyDescent="0.25">
      <c r="C40" s="92"/>
      <c r="D40" s="138">
        <v>45720</v>
      </c>
      <c r="E40">
        <v>32910.629999999997</v>
      </c>
      <c r="F40" s="97"/>
      <c r="G40" s="97"/>
      <c r="H40" s="97"/>
      <c r="I40" s="96"/>
    </row>
    <row r="41" spans="3:9" x14ac:dyDescent="0.25">
      <c r="C41" s="92"/>
      <c r="D41" s="138">
        <v>45719</v>
      </c>
      <c r="E41">
        <v>32965.25</v>
      </c>
      <c r="F41" s="97"/>
      <c r="G41" s="97"/>
      <c r="H41" s="97"/>
      <c r="I41" s="96"/>
    </row>
    <row r="42" spans="3:9" x14ac:dyDescent="0.25">
      <c r="C42" s="92"/>
      <c r="D42" s="138">
        <v>45716</v>
      </c>
      <c r="E42">
        <v>32973.360000000001</v>
      </c>
      <c r="F42" s="97"/>
      <c r="G42" s="97"/>
      <c r="H42" s="97"/>
      <c r="I42" s="96"/>
    </row>
    <row r="43" spans="3:9" x14ac:dyDescent="0.25">
      <c r="C43" s="92"/>
      <c r="D43" s="138">
        <v>45715</v>
      </c>
      <c r="E43">
        <v>33599.79</v>
      </c>
      <c r="F43" s="97"/>
      <c r="G43" s="97"/>
      <c r="H43" s="97"/>
      <c r="I43" s="96"/>
    </row>
    <row r="44" spans="3:9" x14ac:dyDescent="0.25">
      <c r="C44" s="92"/>
      <c r="D44" s="138">
        <v>45713</v>
      </c>
      <c r="E44">
        <v>33603.550000000003</v>
      </c>
      <c r="F44" s="97"/>
      <c r="G44" s="97"/>
      <c r="H44" s="97"/>
      <c r="I44" s="96"/>
    </row>
    <row r="45" spans="3:9" x14ac:dyDescent="0.25">
      <c r="C45" s="92"/>
      <c r="D45" s="138">
        <v>45712</v>
      </c>
      <c r="E45">
        <v>33612.18</v>
      </c>
      <c r="F45" s="97"/>
      <c r="G45" s="97"/>
      <c r="H45" s="97"/>
      <c r="I45" s="96"/>
    </row>
    <row r="46" spans="3:9" x14ac:dyDescent="0.25">
      <c r="C46" s="92"/>
      <c r="D46" s="138">
        <v>45709</v>
      </c>
      <c r="E46">
        <v>33973.61</v>
      </c>
      <c r="F46" s="97"/>
      <c r="G46" s="97"/>
      <c r="H46" s="97"/>
      <c r="I46" s="96"/>
    </row>
    <row r="47" spans="3:9" x14ac:dyDescent="0.25">
      <c r="C47" s="92"/>
      <c r="D47" s="138">
        <v>45708</v>
      </c>
      <c r="E47">
        <v>34148.36</v>
      </c>
      <c r="F47" s="97"/>
      <c r="G47" s="97"/>
      <c r="H47" s="97"/>
      <c r="I47" s="96"/>
    </row>
    <row r="48" spans="3:9" x14ac:dyDescent="0.25">
      <c r="C48" s="92"/>
      <c r="D48" s="138">
        <v>45707</v>
      </c>
      <c r="E48">
        <v>34177.82</v>
      </c>
      <c r="F48" s="97"/>
      <c r="G48" s="97"/>
      <c r="H48" s="97"/>
      <c r="I48" s="96"/>
    </row>
    <row r="49" spans="3:9" x14ac:dyDescent="0.25">
      <c r="C49" s="92"/>
      <c r="D49" s="138">
        <v>45706</v>
      </c>
      <c r="E49">
        <v>34196.32</v>
      </c>
      <c r="F49" s="90"/>
      <c r="G49" s="90"/>
      <c r="H49" s="90"/>
      <c r="I49" s="91"/>
    </row>
    <row r="50" spans="3:9" x14ac:dyDescent="0.25">
      <c r="C50" s="92"/>
      <c r="D50" s="138">
        <v>45705</v>
      </c>
      <c r="E50">
        <v>34217.480000000003</v>
      </c>
      <c r="F50" s="97"/>
      <c r="G50" s="97"/>
      <c r="H50" s="97"/>
      <c r="I50" s="96"/>
    </row>
    <row r="51" spans="3:9" x14ac:dyDescent="0.25">
      <c r="C51" s="92"/>
      <c r="D51" s="138">
        <v>45702</v>
      </c>
      <c r="E51">
        <v>34172.379999999997</v>
      </c>
      <c r="F51" s="97"/>
      <c r="G51" s="97"/>
      <c r="H51" s="97"/>
      <c r="I51" s="96"/>
    </row>
    <row r="52" spans="3:9" x14ac:dyDescent="0.25">
      <c r="C52" s="92"/>
      <c r="D52" s="138">
        <v>45701</v>
      </c>
      <c r="E52">
        <v>34324.31</v>
      </c>
      <c r="F52" s="97"/>
      <c r="G52" s="97"/>
      <c r="H52" s="97"/>
      <c r="I52" s="96"/>
    </row>
    <row r="53" spans="3:9" x14ac:dyDescent="0.25">
      <c r="C53" s="92"/>
      <c r="D53" s="138">
        <v>45700</v>
      </c>
      <c r="E53">
        <v>34344.93</v>
      </c>
      <c r="F53" s="97"/>
      <c r="G53" s="97"/>
      <c r="H53" s="97"/>
      <c r="I53" s="96"/>
    </row>
    <row r="54" spans="3:9" x14ac:dyDescent="0.25">
      <c r="C54" s="92"/>
      <c r="D54" s="138">
        <v>45699</v>
      </c>
      <c r="E54">
        <v>34364.39</v>
      </c>
      <c r="F54" s="97"/>
      <c r="G54" s="97"/>
      <c r="H54" s="97"/>
      <c r="I54" s="96"/>
    </row>
    <row r="55" spans="3:9" x14ac:dyDescent="0.25">
      <c r="C55" s="92"/>
      <c r="D55" s="138">
        <v>45698</v>
      </c>
      <c r="E55">
        <v>34825.870000000003</v>
      </c>
      <c r="F55" s="97"/>
      <c r="G55" s="97"/>
      <c r="H55" s="97"/>
      <c r="I55" s="96"/>
    </row>
    <row r="56" spans="3:9" x14ac:dyDescent="0.25">
      <c r="C56" s="92"/>
      <c r="D56" s="138">
        <v>45695</v>
      </c>
      <c r="E56">
        <v>35091.5</v>
      </c>
      <c r="F56" s="97"/>
      <c r="G56" s="97"/>
      <c r="H56" s="97"/>
      <c r="I56" s="96"/>
    </row>
    <row r="57" spans="3:9" x14ac:dyDescent="0.25">
      <c r="C57" s="92"/>
      <c r="D57" s="138">
        <v>45694</v>
      </c>
      <c r="E57">
        <v>35143.08</v>
      </c>
      <c r="F57" s="97"/>
      <c r="G57" s="97"/>
      <c r="H57" s="97"/>
      <c r="I57" s="96"/>
    </row>
    <row r="58" spans="3:9" x14ac:dyDescent="0.25">
      <c r="C58" s="92"/>
      <c r="D58" s="138">
        <v>45693</v>
      </c>
      <c r="E58">
        <v>35277.699999999997</v>
      </c>
      <c r="F58" s="97"/>
      <c r="G58" s="97"/>
      <c r="H58" s="97"/>
      <c r="I58" s="96"/>
    </row>
    <row r="59" spans="3:9" x14ac:dyDescent="0.25">
      <c r="C59" s="92"/>
      <c r="D59" s="138">
        <v>45692</v>
      </c>
      <c r="E59">
        <v>35341.64</v>
      </c>
      <c r="F59" s="97"/>
      <c r="G59" s="97"/>
      <c r="H59" s="97"/>
      <c r="I59" s="96"/>
    </row>
    <row r="60" spans="3:9" x14ac:dyDescent="0.25">
      <c r="C60" s="92"/>
      <c r="D60" s="138">
        <v>45691</v>
      </c>
      <c r="E60">
        <v>34778.660000000003</v>
      </c>
      <c r="F60" s="90"/>
      <c r="G60" s="90"/>
      <c r="H60" s="90"/>
      <c r="I60" s="91"/>
    </row>
    <row r="61" spans="3:9" x14ac:dyDescent="0.25">
      <c r="C61" s="92"/>
      <c r="D61" s="138">
        <v>45689</v>
      </c>
      <c r="E61">
        <v>34958.89</v>
      </c>
      <c r="F61" s="97"/>
      <c r="G61" s="97"/>
      <c r="H61" s="97"/>
      <c r="I61" s="96"/>
    </row>
    <row r="62" spans="3:9" x14ac:dyDescent="0.25">
      <c r="C62" s="92"/>
      <c r="D62" s="138">
        <v>45688</v>
      </c>
      <c r="E62">
        <v>34998.01</v>
      </c>
      <c r="F62" s="90"/>
      <c r="G62" s="90"/>
      <c r="H62" s="90"/>
      <c r="I62" s="91"/>
    </row>
    <row r="63" spans="3:9" x14ac:dyDescent="0.25">
      <c r="C63" s="92"/>
      <c r="D63" s="138">
        <v>45687</v>
      </c>
      <c r="E63">
        <v>34603.4</v>
      </c>
      <c r="F63" s="90"/>
      <c r="G63" s="90"/>
      <c r="H63" s="90"/>
      <c r="I63" s="91"/>
    </row>
    <row r="64" spans="3:9" x14ac:dyDescent="0.25">
      <c r="C64" s="92"/>
      <c r="D64" s="138">
        <v>45686</v>
      </c>
      <c r="E64">
        <v>34474.800000000003</v>
      </c>
      <c r="F64" s="97"/>
      <c r="G64" s="97"/>
      <c r="H64" s="97"/>
      <c r="I64" s="96"/>
    </row>
    <row r="65" spans="3:9" x14ac:dyDescent="0.25">
      <c r="C65" s="92"/>
      <c r="D65" s="138">
        <v>45685</v>
      </c>
      <c r="E65">
        <v>34165.22</v>
      </c>
      <c r="F65" s="97"/>
      <c r="G65" s="97"/>
      <c r="H65" s="97"/>
      <c r="I65" s="96"/>
    </row>
    <row r="66" spans="3:9" x14ac:dyDescent="0.25">
      <c r="C66" s="92"/>
      <c r="D66" s="138">
        <v>45684</v>
      </c>
      <c r="E66">
        <v>33974.58</v>
      </c>
      <c r="F66" s="97"/>
      <c r="G66" s="97"/>
      <c r="H66" s="97"/>
      <c r="I66" s="96"/>
    </row>
    <row r="67" spans="3:9" x14ac:dyDescent="0.25">
      <c r="C67" s="92"/>
      <c r="D67" s="138">
        <v>45681</v>
      </c>
      <c r="E67">
        <v>34366.04</v>
      </c>
      <c r="F67" s="97"/>
      <c r="G67" s="97"/>
      <c r="H67" s="97"/>
      <c r="I67" s="96"/>
    </row>
    <row r="68" spans="3:9" x14ac:dyDescent="0.25">
      <c r="C68" s="92"/>
      <c r="D68" s="138">
        <v>45680</v>
      </c>
      <c r="E68">
        <v>34534.46</v>
      </c>
      <c r="F68" s="97"/>
      <c r="G68" s="97"/>
      <c r="H68" s="97"/>
      <c r="I68" s="96"/>
    </row>
    <row r="69" spans="3:9" x14ac:dyDescent="0.25">
      <c r="C69" s="92"/>
      <c r="D69" s="138">
        <v>45679</v>
      </c>
      <c r="E69">
        <v>34460.03</v>
      </c>
      <c r="F69" s="97"/>
      <c r="G69" s="97"/>
      <c r="H69" s="97"/>
      <c r="I69" s="96"/>
    </row>
    <row r="70" spans="3:9" x14ac:dyDescent="0.25">
      <c r="C70" s="92"/>
      <c r="D70" s="138">
        <v>45678</v>
      </c>
      <c r="E70">
        <v>34265.550000000003</v>
      </c>
      <c r="F70" s="90"/>
      <c r="G70" s="90"/>
      <c r="H70" s="90"/>
      <c r="I70" s="91"/>
    </row>
    <row r="71" spans="3:9" x14ac:dyDescent="0.25">
      <c r="C71" s="92"/>
      <c r="D71" s="138">
        <v>45677</v>
      </c>
      <c r="E71">
        <v>34741.89</v>
      </c>
      <c r="F71" s="97"/>
      <c r="G71" s="97"/>
      <c r="H71" s="97"/>
      <c r="I71" s="96"/>
    </row>
    <row r="72" spans="3:9" x14ac:dyDescent="0.25">
      <c r="C72" s="92"/>
      <c r="D72" s="138">
        <v>45674</v>
      </c>
      <c r="E72">
        <v>34531.21</v>
      </c>
      <c r="F72" s="97"/>
      <c r="G72" s="97"/>
      <c r="H72" s="97"/>
      <c r="I72" s="96"/>
    </row>
    <row r="73" spans="3:9" x14ac:dyDescent="0.25">
      <c r="C73" s="92"/>
      <c r="D73" s="138">
        <v>45673</v>
      </c>
      <c r="E73">
        <v>34660.67</v>
      </c>
      <c r="F73" s="97"/>
      <c r="G73" s="97"/>
      <c r="H73" s="97"/>
      <c r="I73" s="96"/>
    </row>
    <row r="74" spans="3:9" x14ac:dyDescent="0.25">
      <c r="C74" s="92"/>
      <c r="D74" s="138">
        <v>45672</v>
      </c>
      <c r="E74">
        <v>34514.06</v>
      </c>
      <c r="F74" s="97"/>
      <c r="G74" s="97"/>
      <c r="H74" s="97"/>
      <c r="I74" s="96"/>
    </row>
    <row r="75" spans="3:9" x14ac:dyDescent="0.25">
      <c r="C75" s="92"/>
      <c r="D75" s="138">
        <v>45671</v>
      </c>
      <c r="E75">
        <v>34458.870000000003</v>
      </c>
      <c r="F75" s="97"/>
      <c r="G75" s="97"/>
      <c r="H75" s="97"/>
      <c r="I75" s="96"/>
    </row>
    <row r="76" spans="3:9" x14ac:dyDescent="0.25">
      <c r="C76" s="92"/>
      <c r="D76" s="138">
        <v>45670</v>
      </c>
      <c r="E76">
        <v>34324.870000000003</v>
      </c>
      <c r="F76" s="97"/>
      <c r="G76" s="97"/>
      <c r="H76" s="97"/>
      <c r="I76" s="96"/>
    </row>
    <row r="77" spans="3:9" x14ac:dyDescent="0.25">
      <c r="C77" s="92"/>
      <c r="D77" s="138">
        <v>45667</v>
      </c>
      <c r="E77">
        <v>34838.660000000003</v>
      </c>
      <c r="F77" s="97"/>
      <c r="G77" s="97"/>
      <c r="H77" s="97"/>
      <c r="I77" s="96"/>
    </row>
    <row r="78" spans="3:9" x14ac:dyDescent="0.25">
      <c r="C78" s="92"/>
      <c r="D78" s="138">
        <v>45666</v>
      </c>
      <c r="E78">
        <v>34979.910000000003</v>
      </c>
      <c r="F78" s="97"/>
      <c r="G78" s="97"/>
      <c r="H78" s="97"/>
      <c r="I78" s="96"/>
    </row>
    <row r="79" spans="3:9" x14ac:dyDescent="0.25">
      <c r="C79" s="92"/>
      <c r="D79" s="138">
        <v>45665</v>
      </c>
      <c r="E79">
        <v>35221.43</v>
      </c>
      <c r="F79" s="97"/>
      <c r="G79" s="97"/>
      <c r="H79" s="97"/>
      <c r="I79" s="96"/>
    </row>
    <row r="80" spans="3:9" x14ac:dyDescent="0.25">
      <c r="C80" s="92"/>
      <c r="D80" s="138">
        <v>45664</v>
      </c>
      <c r="E80">
        <v>35249.64</v>
      </c>
      <c r="F80" s="90"/>
      <c r="G80" s="90"/>
      <c r="H80" s="90"/>
      <c r="I80" s="91"/>
    </row>
    <row r="81" spans="3:10" x14ac:dyDescent="0.25">
      <c r="C81" s="92"/>
      <c r="D81" s="138">
        <v>45663</v>
      </c>
      <c r="E81">
        <v>35113.040000000001</v>
      </c>
      <c r="F81" s="97"/>
      <c r="G81" s="97"/>
      <c r="H81" s="97"/>
      <c r="I81" s="96"/>
    </row>
    <row r="82" spans="3:10" x14ac:dyDescent="0.25">
      <c r="C82" s="92"/>
      <c r="D82" s="138">
        <v>45660</v>
      </c>
      <c r="E82">
        <v>35690.959999999999</v>
      </c>
      <c r="F82" s="97"/>
      <c r="G82" s="97"/>
      <c r="H82" s="97"/>
      <c r="I82" s="96"/>
    </row>
    <row r="83" spans="3:10" x14ac:dyDescent="0.25">
      <c r="C83" s="92"/>
      <c r="D83" s="138">
        <v>45659</v>
      </c>
      <c r="E83">
        <v>35964.43</v>
      </c>
      <c r="F83" s="97"/>
      <c r="G83" s="97"/>
      <c r="H83" s="97"/>
      <c r="I83" s="96"/>
    </row>
    <row r="84" spans="3:10" x14ac:dyDescent="0.25">
      <c r="C84" s="92"/>
      <c r="D84" s="138">
        <v>45658</v>
      </c>
      <c r="E84">
        <v>35301.629999999997</v>
      </c>
      <c r="F84" s="97"/>
      <c r="G84" s="97"/>
      <c r="H84" s="97"/>
      <c r="I84" s="96"/>
    </row>
    <row r="85" spans="3:10" x14ac:dyDescent="0.25">
      <c r="C85" s="92"/>
      <c r="D85" s="138">
        <v>45657</v>
      </c>
      <c r="E85">
        <v>35155.769999999997</v>
      </c>
      <c r="F85" s="97"/>
      <c r="G85" s="97"/>
      <c r="H85" s="97"/>
      <c r="I85" s="96"/>
    </row>
    <row r="86" spans="3:10" x14ac:dyDescent="0.25">
      <c r="C86" s="92"/>
      <c r="D86" s="138">
        <v>45656</v>
      </c>
      <c r="E86">
        <v>35155.94</v>
      </c>
      <c r="F86" s="97"/>
      <c r="G86" s="97"/>
      <c r="H86" s="97"/>
      <c r="I86" s="96"/>
    </row>
    <row r="87" spans="3:10" x14ac:dyDescent="0.25">
      <c r="C87" s="92"/>
      <c r="D87" s="138">
        <v>45653</v>
      </c>
      <c r="E87">
        <v>35406.5</v>
      </c>
      <c r="F87" s="97"/>
      <c r="G87" s="97"/>
      <c r="H87" s="97"/>
      <c r="I87" s="96"/>
    </row>
    <row r="88" spans="3:10" x14ac:dyDescent="0.25">
      <c r="C88" s="92"/>
      <c r="D88" s="138">
        <v>45652</v>
      </c>
      <c r="E88">
        <v>35312.5</v>
      </c>
      <c r="F88" s="97"/>
      <c r="G88" s="97"/>
      <c r="H88" s="97"/>
      <c r="I88" s="96"/>
    </row>
    <row r="89" spans="3:10" x14ac:dyDescent="0.25">
      <c r="C89" s="92"/>
      <c r="D89" s="138">
        <v>45650</v>
      </c>
      <c r="E89">
        <v>35278.97</v>
      </c>
      <c r="F89" s="97"/>
      <c r="G89" s="97"/>
      <c r="H89" s="97"/>
      <c r="I89" s="96"/>
    </row>
    <row r="90" spans="3:10" x14ac:dyDescent="0.25">
      <c r="C90" s="92"/>
      <c r="D90" s="138">
        <v>45649</v>
      </c>
      <c r="E90">
        <v>35317.360000000001</v>
      </c>
      <c r="F90" s="97"/>
      <c r="G90" s="97"/>
      <c r="H90" s="97"/>
      <c r="I90" s="96"/>
    </row>
    <row r="91" spans="3:10" x14ac:dyDescent="0.25">
      <c r="C91" s="92"/>
      <c r="D91" s="138">
        <v>45646</v>
      </c>
      <c r="E91">
        <v>35070.589999999997</v>
      </c>
      <c r="F91" s="97"/>
      <c r="G91" s="97"/>
      <c r="H91" s="97"/>
      <c r="I91" s="96"/>
    </row>
    <row r="92" spans="3:10" x14ac:dyDescent="0.25">
      <c r="C92" s="92"/>
      <c r="D92" s="138">
        <v>45645</v>
      </c>
      <c r="E92">
        <v>35612.11</v>
      </c>
      <c r="F92" s="97"/>
      <c r="G92" s="97"/>
      <c r="H92" s="97"/>
      <c r="I92" s="96"/>
    </row>
    <row r="93" spans="3:10" x14ac:dyDescent="0.25">
      <c r="C93" s="92"/>
      <c r="D93" s="138">
        <v>45644</v>
      </c>
      <c r="E93">
        <v>35979.58</v>
      </c>
      <c r="F93" s="90"/>
      <c r="G93" s="90"/>
      <c r="H93" s="90"/>
      <c r="I93" s="91"/>
    </row>
    <row r="94" spans="3:10" x14ac:dyDescent="0.25">
      <c r="C94" s="92"/>
      <c r="D94" s="138">
        <v>45643</v>
      </c>
      <c r="E94">
        <v>36183.53</v>
      </c>
      <c r="F94" s="90"/>
      <c r="G94" s="90"/>
      <c r="H94" s="90"/>
      <c r="I94" s="91"/>
    </row>
    <row r="95" spans="3:10" x14ac:dyDescent="0.25">
      <c r="C95" s="92"/>
      <c r="D95" s="138">
        <v>45642</v>
      </c>
      <c r="E95">
        <v>36677.480000000003</v>
      </c>
      <c r="F95" s="97"/>
      <c r="G95" s="97"/>
      <c r="H95" s="97"/>
      <c r="I95" s="96"/>
      <c r="J95" s="59"/>
    </row>
    <row r="96" spans="3:10" x14ac:dyDescent="0.25">
      <c r="C96" s="92"/>
      <c r="D96" s="138">
        <v>45639</v>
      </c>
      <c r="E96">
        <v>36826.269999999997</v>
      </c>
      <c r="F96" s="92"/>
      <c r="G96" s="92"/>
      <c r="H96" s="92"/>
      <c r="I96" s="92"/>
    </row>
    <row r="97" spans="1:10" x14ac:dyDescent="0.25">
      <c r="C97" s="92"/>
      <c r="D97" s="138">
        <v>45638</v>
      </c>
      <c r="E97">
        <v>36499.75</v>
      </c>
      <c r="F97" s="92"/>
      <c r="G97" s="92"/>
      <c r="H97" s="92"/>
      <c r="I97" s="92"/>
    </row>
    <row r="98" spans="1:10" x14ac:dyDescent="0.25">
      <c r="C98" s="92"/>
      <c r="D98" s="138">
        <v>45637</v>
      </c>
      <c r="E98">
        <v>36638.14</v>
      </c>
      <c r="F98" s="92"/>
      <c r="G98" s="92"/>
      <c r="H98" s="92"/>
      <c r="I98" s="92"/>
    </row>
    <row r="99" spans="1:10" ht="15.75" x14ac:dyDescent="0.25">
      <c r="A99" s="5"/>
      <c r="B99" s="5"/>
      <c r="C99" s="19"/>
      <c r="D99" s="138">
        <v>45636</v>
      </c>
      <c r="E99">
        <v>36590.980000000003</v>
      </c>
      <c r="F99" s="19"/>
      <c r="G99" s="19"/>
      <c r="H99" s="19"/>
      <c r="I99" s="19"/>
    </row>
    <row r="100" spans="1:10" x14ac:dyDescent="0.25">
      <c r="C100" s="92"/>
      <c r="D100" s="138">
        <v>45635</v>
      </c>
      <c r="E100">
        <v>36604.29</v>
      </c>
      <c r="F100" s="92"/>
      <c r="G100" s="92"/>
      <c r="H100" s="92"/>
      <c r="I100" s="92"/>
    </row>
    <row r="101" spans="1:10" x14ac:dyDescent="0.25">
      <c r="C101" s="92"/>
      <c r="D101" s="138">
        <v>45632</v>
      </c>
      <c r="E101">
        <v>36691.68</v>
      </c>
      <c r="F101" s="92"/>
      <c r="G101" s="92"/>
      <c r="H101" s="92"/>
      <c r="I101" s="92"/>
    </row>
    <row r="102" spans="1:10" x14ac:dyDescent="0.25">
      <c r="C102" s="92"/>
      <c r="D102" s="138">
        <v>45631</v>
      </c>
      <c r="E102">
        <v>36737.18</v>
      </c>
      <c r="F102" s="96"/>
      <c r="G102" s="96"/>
      <c r="H102" s="96"/>
      <c r="I102" s="96"/>
    </row>
    <row r="103" spans="1:10" x14ac:dyDescent="0.25">
      <c r="C103" s="92"/>
      <c r="D103" s="138">
        <v>45630</v>
      </c>
      <c r="E103">
        <v>36378.910000000003</v>
      </c>
      <c r="F103" s="92"/>
      <c r="G103" s="92"/>
      <c r="H103" s="92"/>
      <c r="I103" s="92"/>
    </row>
    <row r="104" spans="1:10" x14ac:dyDescent="0.25">
      <c r="C104" s="92"/>
      <c r="D104" s="138">
        <v>45629</v>
      </c>
      <c r="E104">
        <v>36363.629999999997</v>
      </c>
      <c r="F104" s="96"/>
      <c r="G104" s="96"/>
      <c r="H104" s="96"/>
      <c r="I104" s="96"/>
    </row>
    <row r="105" spans="1:10" x14ac:dyDescent="0.25">
      <c r="C105" s="92"/>
      <c r="D105" s="138">
        <v>45628</v>
      </c>
      <c r="E105">
        <v>36094.39</v>
      </c>
      <c r="F105" s="96"/>
      <c r="G105" s="96"/>
      <c r="H105" s="92"/>
      <c r="I105" s="92"/>
    </row>
    <row r="106" spans="1:10" x14ac:dyDescent="0.25">
      <c r="C106" s="92"/>
      <c r="D106" s="138">
        <v>45625</v>
      </c>
      <c r="E106">
        <v>35878.82</v>
      </c>
      <c r="F106" s="92"/>
      <c r="G106" s="92"/>
      <c r="H106" s="92"/>
      <c r="I106" s="92"/>
      <c r="J106" s="59"/>
    </row>
    <row r="107" spans="1:10" x14ac:dyDescent="0.25">
      <c r="C107" s="92"/>
      <c r="D107" s="138">
        <v>45624</v>
      </c>
      <c r="E107">
        <v>35556.269999999997</v>
      </c>
      <c r="F107" s="92"/>
      <c r="G107" s="92"/>
      <c r="H107" s="92"/>
      <c r="I107" s="92"/>
    </row>
    <row r="108" spans="1:10" x14ac:dyDescent="0.25">
      <c r="C108" s="92"/>
      <c r="D108" s="138">
        <v>45623</v>
      </c>
      <c r="E108">
        <v>36092.65</v>
      </c>
      <c r="F108" s="92"/>
      <c r="G108" s="92"/>
      <c r="H108" s="92"/>
      <c r="I108" s="92"/>
    </row>
    <row r="109" spans="1:10" x14ac:dyDescent="0.25">
      <c r="C109" s="92"/>
      <c r="D109" s="138">
        <v>45622</v>
      </c>
      <c r="E109">
        <v>35973.11</v>
      </c>
      <c r="F109" s="92"/>
      <c r="G109" s="92"/>
      <c r="H109" s="92"/>
      <c r="I109" s="92"/>
    </row>
    <row r="110" spans="1:10" x14ac:dyDescent="0.25">
      <c r="C110" s="92"/>
      <c r="D110" s="138">
        <v>45621</v>
      </c>
      <c r="E110">
        <v>36013.85</v>
      </c>
      <c r="F110" s="92"/>
      <c r="G110" s="92"/>
      <c r="H110" s="92"/>
      <c r="I110" s="92"/>
    </row>
    <row r="111" spans="1:10" x14ac:dyDescent="0.25">
      <c r="C111" s="92"/>
      <c r="D111" s="138">
        <v>45618</v>
      </c>
      <c r="E111">
        <v>35546.01</v>
      </c>
      <c r="F111" s="92"/>
      <c r="G111" s="92"/>
      <c r="H111" s="92"/>
      <c r="I111" s="92"/>
    </row>
    <row r="112" spans="1:10" x14ac:dyDescent="0.25">
      <c r="C112" s="92"/>
      <c r="D112" s="138">
        <v>45617</v>
      </c>
      <c r="E112">
        <v>34717.32</v>
      </c>
      <c r="F112" s="92"/>
      <c r="G112" s="92"/>
      <c r="H112" s="92"/>
      <c r="I112" s="92"/>
    </row>
    <row r="113" spans="3:9" x14ac:dyDescent="0.25">
      <c r="C113" s="92"/>
      <c r="D113" s="138">
        <v>45615</v>
      </c>
      <c r="E113">
        <v>34968</v>
      </c>
      <c r="F113" s="92"/>
      <c r="G113" s="92"/>
      <c r="H113" s="92"/>
      <c r="I113" s="92"/>
    </row>
    <row r="114" spans="3:9" x14ac:dyDescent="0.25">
      <c r="C114" s="92"/>
      <c r="D114" s="138">
        <v>45614</v>
      </c>
      <c r="E114">
        <v>34871.21</v>
      </c>
      <c r="F114" s="92"/>
      <c r="G114" s="92"/>
      <c r="H114" s="92"/>
      <c r="I114" s="96"/>
    </row>
    <row r="115" spans="3:9" x14ac:dyDescent="0.25">
      <c r="C115" s="92"/>
      <c r="D115" s="138">
        <v>45610</v>
      </c>
      <c r="E115">
        <v>34988.480000000003</v>
      </c>
      <c r="F115" s="92"/>
      <c r="G115" s="92"/>
      <c r="H115" s="96"/>
      <c r="I115" s="96"/>
    </row>
    <row r="116" spans="3:9" x14ac:dyDescent="0.25">
      <c r="C116" s="92"/>
      <c r="D116" s="138">
        <v>45609</v>
      </c>
      <c r="E116">
        <v>35020.93</v>
      </c>
      <c r="F116" s="92"/>
      <c r="G116" s="92"/>
      <c r="H116" s="92"/>
      <c r="I116" s="96"/>
    </row>
    <row r="117" spans="3:9" x14ac:dyDescent="0.25">
      <c r="C117" s="92"/>
      <c r="D117" s="138">
        <v>45608</v>
      </c>
      <c r="E117">
        <v>35503.11</v>
      </c>
      <c r="F117" s="92"/>
      <c r="G117" s="92"/>
      <c r="H117" s="92"/>
      <c r="I117" s="92"/>
    </row>
    <row r="118" spans="3:9" x14ac:dyDescent="0.25">
      <c r="C118" s="92"/>
      <c r="D118" s="138">
        <v>45607</v>
      </c>
      <c r="E118">
        <v>35886.42</v>
      </c>
      <c r="F118" s="92"/>
      <c r="G118" s="92"/>
      <c r="H118" s="92"/>
      <c r="I118" s="96"/>
    </row>
    <row r="119" spans="3:9" x14ac:dyDescent="0.25">
      <c r="C119" s="92"/>
      <c r="D119" s="138">
        <v>45604</v>
      </c>
      <c r="E119">
        <v>35896.71</v>
      </c>
      <c r="F119" s="91"/>
      <c r="G119" s="91"/>
      <c r="H119" s="91"/>
      <c r="I119" s="91"/>
    </row>
    <row r="120" spans="3:9" x14ac:dyDescent="0.25">
      <c r="C120" s="92"/>
      <c r="D120" s="138">
        <v>45603</v>
      </c>
      <c r="E120">
        <v>35972.74</v>
      </c>
      <c r="F120" s="91"/>
      <c r="G120" s="91"/>
      <c r="H120" s="91"/>
      <c r="I120" s="91"/>
    </row>
    <row r="121" spans="3:9" x14ac:dyDescent="0.25">
      <c r="C121" s="92"/>
      <c r="D121" s="138">
        <v>45602</v>
      </c>
      <c r="E121">
        <v>36393.85</v>
      </c>
      <c r="F121" s="92"/>
      <c r="G121" s="92"/>
      <c r="H121" s="92"/>
      <c r="I121" s="92"/>
    </row>
    <row r="122" spans="3:9" x14ac:dyDescent="0.25">
      <c r="C122" s="92"/>
      <c r="D122" s="138">
        <v>45601</v>
      </c>
      <c r="E122">
        <v>35982.959999999999</v>
      </c>
      <c r="F122" s="96"/>
      <c r="G122" s="92"/>
      <c r="H122" s="96"/>
      <c r="I122" s="96"/>
    </row>
    <row r="123" spans="3:9" x14ac:dyDescent="0.25">
      <c r="C123" s="92"/>
      <c r="D123" s="138">
        <v>45600</v>
      </c>
      <c r="E123">
        <v>35659.07</v>
      </c>
      <c r="F123" s="96"/>
      <c r="G123" s="92"/>
      <c r="H123" s="92"/>
      <c r="I123" s="92"/>
    </row>
    <row r="124" spans="3:9" x14ac:dyDescent="0.25">
      <c r="C124" s="92"/>
      <c r="D124" s="138">
        <v>45597</v>
      </c>
      <c r="E124">
        <v>36118.25</v>
      </c>
      <c r="F124" s="96"/>
      <c r="G124" s="96"/>
      <c r="H124" s="96"/>
      <c r="I124" s="96"/>
    </row>
    <row r="125" spans="3:9" x14ac:dyDescent="0.25">
      <c r="C125" s="92"/>
      <c r="D125" s="138">
        <v>45596</v>
      </c>
      <c r="E125">
        <v>35971.14</v>
      </c>
      <c r="F125" s="92"/>
      <c r="G125" s="96"/>
      <c r="H125" s="96"/>
      <c r="I125" s="92"/>
    </row>
    <row r="126" spans="3:9" x14ac:dyDescent="0.25">
      <c r="C126" s="92"/>
      <c r="D126" s="138">
        <v>45595</v>
      </c>
      <c r="E126">
        <v>36165.43</v>
      </c>
      <c r="F126" s="92"/>
      <c r="G126" s="92"/>
      <c r="H126" s="92"/>
      <c r="I126" s="92"/>
    </row>
    <row r="127" spans="3:9" x14ac:dyDescent="0.25">
      <c r="C127" s="92"/>
      <c r="D127" s="138">
        <v>45594</v>
      </c>
      <c r="E127">
        <v>36352.629999999997</v>
      </c>
      <c r="F127" s="91"/>
      <c r="G127" s="89"/>
      <c r="H127" s="89"/>
      <c r="I127" s="91"/>
    </row>
    <row r="128" spans="3:9" x14ac:dyDescent="0.25">
      <c r="C128" s="92"/>
      <c r="D128" s="138">
        <v>45593</v>
      </c>
      <c r="E128">
        <v>36138.03</v>
      </c>
      <c r="F128" s="91"/>
      <c r="G128" s="91"/>
      <c r="H128" s="91"/>
      <c r="I128" s="91"/>
    </row>
    <row r="129" spans="1:9" x14ac:dyDescent="0.25">
      <c r="C129" s="92"/>
      <c r="D129" s="138">
        <v>45590</v>
      </c>
      <c r="E129">
        <v>35902.92</v>
      </c>
      <c r="F129" s="96"/>
      <c r="G129" s="96"/>
      <c r="H129" s="96"/>
      <c r="I129" s="96"/>
    </row>
    <row r="130" spans="1:9" x14ac:dyDescent="0.25">
      <c r="A130" s="98"/>
      <c r="B130" s="98"/>
      <c r="C130" s="92"/>
      <c r="D130" s="138">
        <v>45589</v>
      </c>
      <c r="E130">
        <v>36227.519999999997</v>
      </c>
      <c r="F130" s="91"/>
      <c r="G130" s="91"/>
      <c r="H130" s="91"/>
      <c r="I130" s="91"/>
    </row>
    <row r="131" spans="1:9" x14ac:dyDescent="0.25">
      <c r="C131" s="92"/>
      <c r="D131" s="138">
        <v>45588</v>
      </c>
      <c r="E131">
        <v>36281.1</v>
      </c>
      <c r="F131" s="92"/>
      <c r="G131" s="92"/>
      <c r="H131" s="92"/>
      <c r="I131" s="92"/>
    </row>
    <row r="132" spans="1:9" x14ac:dyDescent="0.25">
      <c r="C132" s="92"/>
      <c r="D132" s="138">
        <v>45587</v>
      </c>
      <c r="E132">
        <v>36335.46</v>
      </c>
      <c r="F132" s="96"/>
      <c r="G132" s="96"/>
      <c r="H132" s="96"/>
      <c r="I132" s="96"/>
    </row>
    <row r="133" spans="1:9" x14ac:dyDescent="0.25">
      <c r="C133" s="92"/>
      <c r="D133" s="138">
        <v>45586</v>
      </c>
      <c r="E133">
        <v>36789.949999999997</v>
      </c>
      <c r="F133" s="92"/>
      <c r="G133" s="92"/>
      <c r="H133" s="92"/>
      <c r="I133" s="92"/>
    </row>
    <row r="134" spans="1:9" x14ac:dyDescent="0.25">
      <c r="C134" s="92"/>
      <c r="D134" s="138">
        <v>45583</v>
      </c>
      <c r="E134">
        <v>36898.25</v>
      </c>
      <c r="F134" s="92"/>
      <c r="G134" s="92"/>
      <c r="H134" s="92"/>
      <c r="I134" s="96"/>
    </row>
    <row r="135" spans="1:9" x14ac:dyDescent="0.25">
      <c r="C135" s="92"/>
      <c r="D135" s="138">
        <v>45582</v>
      </c>
      <c r="E135">
        <v>36740.25</v>
      </c>
      <c r="F135" s="92"/>
      <c r="G135" s="92"/>
      <c r="H135" s="92"/>
      <c r="I135" s="92"/>
    </row>
    <row r="136" spans="1:9" x14ac:dyDescent="0.25">
      <c r="C136" s="92"/>
      <c r="D136" s="138">
        <v>45581</v>
      </c>
      <c r="E136">
        <v>37068.99</v>
      </c>
      <c r="F136" s="92"/>
      <c r="G136" s="92"/>
      <c r="H136" s="92"/>
      <c r="I136" s="96"/>
    </row>
    <row r="137" spans="1:9" x14ac:dyDescent="0.25">
      <c r="C137" s="92"/>
      <c r="D137" s="138">
        <v>45580</v>
      </c>
      <c r="E137">
        <v>37196.69</v>
      </c>
      <c r="F137" s="96"/>
      <c r="G137" s="96"/>
      <c r="H137" s="96"/>
      <c r="I137" s="96"/>
    </row>
    <row r="138" spans="1:9" x14ac:dyDescent="0.25">
      <c r="C138" s="92"/>
      <c r="D138" s="138">
        <v>45579</v>
      </c>
      <c r="E138">
        <v>37301.5</v>
      </c>
      <c r="F138" s="92"/>
      <c r="G138" s="92"/>
      <c r="H138" s="92"/>
      <c r="I138" s="92"/>
    </row>
    <row r="139" spans="1:9" x14ac:dyDescent="0.25">
      <c r="C139" s="92"/>
      <c r="D139" s="138">
        <v>45576</v>
      </c>
      <c r="E139">
        <v>37058.49</v>
      </c>
      <c r="F139" s="92"/>
      <c r="G139" s="92"/>
      <c r="H139" s="92"/>
      <c r="I139" s="96"/>
    </row>
    <row r="140" spans="1:9" x14ac:dyDescent="0.25">
      <c r="C140" s="92"/>
      <c r="D140" s="138">
        <v>45575</v>
      </c>
      <c r="E140">
        <v>37109.26</v>
      </c>
      <c r="F140" s="92"/>
      <c r="G140" s="92"/>
      <c r="H140" s="92"/>
      <c r="I140" s="96"/>
    </row>
    <row r="141" spans="1:9" x14ac:dyDescent="0.25">
      <c r="C141" s="92"/>
      <c r="D141" s="138">
        <v>45574</v>
      </c>
      <c r="E141">
        <v>37084.75</v>
      </c>
      <c r="F141" s="91"/>
      <c r="G141" s="91"/>
      <c r="H141" s="91"/>
      <c r="I141" s="91"/>
    </row>
    <row r="142" spans="1:9" x14ac:dyDescent="0.25">
      <c r="C142" s="92"/>
      <c r="D142" s="138">
        <v>45573</v>
      </c>
      <c r="E142">
        <v>37131.07</v>
      </c>
      <c r="F142" s="92"/>
      <c r="G142" s="92"/>
      <c r="H142" s="92"/>
      <c r="I142" s="92"/>
    </row>
    <row r="143" spans="1:9" x14ac:dyDescent="0.25">
      <c r="C143" s="92"/>
      <c r="D143" s="138">
        <v>45572</v>
      </c>
      <c r="E143">
        <v>36808.370000000003</v>
      </c>
      <c r="F143" s="96"/>
      <c r="G143" s="92"/>
      <c r="H143" s="92"/>
      <c r="I143" s="92"/>
    </row>
    <row r="144" spans="1:9" x14ac:dyDescent="0.25">
      <c r="C144" s="92"/>
      <c r="D144" s="138">
        <v>45569</v>
      </c>
      <c r="E144">
        <v>37133.25</v>
      </c>
      <c r="F144" s="96"/>
      <c r="G144" s="96"/>
      <c r="H144" s="96"/>
      <c r="I144" s="96"/>
    </row>
    <row r="145" spans="1:10" x14ac:dyDescent="0.25">
      <c r="C145" s="92"/>
      <c r="D145" s="138">
        <v>45568</v>
      </c>
      <c r="E145">
        <v>37482.839999999997</v>
      </c>
      <c r="F145" s="96"/>
      <c r="G145" s="96"/>
      <c r="H145" s="96"/>
      <c r="I145" s="96"/>
    </row>
    <row r="146" spans="1:10" x14ac:dyDescent="0.25">
      <c r="C146" s="92"/>
      <c r="D146" s="138">
        <v>45566</v>
      </c>
      <c r="E146">
        <v>38294.54</v>
      </c>
      <c r="F146" s="96"/>
      <c r="G146" s="96"/>
      <c r="H146" s="96"/>
      <c r="I146" s="96"/>
    </row>
    <row r="147" spans="1:10" x14ac:dyDescent="0.25">
      <c r="C147" s="92"/>
      <c r="D147" s="138">
        <v>45565</v>
      </c>
      <c r="E147">
        <v>38315.21</v>
      </c>
      <c r="F147" s="92"/>
      <c r="G147" s="92"/>
      <c r="H147" s="92"/>
      <c r="I147" s="92"/>
    </row>
    <row r="148" spans="1:10" x14ac:dyDescent="0.25">
      <c r="C148" s="92"/>
      <c r="D148" s="138">
        <v>45562</v>
      </c>
      <c r="E148">
        <v>38861.64</v>
      </c>
      <c r="F148" s="92"/>
      <c r="G148" s="92"/>
      <c r="H148" s="92"/>
      <c r="I148" s="92"/>
    </row>
    <row r="149" spans="1:10" x14ac:dyDescent="0.25">
      <c r="C149" s="92"/>
      <c r="D149" s="138">
        <v>45561</v>
      </c>
      <c r="E149">
        <v>38916.76</v>
      </c>
      <c r="F149" s="89"/>
      <c r="G149" s="91"/>
      <c r="H149" s="91"/>
      <c r="I149" s="91"/>
    </row>
    <row r="150" spans="1:10" x14ac:dyDescent="0.25">
      <c r="C150" s="92"/>
      <c r="D150" s="138">
        <v>45560</v>
      </c>
      <c r="E150">
        <v>38602.21</v>
      </c>
      <c r="F150" s="89"/>
      <c r="G150" s="89"/>
      <c r="H150" s="89"/>
      <c r="I150" s="89"/>
    </row>
    <row r="151" spans="1:10" x14ac:dyDescent="0.25">
      <c r="C151" s="92"/>
      <c r="D151" s="138">
        <v>45559</v>
      </c>
      <c r="E151">
        <v>38507.550000000003</v>
      </c>
      <c r="F151" s="91"/>
      <c r="G151" s="91"/>
      <c r="H151" s="91"/>
      <c r="I151" s="91"/>
    </row>
    <row r="152" spans="1:10" x14ac:dyDescent="0.25">
      <c r="C152" s="89"/>
      <c r="D152" s="138">
        <v>45558</v>
      </c>
      <c r="E152">
        <v>38505.51</v>
      </c>
      <c r="F152" s="92"/>
      <c r="G152" s="92"/>
      <c r="H152" s="92"/>
      <c r="I152" s="92"/>
    </row>
    <row r="153" spans="1:10" x14ac:dyDescent="0.25">
      <c r="C153" s="92"/>
      <c r="D153" s="138">
        <v>45555</v>
      </c>
      <c r="E153">
        <v>38285.67</v>
      </c>
      <c r="F153" s="91"/>
      <c r="G153" s="91"/>
      <c r="H153" s="91"/>
      <c r="I153" s="91"/>
    </row>
    <row r="154" spans="1:10" x14ac:dyDescent="0.25">
      <c r="C154" s="92"/>
      <c r="D154" s="138">
        <v>45554</v>
      </c>
      <c r="E154">
        <v>37728.83</v>
      </c>
      <c r="F154" s="92"/>
      <c r="G154" s="92"/>
      <c r="H154" s="92"/>
      <c r="I154" s="92"/>
    </row>
    <row r="155" spans="1:10" ht="15.75" x14ac:dyDescent="0.25">
      <c r="A155" s="5"/>
      <c r="B155" s="5"/>
      <c r="C155" s="19"/>
      <c r="D155" s="138">
        <v>45553</v>
      </c>
      <c r="E155">
        <v>37672.03</v>
      </c>
      <c r="F155" s="19"/>
      <c r="G155" s="19"/>
      <c r="H155" s="19"/>
      <c r="I155" s="19"/>
    </row>
    <row r="156" spans="1:10" x14ac:dyDescent="0.25">
      <c r="C156" s="92"/>
      <c r="D156" s="138">
        <v>45552</v>
      </c>
      <c r="E156">
        <v>37732.870000000003</v>
      </c>
      <c r="F156" s="96"/>
      <c r="G156" s="96"/>
      <c r="H156" s="96"/>
      <c r="I156" s="96"/>
    </row>
    <row r="157" spans="1:10" x14ac:dyDescent="0.25">
      <c r="C157" s="92"/>
      <c r="D157" s="138">
        <v>45551</v>
      </c>
      <c r="E157">
        <v>37681.24</v>
      </c>
      <c r="F157" s="96"/>
      <c r="G157" s="96"/>
      <c r="H157" s="96"/>
      <c r="I157" s="96"/>
    </row>
    <row r="158" spans="1:10" x14ac:dyDescent="0.25">
      <c r="C158" s="92"/>
      <c r="D158" s="138">
        <v>45548</v>
      </c>
      <c r="E158">
        <v>37640.800000000003</v>
      </c>
      <c r="F158" s="96"/>
      <c r="G158" s="96"/>
      <c r="H158" s="96"/>
      <c r="I158" s="96"/>
    </row>
    <row r="159" spans="1:10" ht="15.75" thickBot="1" x14ac:dyDescent="0.3">
      <c r="A159" s="99"/>
      <c r="B159" s="99"/>
      <c r="C159" s="92"/>
      <c r="D159" s="138">
        <v>45547</v>
      </c>
      <c r="E159">
        <v>37688.9</v>
      </c>
      <c r="F159" s="91"/>
      <c r="G159" s="91"/>
      <c r="H159" s="91"/>
      <c r="I159" s="91"/>
      <c r="J159" s="10"/>
    </row>
    <row r="160" spans="1:10" ht="15.75" thickTop="1" x14ac:dyDescent="0.25">
      <c r="C160" s="92"/>
      <c r="D160" s="138">
        <v>45546</v>
      </c>
      <c r="E160">
        <v>36990.519999999997</v>
      </c>
      <c r="F160" s="92"/>
      <c r="G160" s="92"/>
      <c r="H160" s="92"/>
      <c r="I160" s="92"/>
    </row>
    <row r="161" spans="1:14" x14ac:dyDescent="0.25">
      <c r="C161" s="92"/>
      <c r="D161" s="138">
        <v>45545</v>
      </c>
      <c r="E161">
        <v>37172.57</v>
      </c>
      <c r="F161" s="92"/>
      <c r="G161" s="92"/>
      <c r="H161" s="92"/>
      <c r="I161" s="92"/>
    </row>
    <row r="162" spans="1:14" ht="15.75" x14ac:dyDescent="0.25">
      <c r="A162" s="5"/>
      <c r="B162" s="5"/>
      <c r="C162" s="19"/>
      <c r="D162" s="138">
        <v>45544</v>
      </c>
      <c r="E162">
        <v>37017.15</v>
      </c>
      <c r="F162" s="93"/>
      <c r="G162" s="93"/>
      <c r="H162" s="93"/>
      <c r="I162" s="93"/>
      <c r="J162" s="18"/>
      <c r="K162" s="18"/>
      <c r="L162" s="18"/>
      <c r="M162" s="18"/>
      <c r="N162" s="18"/>
    </row>
    <row r="163" spans="1:14" x14ac:dyDescent="0.25">
      <c r="C163" s="92"/>
      <c r="D163" s="138">
        <v>45541</v>
      </c>
      <c r="E163">
        <v>36892.07</v>
      </c>
      <c r="F163" s="92"/>
      <c r="G163" s="92"/>
      <c r="H163" s="92"/>
      <c r="I163" s="92"/>
    </row>
    <row r="164" spans="1:14" x14ac:dyDescent="0.25">
      <c r="C164" s="92"/>
      <c r="D164" s="138">
        <v>45540</v>
      </c>
      <c r="E164">
        <v>37326.99</v>
      </c>
      <c r="F164" s="92"/>
      <c r="G164" s="92"/>
      <c r="H164" s="92"/>
      <c r="I164" s="92"/>
    </row>
    <row r="165" spans="1:14" x14ac:dyDescent="0.25">
      <c r="C165" s="92"/>
      <c r="D165" s="138">
        <v>45539</v>
      </c>
      <c r="E165">
        <v>37406.550000000003</v>
      </c>
      <c r="F165" s="92"/>
      <c r="G165" s="92"/>
      <c r="H165" s="92"/>
      <c r="I165" s="92"/>
    </row>
    <row r="166" spans="1:14" x14ac:dyDescent="0.25">
      <c r="C166" s="92"/>
      <c r="D166" s="138">
        <v>45538</v>
      </c>
      <c r="E166">
        <v>37526.97</v>
      </c>
      <c r="F166" s="92"/>
      <c r="G166" s="92"/>
      <c r="H166" s="92"/>
      <c r="I166" s="92"/>
    </row>
    <row r="167" spans="1:14" x14ac:dyDescent="0.25">
      <c r="C167" s="92"/>
      <c r="D167" s="138">
        <v>45537</v>
      </c>
      <c r="E167">
        <v>37525.279999999999</v>
      </c>
      <c r="F167" s="92"/>
      <c r="G167" s="92"/>
      <c r="H167" s="92"/>
      <c r="I167" s="92"/>
    </row>
    <row r="168" spans="1:14" x14ac:dyDescent="0.25">
      <c r="C168" s="92"/>
      <c r="D168" s="138">
        <v>45534</v>
      </c>
      <c r="E168">
        <v>37461.730000000003</v>
      </c>
      <c r="F168" s="92"/>
      <c r="G168" s="92"/>
      <c r="H168" s="92"/>
      <c r="I168" s="92"/>
    </row>
    <row r="169" spans="1:14" x14ac:dyDescent="0.25">
      <c r="C169" s="92"/>
      <c r="D169" s="138">
        <v>45533</v>
      </c>
      <c r="E169">
        <v>37337.089999999997</v>
      </c>
      <c r="F169" s="92"/>
      <c r="G169" s="92"/>
      <c r="H169" s="92"/>
      <c r="I169" s="92"/>
    </row>
    <row r="170" spans="1:14" x14ac:dyDescent="0.25">
      <c r="C170" s="92"/>
      <c r="D170" s="138">
        <v>45532</v>
      </c>
      <c r="E170">
        <v>37189.269999999997</v>
      </c>
      <c r="F170" s="92"/>
      <c r="G170" s="92"/>
      <c r="H170" s="92"/>
      <c r="I170" s="92"/>
    </row>
    <row r="171" spans="1:14" x14ac:dyDescent="0.25">
      <c r="C171" s="92"/>
      <c r="D171" s="138">
        <v>45531</v>
      </c>
      <c r="E171">
        <v>37137.910000000003</v>
      </c>
      <c r="F171" s="92"/>
      <c r="G171" s="92"/>
      <c r="H171" s="92"/>
      <c r="I171" s="92"/>
    </row>
    <row r="172" spans="1:14" x14ac:dyDescent="0.25">
      <c r="C172" s="92"/>
      <c r="D172" s="138">
        <v>45530</v>
      </c>
      <c r="E172">
        <v>37127.300000000003</v>
      </c>
      <c r="F172" s="92"/>
      <c r="G172" s="92"/>
      <c r="H172" s="92"/>
      <c r="I172" s="92"/>
    </row>
    <row r="173" spans="1:14" x14ac:dyDescent="0.25">
      <c r="C173" s="92"/>
      <c r="D173" s="138">
        <v>45527</v>
      </c>
      <c r="E173">
        <v>36849.019999999997</v>
      </c>
      <c r="F173" s="92"/>
      <c r="G173" s="92"/>
      <c r="H173" s="92"/>
      <c r="I173" s="92"/>
    </row>
    <row r="174" spans="1:14" x14ac:dyDescent="0.25">
      <c r="C174" s="92"/>
      <c r="D174" s="138">
        <v>45526</v>
      </c>
      <c r="E174">
        <v>36828.5</v>
      </c>
      <c r="F174" s="92"/>
      <c r="G174" s="92"/>
      <c r="H174" s="92"/>
      <c r="I174" s="92"/>
    </row>
    <row r="175" spans="1:14" x14ac:dyDescent="0.25">
      <c r="C175" s="92"/>
      <c r="D175" s="138">
        <v>45525</v>
      </c>
      <c r="E175">
        <v>36767.19</v>
      </c>
      <c r="F175" s="92"/>
      <c r="G175" s="92"/>
      <c r="H175" s="92"/>
      <c r="I175" s="92"/>
    </row>
    <row r="176" spans="1:14" x14ac:dyDescent="0.25">
      <c r="C176" s="92"/>
      <c r="D176" s="138">
        <v>45524</v>
      </c>
      <c r="E176">
        <v>36661.24</v>
      </c>
      <c r="F176" s="92"/>
      <c r="G176" s="92"/>
      <c r="H176" s="92"/>
      <c r="I176" s="92"/>
    </row>
    <row r="177" spans="3:9" x14ac:dyDescent="0.25">
      <c r="C177" s="92"/>
      <c r="D177" s="138">
        <v>45523</v>
      </c>
      <c r="E177">
        <v>36473.949999999997</v>
      </c>
      <c r="F177" s="92"/>
      <c r="G177" s="92"/>
      <c r="H177" s="92"/>
      <c r="I177" s="92"/>
    </row>
    <row r="178" spans="3:9" x14ac:dyDescent="0.25">
      <c r="C178" s="92"/>
      <c r="D178" s="138">
        <v>45520</v>
      </c>
      <c r="E178">
        <v>36415.85</v>
      </c>
      <c r="F178" s="92"/>
      <c r="G178" s="92"/>
      <c r="H178" s="92"/>
      <c r="I178" s="92"/>
    </row>
    <row r="179" spans="3:9" x14ac:dyDescent="0.25">
      <c r="C179" s="92"/>
      <c r="D179" s="138">
        <v>45518</v>
      </c>
      <c r="E179">
        <v>35817.89</v>
      </c>
      <c r="F179" s="92"/>
      <c r="G179" s="92"/>
      <c r="H179" s="92"/>
      <c r="I179" s="92"/>
    </row>
    <row r="180" spans="3:9" x14ac:dyDescent="0.25">
      <c r="C180" s="92"/>
      <c r="D180" s="138">
        <v>45517</v>
      </c>
      <c r="E180">
        <v>35810.83</v>
      </c>
      <c r="F180" s="92"/>
      <c r="G180" s="92"/>
      <c r="H180" s="92"/>
      <c r="I180" s="92"/>
    </row>
    <row r="181" spans="3:9" x14ac:dyDescent="0.25">
      <c r="D181" s="138">
        <v>45516</v>
      </c>
      <c r="E181">
        <v>36119.449999999997</v>
      </c>
    </row>
    <row r="182" spans="3:9" x14ac:dyDescent="0.25">
      <c r="D182" s="138">
        <v>45513</v>
      </c>
      <c r="E182">
        <v>36126.230000000003</v>
      </c>
    </row>
    <row r="183" spans="3:9" x14ac:dyDescent="0.25">
      <c r="D183" s="138">
        <v>45512</v>
      </c>
      <c r="E183">
        <v>35753.120000000003</v>
      </c>
    </row>
    <row r="184" spans="3:9" x14ac:dyDescent="0.25">
      <c r="D184" s="138">
        <v>45511</v>
      </c>
      <c r="E184">
        <v>36020.75</v>
      </c>
    </row>
    <row r="185" spans="3:9" x14ac:dyDescent="0.25">
      <c r="D185" s="138">
        <v>45510</v>
      </c>
      <c r="E185">
        <v>35554.15</v>
      </c>
    </row>
    <row r="186" spans="3:9" x14ac:dyDescent="0.25">
      <c r="D186" s="138">
        <v>45509</v>
      </c>
      <c r="E186">
        <v>35646.370000000003</v>
      </c>
    </row>
    <row r="187" spans="3:9" x14ac:dyDescent="0.25">
      <c r="D187" s="138">
        <v>45506</v>
      </c>
      <c r="E187">
        <v>36624.49</v>
      </c>
    </row>
    <row r="188" spans="3:9" x14ac:dyDescent="0.25">
      <c r="D188" s="138">
        <v>45505</v>
      </c>
      <c r="E188">
        <v>37049.699999999997</v>
      </c>
    </row>
    <row r="189" spans="3:9" x14ac:dyDescent="0.25">
      <c r="D189" s="138">
        <v>45504</v>
      </c>
      <c r="E189">
        <v>36959.480000000003</v>
      </c>
    </row>
    <row r="190" spans="3:9" x14ac:dyDescent="0.25">
      <c r="D190" s="138">
        <v>45503</v>
      </c>
      <c r="E190">
        <v>36820.47</v>
      </c>
    </row>
    <row r="191" spans="3:9" x14ac:dyDescent="0.25">
      <c r="D191" s="138">
        <v>45502</v>
      </c>
      <c r="E191">
        <v>36786.300000000003</v>
      </c>
    </row>
    <row r="192" spans="3:9" x14ac:dyDescent="0.25">
      <c r="D192" s="138">
        <v>45499</v>
      </c>
      <c r="E192">
        <v>36784.480000000003</v>
      </c>
    </row>
    <row r="193" spans="4:5" x14ac:dyDescent="0.25">
      <c r="D193" s="138">
        <v>45498</v>
      </c>
      <c r="E193">
        <v>36149.4</v>
      </c>
    </row>
    <row r="194" spans="4:5" x14ac:dyDescent="0.25">
      <c r="D194" s="138">
        <v>45497</v>
      </c>
      <c r="E194">
        <v>36160.36</v>
      </c>
    </row>
    <row r="195" spans="4:5" x14ac:dyDescent="0.25">
      <c r="D195" s="138">
        <v>45496</v>
      </c>
      <c r="E195">
        <v>36257.51</v>
      </c>
    </row>
    <row r="196" spans="4:5" x14ac:dyDescent="0.25">
      <c r="D196" s="138">
        <v>45495</v>
      </c>
      <c r="E196">
        <v>36296.550000000003</v>
      </c>
    </row>
    <row r="197" spans="4:5" x14ac:dyDescent="0.25">
      <c r="D197" s="138">
        <v>45492</v>
      </c>
      <c r="E197">
        <v>36328.6</v>
      </c>
    </row>
    <row r="198" spans="4:5" x14ac:dyDescent="0.25">
      <c r="D198" s="138">
        <v>45491</v>
      </c>
      <c r="E198">
        <v>36723.93</v>
      </c>
    </row>
    <row r="199" spans="4:5" x14ac:dyDescent="0.25">
      <c r="D199" s="138">
        <v>45489</v>
      </c>
      <c r="E199">
        <v>36445.79</v>
      </c>
    </row>
    <row r="200" spans="4:5" x14ac:dyDescent="0.25">
      <c r="D200" s="138">
        <v>45488</v>
      </c>
      <c r="E200">
        <v>36403.86</v>
      </c>
    </row>
    <row r="201" spans="4:5" x14ac:dyDescent="0.25">
      <c r="D201" s="138">
        <v>45485</v>
      </c>
      <c r="E201">
        <v>36278.67</v>
      </c>
    </row>
    <row r="202" spans="4:5" x14ac:dyDescent="0.25">
      <c r="D202" s="138">
        <v>45484</v>
      </c>
      <c r="E202">
        <v>36000.25</v>
      </c>
    </row>
    <row r="203" spans="4:5" x14ac:dyDescent="0.25">
      <c r="D203" s="138">
        <v>45483</v>
      </c>
      <c r="E203">
        <v>36012.82</v>
      </c>
    </row>
    <row r="204" spans="4:5" x14ac:dyDescent="0.25">
      <c r="D204" s="138">
        <v>45482</v>
      </c>
      <c r="E204">
        <v>36173.870000000003</v>
      </c>
    </row>
    <row r="205" spans="4:5" x14ac:dyDescent="0.25">
      <c r="D205" s="138">
        <v>45481</v>
      </c>
      <c r="E205">
        <v>36004.74</v>
      </c>
    </row>
    <row r="206" spans="4:5" x14ac:dyDescent="0.25">
      <c r="D206" s="138">
        <v>45478</v>
      </c>
      <c r="E206">
        <v>36009.61</v>
      </c>
    </row>
    <row r="207" spans="4:5" x14ac:dyDescent="0.25">
      <c r="D207" s="138">
        <v>45477</v>
      </c>
      <c r="E207">
        <v>35970.639999999999</v>
      </c>
    </row>
    <row r="208" spans="4:5" x14ac:dyDescent="0.25">
      <c r="D208" s="138">
        <v>45476</v>
      </c>
      <c r="E208">
        <v>35947.53</v>
      </c>
    </row>
    <row r="209" spans="4:5" x14ac:dyDescent="0.25">
      <c r="D209" s="138">
        <v>45475</v>
      </c>
      <c r="E209">
        <v>35706.769999999997</v>
      </c>
    </row>
    <row r="210" spans="4:5" x14ac:dyDescent="0.25">
      <c r="D210" s="138">
        <v>45474</v>
      </c>
      <c r="E210">
        <v>35733.58</v>
      </c>
    </row>
    <row r="211" spans="4:5" x14ac:dyDescent="0.25">
      <c r="D211" s="138">
        <v>45471</v>
      </c>
      <c r="E211">
        <v>35539.160000000003</v>
      </c>
    </row>
    <row r="212" spans="4:5" x14ac:dyDescent="0.25">
      <c r="D212" s="138">
        <v>45470</v>
      </c>
      <c r="E212">
        <v>35585.620000000003</v>
      </c>
    </row>
    <row r="213" spans="4:5" x14ac:dyDescent="0.25">
      <c r="D213" s="138">
        <v>45469</v>
      </c>
      <c r="E213">
        <v>35324.11</v>
      </c>
    </row>
    <row r="214" spans="4:5" x14ac:dyDescent="0.25">
      <c r="D214" s="138">
        <v>45468</v>
      </c>
      <c r="E214">
        <v>35105.79</v>
      </c>
    </row>
    <row r="215" spans="4:5" x14ac:dyDescent="0.25">
      <c r="D215" s="138">
        <v>45467</v>
      </c>
      <c r="E215">
        <v>34834.33</v>
      </c>
    </row>
    <row r="216" spans="4:5" x14ac:dyDescent="0.25">
      <c r="D216" s="138">
        <v>45464</v>
      </c>
      <c r="E216">
        <v>34779.9</v>
      </c>
    </row>
    <row r="217" spans="4:5" x14ac:dyDescent="0.25">
      <c r="D217" s="138">
        <v>45463</v>
      </c>
      <c r="E217">
        <v>34873.15</v>
      </c>
    </row>
    <row r="218" spans="4:5" x14ac:dyDescent="0.25">
      <c r="D218" s="138">
        <v>45462</v>
      </c>
      <c r="E218">
        <v>34786.58</v>
      </c>
    </row>
    <row r="219" spans="4:5" x14ac:dyDescent="0.25">
      <c r="D219" s="138">
        <v>45461</v>
      </c>
      <c r="E219">
        <v>34847.24</v>
      </c>
    </row>
    <row r="220" spans="4:5" x14ac:dyDescent="0.25">
      <c r="D220" s="138">
        <v>45457</v>
      </c>
      <c r="E220">
        <v>34710.67</v>
      </c>
    </row>
    <row r="221" spans="4:5" x14ac:dyDescent="0.25">
      <c r="D221" s="138">
        <v>45456</v>
      </c>
      <c r="E221">
        <v>34600.19</v>
      </c>
    </row>
    <row r="222" spans="4:5" x14ac:dyDescent="0.25">
      <c r="D222" s="138">
        <v>45455</v>
      </c>
      <c r="E222">
        <v>34487.879999999997</v>
      </c>
    </row>
    <row r="223" spans="4:5" x14ac:dyDescent="0.25">
      <c r="D223" s="138">
        <v>45454</v>
      </c>
      <c r="E223">
        <v>34402</v>
      </c>
    </row>
    <row r="224" spans="4:5" x14ac:dyDescent="0.25">
      <c r="D224" s="138">
        <v>45453</v>
      </c>
      <c r="E224">
        <v>34385.839999999997</v>
      </c>
    </row>
    <row r="225" spans="4:5" x14ac:dyDescent="0.25">
      <c r="D225" s="138">
        <v>45450</v>
      </c>
      <c r="E225">
        <v>34431.61</v>
      </c>
    </row>
    <row r="226" spans="4:5" x14ac:dyDescent="0.25">
      <c r="D226" s="138">
        <v>45449</v>
      </c>
      <c r="E226">
        <v>33738.58</v>
      </c>
    </row>
    <row r="227" spans="4:5" x14ac:dyDescent="0.25">
      <c r="D227" s="138">
        <v>45448</v>
      </c>
      <c r="E227">
        <v>33441.4</v>
      </c>
    </row>
    <row r="228" spans="4:5" x14ac:dyDescent="0.25">
      <c r="D228" s="138">
        <v>45447</v>
      </c>
      <c r="E228">
        <v>32353.5</v>
      </c>
    </row>
    <row r="229" spans="4:5" x14ac:dyDescent="0.25">
      <c r="D229" s="138">
        <v>45446</v>
      </c>
      <c r="E229">
        <v>34369.129999999997</v>
      </c>
    </row>
    <row r="230" spans="4:5" x14ac:dyDescent="0.25">
      <c r="D230" s="138">
        <v>45443</v>
      </c>
      <c r="E230">
        <v>33285.9</v>
      </c>
    </row>
    <row r="231" spans="4:5" x14ac:dyDescent="0.25">
      <c r="D231" s="138">
        <v>45442</v>
      </c>
      <c r="E231">
        <v>33190.35</v>
      </c>
    </row>
    <row r="232" spans="4:5" x14ac:dyDescent="0.25">
      <c r="D232" s="138">
        <v>45441</v>
      </c>
      <c r="E232">
        <v>33509.230000000003</v>
      </c>
    </row>
    <row r="233" spans="4:5" x14ac:dyDescent="0.25">
      <c r="D233" s="138">
        <v>45440</v>
      </c>
      <c r="E233">
        <v>33780.01</v>
      </c>
    </row>
    <row r="234" spans="4:5" x14ac:dyDescent="0.25">
      <c r="D234" s="138">
        <v>45439</v>
      </c>
      <c r="E234">
        <v>33845.39</v>
      </c>
    </row>
    <row r="235" spans="4:5" x14ac:dyDescent="0.25">
      <c r="D235" s="138">
        <v>45436</v>
      </c>
      <c r="E235">
        <v>33881.75</v>
      </c>
    </row>
    <row r="236" spans="4:5" x14ac:dyDescent="0.25">
      <c r="D236" s="138">
        <v>45435</v>
      </c>
      <c r="E236">
        <v>33895.660000000003</v>
      </c>
    </row>
    <row r="237" spans="4:5" x14ac:dyDescent="0.25">
      <c r="D237" s="138">
        <v>45434</v>
      </c>
      <c r="E237">
        <v>33349.839999999997</v>
      </c>
    </row>
    <row r="238" spans="4:5" x14ac:dyDescent="0.25">
      <c r="D238" s="138">
        <v>45433</v>
      </c>
      <c r="E238">
        <v>33230.839999999997</v>
      </c>
    </row>
    <row r="239" spans="4:5" x14ac:dyDescent="0.25">
      <c r="D239" s="138">
        <v>45430</v>
      </c>
      <c r="E239">
        <v>33190.97</v>
      </c>
    </row>
    <row r="240" spans="4:5" x14ac:dyDescent="0.25">
      <c r="D240" s="138">
        <v>45429</v>
      </c>
      <c r="E240">
        <v>33138.019999999997</v>
      </c>
    </row>
    <row r="241" spans="4:5" x14ac:dyDescent="0.25">
      <c r="D241" s="138">
        <v>45428</v>
      </c>
      <c r="E241">
        <v>33046.160000000003</v>
      </c>
    </row>
    <row r="242" spans="4:5" x14ac:dyDescent="0.25">
      <c r="D242" s="138">
        <v>45427</v>
      </c>
      <c r="E242">
        <v>32736.91</v>
      </c>
    </row>
    <row r="243" spans="4:5" x14ac:dyDescent="0.25">
      <c r="D243" s="138">
        <v>45426</v>
      </c>
      <c r="E243">
        <v>32762.37</v>
      </c>
    </row>
    <row r="244" spans="4:5" x14ac:dyDescent="0.25">
      <c r="D244" s="138">
        <v>45425</v>
      </c>
      <c r="E244">
        <v>32594.61</v>
      </c>
    </row>
    <row r="245" spans="4:5" x14ac:dyDescent="0.25">
      <c r="D245" s="138">
        <v>45422</v>
      </c>
      <c r="E245">
        <v>32522.55</v>
      </c>
    </row>
    <row r="246" spans="4:5" x14ac:dyDescent="0.25">
      <c r="D246" s="138">
        <v>45421</v>
      </c>
      <c r="E246">
        <v>32329.72</v>
      </c>
    </row>
    <row r="247" spans="4:5" x14ac:dyDescent="0.25">
      <c r="D247" s="138">
        <v>45420</v>
      </c>
      <c r="E247">
        <v>32837.65</v>
      </c>
    </row>
    <row r="248" spans="4:5" x14ac:dyDescent="0.25">
      <c r="D248" s="138">
        <v>45419</v>
      </c>
      <c r="E248">
        <v>32837.71</v>
      </c>
    </row>
    <row r="249" spans="4:5" x14ac:dyDescent="0.25">
      <c r="D249" s="138">
        <v>45418</v>
      </c>
      <c r="E249">
        <v>33037.730000000003</v>
      </c>
    </row>
    <row r="250" spans="4:5" x14ac:dyDescent="0.25">
      <c r="D250" s="138">
        <v>45415</v>
      </c>
      <c r="E250">
        <v>33086.51</v>
      </c>
    </row>
    <row r="251" spans="4:5" x14ac:dyDescent="0.25">
      <c r="D251" s="138">
        <v>45414</v>
      </c>
      <c r="E251">
        <v>33340.199999999997</v>
      </c>
    </row>
    <row r="252" spans="4:5" x14ac:dyDescent="0.25">
      <c r="D252" s="138">
        <v>45412</v>
      </c>
      <c r="E252">
        <v>33276.410000000003</v>
      </c>
    </row>
    <row r="253" spans="4:5" x14ac:dyDescent="0.25">
      <c r="D253" s="138">
        <v>45411</v>
      </c>
      <c r="E253">
        <v>33333.120000000003</v>
      </c>
    </row>
    <row r="254" spans="4:5" x14ac:dyDescent="0.25">
      <c r="D254" s="138">
        <v>45408</v>
      </c>
      <c r="E254">
        <v>33004.19</v>
      </c>
    </row>
    <row r="255" spans="4:5" x14ac:dyDescent="0.25">
      <c r="D255" s="138">
        <v>45407</v>
      </c>
      <c r="E255">
        <v>33225.64</v>
      </c>
    </row>
    <row r="256" spans="4:5" x14ac:dyDescent="0.25">
      <c r="D256" s="138">
        <v>45406</v>
      </c>
      <c r="E256">
        <v>32978.370000000003</v>
      </c>
    </row>
    <row r="257" spans="4:5" x14ac:dyDescent="0.25">
      <c r="D257" s="138">
        <v>45405</v>
      </c>
      <c r="E257">
        <v>32927.730000000003</v>
      </c>
    </row>
    <row r="258" spans="4:5" x14ac:dyDescent="0.25">
      <c r="D258" s="138">
        <v>45404</v>
      </c>
      <c r="E258">
        <v>32881.22</v>
      </c>
    </row>
    <row r="259" spans="4:5" x14ac:dyDescent="0.25">
      <c r="D259" s="138">
        <v>45401</v>
      </c>
      <c r="E259">
        <v>32602.42</v>
      </c>
    </row>
    <row r="260" spans="4:5" x14ac:dyDescent="0.25">
      <c r="D260" s="138">
        <v>45400</v>
      </c>
      <c r="E260">
        <v>32379.9</v>
      </c>
    </row>
    <row r="261" spans="4:5" x14ac:dyDescent="0.25">
      <c r="D261" s="138">
        <v>45398</v>
      </c>
      <c r="E261">
        <v>32603.74</v>
      </c>
    </row>
    <row r="262" spans="4:5" x14ac:dyDescent="0.25">
      <c r="D262" s="138">
        <v>45397</v>
      </c>
      <c r="E262">
        <v>32787.15</v>
      </c>
    </row>
    <row r="263" spans="4:5" x14ac:dyDescent="0.25">
      <c r="D263" s="138">
        <v>45394</v>
      </c>
      <c r="E263">
        <v>33150.589999999997</v>
      </c>
    </row>
    <row r="264" spans="4:5" x14ac:dyDescent="0.25">
      <c r="D264" s="138">
        <v>45392</v>
      </c>
      <c r="E264">
        <v>33495.65</v>
      </c>
    </row>
    <row r="265" spans="4:5" x14ac:dyDescent="0.25">
      <c r="D265" s="138">
        <v>45391</v>
      </c>
      <c r="E265">
        <v>33332.19</v>
      </c>
    </row>
    <row r="266" spans="4:5" x14ac:dyDescent="0.25">
      <c r="D266" s="138">
        <v>45390</v>
      </c>
      <c r="E266">
        <v>33366.870000000003</v>
      </c>
    </row>
    <row r="267" spans="4:5" x14ac:dyDescent="0.25">
      <c r="D267" s="138">
        <v>45387</v>
      </c>
      <c r="E267">
        <v>33142.19</v>
      </c>
    </row>
    <row r="268" spans="4:5" x14ac:dyDescent="0.25">
      <c r="D268" s="138">
        <v>45386</v>
      </c>
      <c r="E268">
        <v>33143.589999999997</v>
      </c>
    </row>
    <row r="269" spans="4:5" x14ac:dyDescent="0.25">
      <c r="D269" s="138">
        <v>45385</v>
      </c>
      <c r="E269">
        <v>33025.82</v>
      </c>
    </row>
    <row r="270" spans="4:5" x14ac:dyDescent="0.25">
      <c r="D270" s="138">
        <v>45384</v>
      </c>
      <c r="E270">
        <v>33053.33</v>
      </c>
    </row>
    <row r="271" spans="4:5" x14ac:dyDescent="0.25">
      <c r="D271" s="138">
        <v>45383</v>
      </c>
      <c r="E271">
        <v>33066.129999999997</v>
      </c>
    </row>
    <row r="272" spans="4:5" x14ac:dyDescent="0.25">
      <c r="D272" s="138">
        <v>45379</v>
      </c>
      <c r="E272">
        <v>32867.230000000003</v>
      </c>
    </row>
    <row r="273" spans="4:5" x14ac:dyDescent="0.25">
      <c r="D273" s="138">
        <v>45378</v>
      </c>
      <c r="E273">
        <v>32568.01</v>
      </c>
    </row>
    <row r="274" spans="4:5" x14ac:dyDescent="0.25">
      <c r="D274" s="138">
        <v>45377</v>
      </c>
      <c r="E274">
        <v>32392.94</v>
      </c>
    </row>
    <row r="275" spans="4:5" x14ac:dyDescent="0.25">
      <c r="D275" s="138">
        <v>45373</v>
      </c>
      <c r="E275">
        <v>32528.43</v>
      </c>
    </row>
    <row r="276" spans="4:5" x14ac:dyDescent="0.25">
      <c r="D276" s="138">
        <v>45372</v>
      </c>
      <c r="E276">
        <v>32403.599999999999</v>
      </c>
    </row>
    <row r="277" spans="4:5" x14ac:dyDescent="0.25">
      <c r="D277" s="138">
        <v>45371</v>
      </c>
      <c r="E277">
        <v>32149.17</v>
      </c>
    </row>
    <row r="278" spans="4:5" x14ac:dyDescent="0.25">
      <c r="D278" s="138">
        <v>45370</v>
      </c>
      <c r="E278">
        <v>32117.3</v>
      </c>
    </row>
    <row r="279" spans="4:5" x14ac:dyDescent="0.25">
      <c r="D279" s="138">
        <v>45369</v>
      </c>
      <c r="E279">
        <v>32468</v>
      </c>
    </row>
    <row r="280" spans="4:5" x14ac:dyDescent="0.25">
      <c r="D280" s="138">
        <v>45366</v>
      </c>
      <c r="E280">
        <v>32420.41</v>
      </c>
    </row>
    <row r="281" spans="4:5" x14ac:dyDescent="0.25">
      <c r="D281" s="138">
        <v>45365</v>
      </c>
      <c r="E281">
        <v>32601.49</v>
      </c>
    </row>
    <row r="282" spans="4:5" x14ac:dyDescent="0.25">
      <c r="D282" s="138">
        <v>45364</v>
      </c>
      <c r="E282">
        <v>32382.22</v>
      </c>
    </row>
    <row r="283" spans="4:5" x14ac:dyDescent="0.25">
      <c r="D283" s="138">
        <v>45363</v>
      </c>
      <c r="E283">
        <v>32879.74</v>
      </c>
    </row>
    <row r="284" spans="4:5" x14ac:dyDescent="0.25">
      <c r="D284" s="138">
        <v>45362</v>
      </c>
      <c r="E284">
        <v>32875.25</v>
      </c>
    </row>
    <row r="285" spans="4:5" x14ac:dyDescent="0.25">
      <c r="D285" s="138">
        <v>45358</v>
      </c>
      <c r="E285">
        <v>33112.15</v>
      </c>
    </row>
    <row r="286" spans="4:5" x14ac:dyDescent="0.25">
      <c r="D286" s="138">
        <v>45357</v>
      </c>
      <c r="E286">
        <v>33083.42</v>
      </c>
    </row>
    <row r="287" spans="4:5" x14ac:dyDescent="0.25">
      <c r="D287" s="138">
        <v>45356</v>
      </c>
      <c r="E287">
        <v>32910.07</v>
      </c>
    </row>
    <row r="288" spans="4:5" x14ac:dyDescent="0.25">
      <c r="D288" s="138">
        <v>45355</v>
      </c>
      <c r="E288">
        <v>32982.68</v>
      </c>
    </row>
    <row r="289" spans="4:5" x14ac:dyDescent="0.25">
      <c r="D289" s="138">
        <v>45353</v>
      </c>
      <c r="E289">
        <v>32942.629999999997</v>
      </c>
    </row>
    <row r="290" spans="4:5" x14ac:dyDescent="0.25">
      <c r="D290" s="138">
        <v>45352</v>
      </c>
      <c r="E290">
        <v>32884.29</v>
      </c>
    </row>
    <row r="291" spans="4:5" x14ac:dyDescent="0.25">
      <c r="D291" s="138">
        <v>45351</v>
      </c>
      <c r="E291">
        <v>32360.25</v>
      </c>
    </row>
    <row r="292" spans="4:5" x14ac:dyDescent="0.25">
      <c r="D292" s="138">
        <v>45350</v>
      </c>
      <c r="E292">
        <v>32313.7</v>
      </c>
    </row>
    <row r="293" spans="4:5" x14ac:dyDescent="0.25">
      <c r="D293" s="138">
        <v>45349</v>
      </c>
      <c r="E293">
        <v>32677.61</v>
      </c>
    </row>
    <row r="294" spans="4:5" x14ac:dyDescent="0.25">
      <c r="D294" s="138">
        <v>45348</v>
      </c>
      <c r="E294">
        <v>32565.29</v>
      </c>
    </row>
    <row r="295" spans="4:5" x14ac:dyDescent="0.25">
      <c r="D295" s="138">
        <v>45345</v>
      </c>
      <c r="E295">
        <v>32698.69</v>
      </c>
    </row>
    <row r="296" spans="4:5" x14ac:dyDescent="0.25">
      <c r="D296" s="138">
        <v>45344</v>
      </c>
      <c r="E296">
        <v>32705.7</v>
      </c>
    </row>
    <row r="297" spans="4:5" x14ac:dyDescent="0.25">
      <c r="D297" s="138">
        <v>45343</v>
      </c>
      <c r="E297">
        <v>32466.65</v>
      </c>
    </row>
    <row r="298" spans="4:5" x14ac:dyDescent="0.25">
      <c r="D298" s="138">
        <v>45342</v>
      </c>
      <c r="E298">
        <v>32675.53</v>
      </c>
    </row>
    <row r="299" spans="4:5" x14ac:dyDescent="0.25">
      <c r="D299" s="138">
        <v>45341</v>
      </c>
      <c r="E299">
        <v>32561.34</v>
      </c>
    </row>
    <row r="300" spans="4:5" x14ac:dyDescent="0.25">
      <c r="D300" s="138">
        <v>45338</v>
      </c>
      <c r="E300">
        <v>32441.32</v>
      </c>
    </row>
    <row r="301" spans="4:5" x14ac:dyDescent="0.25">
      <c r="D301" s="138">
        <v>45337</v>
      </c>
      <c r="E301">
        <v>32244.79</v>
      </c>
    </row>
    <row r="302" spans="4:5" x14ac:dyDescent="0.25">
      <c r="D302" s="138">
        <v>45336</v>
      </c>
      <c r="E302">
        <v>32133.040000000001</v>
      </c>
    </row>
    <row r="303" spans="4:5" x14ac:dyDescent="0.25">
      <c r="D303" s="138">
        <v>45335</v>
      </c>
      <c r="E303">
        <v>31990.61</v>
      </c>
    </row>
    <row r="304" spans="4:5" x14ac:dyDescent="0.25">
      <c r="D304" s="138">
        <v>45334</v>
      </c>
      <c r="E304">
        <v>31803.52</v>
      </c>
    </row>
    <row r="305" spans="4:5" x14ac:dyDescent="0.25">
      <c r="D305" s="138">
        <v>45331</v>
      </c>
      <c r="E305">
        <v>32048.38</v>
      </c>
    </row>
    <row r="306" spans="4:5" x14ac:dyDescent="0.25">
      <c r="D306" s="138">
        <v>45330</v>
      </c>
      <c r="E306">
        <v>31950.32</v>
      </c>
    </row>
    <row r="307" spans="4:5" x14ac:dyDescent="0.25">
      <c r="D307" s="138">
        <v>45329</v>
      </c>
      <c r="E307">
        <v>32244.22</v>
      </c>
    </row>
    <row r="308" spans="4:5" x14ac:dyDescent="0.25">
      <c r="D308" s="138">
        <v>45328</v>
      </c>
      <c r="E308">
        <v>32242.59</v>
      </c>
    </row>
    <row r="309" spans="4:5" x14ac:dyDescent="0.25">
      <c r="D309" s="138">
        <v>45327</v>
      </c>
      <c r="E309">
        <v>32007.18</v>
      </c>
    </row>
    <row r="310" spans="4:5" x14ac:dyDescent="0.25">
      <c r="D310" s="138">
        <v>45324</v>
      </c>
      <c r="E310">
        <v>32127.9</v>
      </c>
    </row>
    <row r="311" spans="4:5" x14ac:dyDescent="0.25">
      <c r="D311" s="138">
        <v>45323</v>
      </c>
      <c r="E311">
        <v>31898.06</v>
      </c>
    </row>
    <row r="312" spans="4:5" x14ac:dyDescent="0.25">
      <c r="D312" s="138">
        <v>45322</v>
      </c>
      <c r="E312">
        <v>31939.59</v>
      </c>
    </row>
    <row r="313" spans="4:5" x14ac:dyDescent="0.25">
      <c r="D313" s="138">
        <v>45321</v>
      </c>
      <c r="E313">
        <v>31640.240000000002</v>
      </c>
    </row>
    <row r="314" spans="4:5" x14ac:dyDescent="0.25">
      <c r="D314" s="138">
        <v>45320</v>
      </c>
      <c r="E314">
        <v>31957.05</v>
      </c>
    </row>
    <row r="315" spans="4:5" x14ac:dyDescent="0.25">
      <c r="D315" s="138">
        <v>45316</v>
      </c>
      <c r="E315">
        <v>31391.07</v>
      </c>
    </row>
    <row r="316" spans="4:5" x14ac:dyDescent="0.25">
      <c r="D316" s="138">
        <v>45315</v>
      </c>
      <c r="E316">
        <v>31540.07</v>
      </c>
    </row>
    <row r="317" spans="4:5" x14ac:dyDescent="0.25">
      <c r="D317" s="138">
        <v>45314</v>
      </c>
      <c r="E317">
        <v>31223.3</v>
      </c>
    </row>
    <row r="318" spans="4:5" x14ac:dyDescent="0.25">
      <c r="D318" s="138">
        <v>45311</v>
      </c>
      <c r="E318">
        <v>31712.86</v>
      </c>
    </row>
    <row r="319" spans="4:5" x14ac:dyDescent="0.25">
      <c r="D319" s="138">
        <v>45310</v>
      </c>
      <c r="E319">
        <v>31787.24</v>
      </c>
    </row>
    <row r="320" spans="4:5" x14ac:dyDescent="0.25">
      <c r="D320" s="138">
        <v>45309</v>
      </c>
      <c r="E320">
        <v>31538.400000000001</v>
      </c>
    </row>
    <row r="321" spans="4:5" x14ac:dyDescent="0.25">
      <c r="D321" s="138">
        <v>45308</v>
      </c>
      <c r="E321">
        <v>31699.64</v>
      </c>
    </row>
    <row r="322" spans="4:5" x14ac:dyDescent="0.25">
      <c r="D322" s="138">
        <v>45307</v>
      </c>
      <c r="E322">
        <v>32376.1</v>
      </c>
    </row>
    <row r="323" spans="4:5" x14ac:dyDescent="0.25">
      <c r="D323" s="138">
        <v>45306</v>
      </c>
      <c r="E323">
        <v>32471.8</v>
      </c>
    </row>
    <row r="324" spans="4:5" x14ac:dyDescent="0.25">
      <c r="D324" s="138">
        <v>45303</v>
      </c>
      <c r="E324">
        <v>32173.66</v>
      </c>
    </row>
    <row r="325" spans="4:5" x14ac:dyDescent="0.25">
      <c r="D325" s="138">
        <v>45302</v>
      </c>
      <c r="E325">
        <v>31810.18</v>
      </c>
    </row>
    <row r="326" spans="4:5" x14ac:dyDescent="0.25">
      <c r="D326" s="138">
        <v>45301</v>
      </c>
      <c r="E326">
        <v>31768.3</v>
      </c>
    </row>
    <row r="327" spans="4:5" x14ac:dyDescent="0.25">
      <c r="D327" s="138">
        <v>45300</v>
      </c>
      <c r="E327">
        <v>31659.81</v>
      </c>
    </row>
    <row r="328" spans="4:5" x14ac:dyDescent="0.25">
      <c r="D328" s="138">
        <v>45299</v>
      </c>
      <c r="E328">
        <v>31613.01</v>
      </c>
    </row>
    <row r="329" spans="4:5" x14ac:dyDescent="0.25">
      <c r="D329" s="138">
        <v>45296</v>
      </c>
      <c r="E329">
        <v>31903.69</v>
      </c>
    </row>
    <row r="330" spans="4:5" x14ac:dyDescent="0.25">
      <c r="D330" s="138">
        <v>45295</v>
      </c>
      <c r="E330">
        <v>31826.97</v>
      </c>
    </row>
    <row r="331" spans="4:5" x14ac:dyDescent="0.25">
      <c r="D331" s="138">
        <v>45294</v>
      </c>
      <c r="E331">
        <v>31619.360000000001</v>
      </c>
    </row>
    <row r="332" spans="4:5" x14ac:dyDescent="0.25">
      <c r="D332" s="138">
        <v>45293</v>
      </c>
      <c r="E332">
        <v>31837.56</v>
      </c>
    </row>
    <row r="333" spans="4:5" x14ac:dyDescent="0.25">
      <c r="D333" s="138">
        <v>45292</v>
      </c>
      <c r="E333">
        <v>31949.360000000001</v>
      </c>
    </row>
    <row r="334" spans="4:5" x14ac:dyDescent="0.25">
      <c r="D334" s="138">
        <v>45289</v>
      </c>
      <c r="E334">
        <v>31933.93</v>
      </c>
    </row>
    <row r="335" spans="4:5" x14ac:dyDescent="0.25">
      <c r="D335" s="138">
        <v>45288</v>
      </c>
      <c r="E335">
        <v>32003.47</v>
      </c>
    </row>
    <row r="336" spans="4:5" x14ac:dyDescent="0.25">
      <c r="D336" s="138">
        <v>45287</v>
      </c>
      <c r="E336">
        <v>31821.31</v>
      </c>
    </row>
    <row r="337" spans="4:5" x14ac:dyDescent="0.25">
      <c r="D337" s="138">
        <v>45286</v>
      </c>
      <c r="E337">
        <v>31507.69</v>
      </c>
    </row>
    <row r="338" spans="4:5" x14ac:dyDescent="0.25">
      <c r="D338" s="138">
        <v>45282</v>
      </c>
      <c r="E338">
        <v>31372.6</v>
      </c>
    </row>
    <row r="339" spans="4:5" x14ac:dyDescent="0.25">
      <c r="D339" s="138">
        <v>45281</v>
      </c>
      <c r="E339">
        <v>31233.93</v>
      </c>
    </row>
    <row r="340" spans="4:5" x14ac:dyDescent="0.25">
      <c r="D340" s="138">
        <v>45280</v>
      </c>
      <c r="E340">
        <v>31079.759999999998</v>
      </c>
    </row>
    <row r="341" spans="4:5" x14ac:dyDescent="0.25">
      <c r="D341" s="138">
        <v>45279</v>
      </c>
      <c r="E341">
        <v>31525</v>
      </c>
    </row>
    <row r="342" spans="4:5" x14ac:dyDescent="0.25">
      <c r="D342" s="138">
        <v>45278</v>
      </c>
      <c r="E342">
        <v>31474.35</v>
      </c>
    </row>
    <row r="343" spans="4:5" x14ac:dyDescent="0.25">
      <c r="D343" s="138">
        <v>45275</v>
      </c>
      <c r="E343">
        <v>31530.19</v>
      </c>
    </row>
    <row r="344" spans="4:5" x14ac:dyDescent="0.25">
      <c r="D344" s="138">
        <v>45274</v>
      </c>
      <c r="E344">
        <v>31127.599999999999</v>
      </c>
    </row>
    <row r="345" spans="4:5" x14ac:dyDescent="0.25">
      <c r="D345" s="138">
        <v>45273</v>
      </c>
      <c r="E345">
        <v>30750.95</v>
      </c>
    </row>
    <row r="346" spans="4:5" x14ac:dyDescent="0.25">
      <c r="D346" s="138">
        <v>45272</v>
      </c>
      <c r="E346">
        <v>30721.59</v>
      </c>
    </row>
    <row r="347" spans="4:5" x14ac:dyDescent="0.25">
      <c r="D347" s="138">
        <v>45271</v>
      </c>
      <c r="E347">
        <v>30854.9</v>
      </c>
    </row>
    <row r="348" spans="4:5" x14ac:dyDescent="0.25">
      <c r="D348" s="138">
        <v>45268</v>
      </c>
      <c r="E348">
        <v>30814.15</v>
      </c>
    </row>
    <row r="349" spans="4:5" x14ac:dyDescent="0.25">
      <c r="D349" s="138">
        <v>45267</v>
      </c>
      <c r="E349">
        <v>30713.86</v>
      </c>
    </row>
    <row r="350" spans="4:5" x14ac:dyDescent="0.25">
      <c r="D350" s="138">
        <v>45266</v>
      </c>
      <c r="E350">
        <v>30767.599999999999</v>
      </c>
    </row>
    <row r="351" spans="4:5" x14ac:dyDescent="0.25">
      <c r="D351" s="138">
        <v>45265</v>
      </c>
      <c r="E351">
        <v>30646.19</v>
      </c>
    </row>
    <row r="352" spans="4:5" x14ac:dyDescent="0.25">
      <c r="D352" s="138">
        <v>45264</v>
      </c>
      <c r="E352">
        <v>30398.91</v>
      </c>
    </row>
    <row r="353" spans="4:5" x14ac:dyDescent="0.25">
      <c r="D353" s="138">
        <v>45261</v>
      </c>
      <c r="E353">
        <v>29783.34</v>
      </c>
    </row>
    <row r="354" spans="4:5" x14ac:dyDescent="0.25">
      <c r="D354" s="138">
        <v>45260</v>
      </c>
      <c r="E354">
        <v>29585.360000000001</v>
      </c>
    </row>
    <row r="355" spans="4:5" x14ac:dyDescent="0.25">
      <c r="D355" s="138">
        <v>45259</v>
      </c>
      <c r="E355">
        <v>29531.63</v>
      </c>
    </row>
    <row r="356" spans="4:5" x14ac:dyDescent="0.25">
      <c r="D356" s="138">
        <v>45258</v>
      </c>
      <c r="E356">
        <v>29227.61</v>
      </c>
    </row>
    <row r="357" spans="4:5" x14ac:dyDescent="0.25">
      <c r="D357" s="138">
        <v>45254</v>
      </c>
      <c r="E357">
        <v>29087.95</v>
      </c>
    </row>
    <row r="358" spans="4:5" x14ac:dyDescent="0.25">
      <c r="D358" s="138">
        <v>45253</v>
      </c>
      <c r="E358">
        <v>29098.74</v>
      </c>
    </row>
    <row r="359" spans="4:5" x14ac:dyDescent="0.25">
      <c r="D359" s="138">
        <v>45252</v>
      </c>
      <c r="E359">
        <v>29113.18</v>
      </c>
    </row>
    <row r="360" spans="4:5" x14ac:dyDescent="0.25">
      <c r="D360" s="138">
        <v>45251</v>
      </c>
      <c r="E360">
        <v>29071.360000000001</v>
      </c>
    </row>
    <row r="361" spans="4:5" x14ac:dyDescent="0.25">
      <c r="D361" s="138">
        <v>45250</v>
      </c>
      <c r="E361">
        <v>28939.98</v>
      </c>
    </row>
    <row r="362" spans="4:5" x14ac:dyDescent="0.25">
      <c r="D362" s="138">
        <v>45247</v>
      </c>
      <c r="E362">
        <v>28995.52</v>
      </c>
    </row>
    <row r="363" spans="4:5" x14ac:dyDescent="0.25">
      <c r="D363" s="138">
        <v>45246</v>
      </c>
      <c r="E363">
        <v>29044.66</v>
      </c>
    </row>
    <row r="364" spans="4:5" x14ac:dyDescent="0.25">
      <c r="D364" s="138">
        <v>45245</v>
      </c>
      <c r="E364">
        <v>28906.7</v>
      </c>
    </row>
    <row r="365" spans="4:5" x14ac:dyDescent="0.25">
      <c r="D365" s="138">
        <v>45243</v>
      </c>
      <c r="E365">
        <v>28565.95</v>
      </c>
    </row>
    <row r="366" spans="4:5" x14ac:dyDescent="0.25">
      <c r="D366" s="138">
        <v>45242</v>
      </c>
      <c r="E366">
        <v>28686.47</v>
      </c>
    </row>
    <row r="367" spans="4:5" x14ac:dyDescent="0.25">
      <c r="D367" s="138">
        <v>45240</v>
      </c>
      <c r="E367">
        <v>28539.24</v>
      </c>
    </row>
    <row r="368" spans="4:5" x14ac:dyDescent="0.25">
      <c r="D368" s="138">
        <v>45239</v>
      </c>
      <c r="E368">
        <v>28495.08</v>
      </c>
    </row>
    <row r="369" spans="4:5" x14ac:dyDescent="0.25">
      <c r="D369" s="138">
        <v>45238</v>
      </c>
      <c r="E369">
        <v>28565.86</v>
      </c>
    </row>
    <row r="370" spans="4:5" x14ac:dyDescent="0.25">
      <c r="D370" s="138">
        <v>45237</v>
      </c>
      <c r="E370">
        <v>28511.81</v>
      </c>
    </row>
    <row r="371" spans="4:5" x14ac:dyDescent="0.25">
      <c r="D371" s="138">
        <v>45236</v>
      </c>
      <c r="E371">
        <v>28519.25</v>
      </c>
    </row>
    <row r="372" spans="4:5" x14ac:dyDescent="0.25">
      <c r="D372" s="138">
        <v>45233</v>
      </c>
      <c r="E372">
        <v>28253.09</v>
      </c>
    </row>
    <row r="373" spans="4:5" x14ac:dyDescent="0.25">
      <c r="D373" s="138">
        <v>45232</v>
      </c>
      <c r="E373">
        <v>28105.75</v>
      </c>
    </row>
    <row r="374" spans="4:5" x14ac:dyDescent="0.25">
      <c r="D374" s="138">
        <v>45231</v>
      </c>
      <c r="E374">
        <v>27886.240000000002</v>
      </c>
    </row>
    <row r="375" spans="4:5" x14ac:dyDescent="0.25">
      <c r="D375" s="138">
        <v>45230</v>
      </c>
      <c r="E375">
        <v>28017.360000000001</v>
      </c>
    </row>
    <row r="376" spans="4:5" x14ac:dyDescent="0.25">
      <c r="D376" s="138">
        <v>45229</v>
      </c>
      <c r="E376">
        <v>28107.42</v>
      </c>
    </row>
    <row r="377" spans="4:5" x14ac:dyDescent="0.25">
      <c r="D377" s="138">
        <v>45226</v>
      </c>
      <c r="E377">
        <v>27969.919999999998</v>
      </c>
    </row>
    <row r="378" spans="4:5" x14ac:dyDescent="0.25">
      <c r="D378" s="138">
        <v>45225</v>
      </c>
      <c r="E378">
        <v>27690.29</v>
      </c>
    </row>
    <row r="379" spans="4:5" x14ac:dyDescent="0.25">
      <c r="D379" s="138">
        <v>45224</v>
      </c>
      <c r="E379">
        <v>28079.26</v>
      </c>
    </row>
    <row r="380" spans="4:5" x14ac:dyDescent="0.25">
      <c r="D380" s="138">
        <v>45222</v>
      </c>
      <c r="E380">
        <v>28291.96</v>
      </c>
    </row>
    <row r="381" spans="4:5" x14ac:dyDescent="0.25">
      <c r="D381" s="138">
        <v>45219</v>
      </c>
      <c r="E381">
        <v>28674.78</v>
      </c>
    </row>
    <row r="382" spans="4:5" x14ac:dyDescent="0.25">
      <c r="D382" s="138">
        <v>45218</v>
      </c>
      <c r="E382">
        <v>28790.880000000001</v>
      </c>
    </row>
    <row r="383" spans="4:5" x14ac:dyDescent="0.25">
      <c r="D383" s="138">
        <v>45217</v>
      </c>
      <c r="E383">
        <v>28855.87</v>
      </c>
    </row>
    <row r="384" spans="4:5" x14ac:dyDescent="0.25">
      <c r="D384" s="138">
        <v>45216</v>
      </c>
      <c r="E384">
        <v>29061.8</v>
      </c>
    </row>
    <row r="385" spans="4:5" x14ac:dyDescent="0.25">
      <c r="D385" s="138">
        <v>45215</v>
      </c>
      <c r="E385">
        <v>28944.87</v>
      </c>
    </row>
    <row r="386" spans="4:5" x14ac:dyDescent="0.25">
      <c r="D386" s="138">
        <v>45212</v>
      </c>
      <c r="E386">
        <v>28973.14</v>
      </c>
    </row>
    <row r="387" spans="4:5" x14ac:dyDescent="0.25">
      <c r="D387" s="138">
        <v>45211</v>
      </c>
      <c r="E387">
        <v>29036.17</v>
      </c>
    </row>
    <row r="388" spans="4:5" x14ac:dyDescent="0.25">
      <c r="D388" s="138">
        <v>45210</v>
      </c>
      <c r="E388">
        <v>29061.61</v>
      </c>
    </row>
    <row r="389" spans="4:5" x14ac:dyDescent="0.25">
      <c r="D389" s="138">
        <v>45209</v>
      </c>
      <c r="E389">
        <v>28883.35</v>
      </c>
    </row>
    <row r="390" spans="4:5" x14ac:dyDescent="0.25">
      <c r="D390" s="138">
        <v>45208</v>
      </c>
      <c r="E390">
        <v>28622.98</v>
      </c>
    </row>
    <row r="391" spans="4:5" x14ac:dyDescent="0.25">
      <c r="D391" s="138">
        <v>45205</v>
      </c>
      <c r="E391">
        <v>28830.080000000002</v>
      </c>
    </row>
    <row r="392" spans="4:5" x14ac:dyDescent="0.25">
      <c r="D392" s="138">
        <v>45204</v>
      </c>
      <c r="E392">
        <v>28671.97</v>
      </c>
    </row>
    <row r="393" spans="4:5" x14ac:dyDescent="0.25">
      <c r="D393" s="138">
        <v>45203</v>
      </c>
      <c r="E393">
        <v>28511.13</v>
      </c>
    </row>
    <row r="394" spans="4:5" x14ac:dyDescent="0.25">
      <c r="D394" s="138">
        <v>45202</v>
      </c>
      <c r="E394">
        <v>28647.040000000001</v>
      </c>
    </row>
    <row r="395" spans="4:5" x14ac:dyDescent="0.25">
      <c r="D395" s="138">
        <v>45198</v>
      </c>
      <c r="E395">
        <v>28807.77</v>
      </c>
    </row>
    <row r="396" spans="4:5" x14ac:dyDescent="0.25">
      <c r="D396" s="138">
        <v>45197</v>
      </c>
      <c r="E396">
        <v>28639.439999999999</v>
      </c>
    </row>
    <row r="397" spans="4:5" x14ac:dyDescent="0.25">
      <c r="D397" s="138">
        <v>45196</v>
      </c>
      <c r="E397">
        <v>28922.43</v>
      </c>
    </row>
    <row r="398" spans="4:5" x14ac:dyDescent="0.25">
      <c r="D398" s="138">
        <v>45195</v>
      </c>
      <c r="E398">
        <v>28846.47</v>
      </c>
    </row>
    <row r="399" spans="4:5" x14ac:dyDescent="0.25">
      <c r="D399" s="138">
        <v>45194</v>
      </c>
      <c r="E399">
        <v>28860.9</v>
      </c>
    </row>
    <row r="400" spans="4:5" x14ac:dyDescent="0.25">
      <c r="D400" s="138">
        <v>45191</v>
      </c>
      <c r="E400">
        <v>28860.46</v>
      </c>
    </row>
    <row r="401" spans="4:5" x14ac:dyDescent="0.25">
      <c r="D401" s="138">
        <v>45190</v>
      </c>
      <c r="E401">
        <v>28960.36</v>
      </c>
    </row>
    <row r="402" spans="4:5" x14ac:dyDescent="0.25">
      <c r="D402" s="138">
        <v>45189</v>
      </c>
      <c r="E402">
        <v>29193.69</v>
      </c>
    </row>
    <row r="403" spans="4:5" x14ac:dyDescent="0.25">
      <c r="D403" s="138">
        <v>45187</v>
      </c>
      <c r="E403">
        <v>29533.91</v>
      </c>
    </row>
    <row r="404" spans="4:5" x14ac:dyDescent="0.25">
      <c r="D404" s="138">
        <v>45184</v>
      </c>
      <c r="E404">
        <v>29620.53</v>
      </c>
    </row>
    <row r="405" spans="4:5" x14ac:dyDescent="0.25">
      <c r="D405" s="138">
        <v>45183</v>
      </c>
      <c r="E405">
        <v>29489.61</v>
      </c>
    </row>
    <row r="406" spans="4:5" x14ac:dyDescent="0.25">
      <c r="D406" s="138">
        <v>45182</v>
      </c>
      <c r="E406">
        <v>29441.040000000001</v>
      </c>
    </row>
    <row r="407" spans="4:5" x14ac:dyDescent="0.25">
      <c r="D407" s="138">
        <v>45181</v>
      </c>
      <c r="E407">
        <v>29328.37</v>
      </c>
    </row>
    <row r="408" spans="4:5" x14ac:dyDescent="0.25">
      <c r="D408" s="138">
        <v>45180</v>
      </c>
      <c r="E408">
        <v>29333</v>
      </c>
    </row>
    <row r="409" spans="4:5" x14ac:dyDescent="0.25">
      <c r="D409" s="138">
        <v>45177</v>
      </c>
      <c r="E409">
        <v>29074.22</v>
      </c>
    </row>
    <row r="410" spans="4:5" x14ac:dyDescent="0.25">
      <c r="D410" s="138">
        <v>45176</v>
      </c>
      <c r="E410">
        <v>28937.96</v>
      </c>
    </row>
    <row r="411" spans="4:5" x14ac:dyDescent="0.25">
      <c r="D411" s="138">
        <v>45175</v>
      </c>
      <c r="E411">
        <v>28767.78</v>
      </c>
    </row>
    <row r="412" spans="4:5" x14ac:dyDescent="0.25">
      <c r="D412" s="138">
        <v>45174</v>
      </c>
      <c r="E412">
        <v>28714.78</v>
      </c>
    </row>
    <row r="413" spans="4:5" x14ac:dyDescent="0.25">
      <c r="D413" s="138">
        <v>45173</v>
      </c>
      <c r="E413">
        <v>28647.16</v>
      </c>
    </row>
    <row r="414" spans="4:5" x14ac:dyDescent="0.25">
      <c r="D414" s="138">
        <v>45170</v>
      </c>
      <c r="E414">
        <v>28509.94</v>
      </c>
    </row>
    <row r="415" spans="4:5" x14ac:dyDescent="0.25">
      <c r="D415" s="138">
        <v>45169</v>
      </c>
      <c r="E415">
        <v>28243.74</v>
      </c>
    </row>
    <row r="416" spans="4:5" x14ac:dyDescent="0.25">
      <c r="D416" s="138">
        <v>45168</v>
      </c>
      <c r="E416">
        <v>28381.13</v>
      </c>
    </row>
    <row r="417" spans="4:5" x14ac:dyDescent="0.25">
      <c r="D417" s="138">
        <v>45167</v>
      </c>
      <c r="E417">
        <v>28374.03</v>
      </c>
    </row>
    <row r="418" spans="4:5" x14ac:dyDescent="0.25">
      <c r="D418" s="138">
        <v>45166</v>
      </c>
      <c r="E418">
        <v>28320.400000000001</v>
      </c>
    </row>
    <row r="419" spans="4:5" x14ac:dyDescent="0.25">
      <c r="D419" s="138">
        <v>45163</v>
      </c>
      <c r="E419">
        <v>28261.32</v>
      </c>
    </row>
    <row r="420" spans="4:5" x14ac:dyDescent="0.25">
      <c r="D420" s="138">
        <v>45162</v>
      </c>
      <c r="E420">
        <v>28438.68</v>
      </c>
    </row>
    <row r="421" spans="4:5" x14ac:dyDescent="0.25">
      <c r="D421" s="138">
        <v>45161</v>
      </c>
      <c r="E421">
        <v>28522.76</v>
      </c>
    </row>
    <row r="422" spans="4:5" x14ac:dyDescent="0.25">
      <c r="D422" s="138">
        <v>45160</v>
      </c>
      <c r="E422">
        <v>28453.01</v>
      </c>
    </row>
    <row r="423" spans="4:5" x14ac:dyDescent="0.25">
      <c r="D423" s="138">
        <v>45159</v>
      </c>
      <c r="E423">
        <v>28448.83</v>
      </c>
    </row>
    <row r="424" spans="4:5" x14ac:dyDescent="0.25">
      <c r="D424" s="138">
        <v>45156</v>
      </c>
      <c r="E424">
        <v>28316.31</v>
      </c>
    </row>
    <row r="425" spans="4:5" x14ac:dyDescent="0.25">
      <c r="D425" s="138">
        <v>45155</v>
      </c>
      <c r="E425">
        <v>28393.16</v>
      </c>
    </row>
    <row r="426" spans="4:5" x14ac:dyDescent="0.25">
      <c r="D426" s="138">
        <v>45154</v>
      </c>
      <c r="E426">
        <v>28539.38</v>
      </c>
    </row>
    <row r="427" spans="4:5" x14ac:dyDescent="0.25">
      <c r="D427" s="138">
        <v>45152</v>
      </c>
      <c r="E427">
        <v>28494.78</v>
      </c>
    </row>
    <row r="428" spans="4:5" x14ac:dyDescent="0.25">
      <c r="D428" s="138">
        <v>45149</v>
      </c>
      <c r="E428">
        <v>28482.45</v>
      </c>
    </row>
    <row r="429" spans="4:5" x14ac:dyDescent="0.25">
      <c r="D429" s="138">
        <v>45148</v>
      </c>
      <c r="E429">
        <v>28638.92</v>
      </c>
    </row>
    <row r="430" spans="4:5" x14ac:dyDescent="0.25">
      <c r="D430" s="138">
        <v>45147</v>
      </c>
      <c r="E430">
        <v>28769.97</v>
      </c>
    </row>
    <row r="431" spans="4:5" x14ac:dyDescent="0.25">
      <c r="D431" s="138">
        <v>45146</v>
      </c>
      <c r="E431">
        <v>28661.08</v>
      </c>
    </row>
    <row r="432" spans="4:5" x14ac:dyDescent="0.25">
      <c r="D432" s="138">
        <v>45145</v>
      </c>
      <c r="E432">
        <v>28699.8</v>
      </c>
    </row>
    <row r="433" spans="4:5" x14ac:dyDescent="0.25">
      <c r="D433" s="138">
        <v>45142</v>
      </c>
      <c r="E433">
        <v>28582.25</v>
      </c>
    </row>
    <row r="434" spans="4:5" x14ac:dyDescent="0.25">
      <c r="D434" s="138">
        <v>45141</v>
      </c>
      <c r="E434">
        <v>28383.279999999999</v>
      </c>
    </row>
    <row r="435" spans="4:5" x14ac:dyDescent="0.25">
      <c r="D435" s="138">
        <v>45140</v>
      </c>
      <c r="E435">
        <v>28589.81</v>
      </c>
    </row>
    <row r="436" spans="4:5" x14ac:dyDescent="0.25">
      <c r="D436" s="138">
        <v>45139</v>
      </c>
      <c r="E436">
        <v>28880.78</v>
      </c>
    </row>
    <row r="437" spans="4:5" x14ac:dyDescent="0.25">
      <c r="D437" s="138">
        <v>45138</v>
      </c>
      <c r="E437">
        <v>28910.43</v>
      </c>
    </row>
    <row r="438" spans="4:5" x14ac:dyDescent="0.25">
      <c r="D438" s="138">
        <v>45135</v>
      </c>
      <c r="E438">
        <v>28752.69</v>
      </c>
    </row>
    <row r="439" spans="4:5" x14ac:dyDescent="0.25">
      <c r="D439" s="138">
        <v>45134</v>
      </c>
      <c r="E439">
        <v>28769.02</v>
      </c>
    </row>
    <row r="440" spans="4:5" x14ac:dyDescent="0.25">
      <c r="D440" s="138">
        <v>45133</v>
      </c>
      <c r="E440">
        <v>28939.3</v>
      </c>
    </row>
    <row r="441" spans="4:5" x14ac:dyDescent="0.25">
      <c r="D441" s="138">
        <v>45132</v>
      </c>
      <c r="E441">
        <v>28796.35</v>
      </c>
    </row>
    <row r="442" spans="4:5" x14ac:dyDescent="0.25">
      <c r="D442" s="138">
        <v>45131</v>
      </c>
      <c r="E442">
        <v>28784.26</v>
      </c>
    </row>
    <row r="443" spans="4:5" x14ac:dyDescent="0.25">
      <c r="D443" s="138">
        <v>45128</v>
      </c>
      <c r="E443">
        <v>28890.53</v>
      </c>
    </row>
    <row r="444" spans="4:5" x14ac:dyDescent="0.25">
      <c r="D444" s="138">
        <v>45127</v>
      </c>
      <c r="E444">
        <v>29231.71</v>
      </c>
    </row>
    <row r="445" spans="4:5" x14ac:dyDescent="0.25">
      <c r="D445" s="138">
        <v>45126</v>
      </c>
      <c r="E445">
        <v>29011.55</v>
      </c>
    </row>
    <row r="446" spans="4:5" x14ac:dyDescent="0.25">
      <c r="D446" s="138">
        <v>45125</v>
      </c>
      <c r="E446">
        <v>28888.85</v>
      </c>
    </row>
    <row r="447" spans="4:5" x14ac:dyDescent="0.25">
      <c r="D447" s="138">
        <v>45124</v>
      </c>
      <c r="E447">
        <v>28833.54</v>
      </c>
    </row>
    <row r="448" spans="4:5" x14ac:dyDescent="0.25">
      <c r="D448" s="138">
        <v>45121</v>
      </c>
      <c r="E448">
        <v>28618.6</v>
      </c>
    </row>
    <row r="449" spans="4:5" x14ac:dyDescent="0.25">
      <c r="D449" s="138">
        <v>45120</v>
      </c>
      <c r="E449">
        <v>28393.32</v>
      </c>
    </row>
    <row r="450" spans="4:5" x14ac:dyDescent="0.25">
      <c r="D450" s="138">
        <v>45119</v>
      </c>
      <c r="E450">
        <v>28348.880000000001</v>
      </c>
    </row>
    <row r="451" spans="4:5" x14ac:dyDescent="0.25">
      <c r="D451" s="138">
        <v>45118</v>
      </c>
      <c r="E451">
        <v>28429.42</v>
      </c>
    </row>
    <row r="452" spans="4:5" x14ac:dyDescent="0.25">
      <c r="D452" s="138">
        <v>45117</v>
      </c>
      <c r="E452">
        <v>28304.66</v>
      </c>
    </row>
    <row r="453" spans="4:5" x14ac:dyDescent="0.25">
      <c r="D453" s="138">
        <v>45114</v>
      </c>
      <c r="E453">
        <v>28269.43</v>
      </c>
    </row>
    <row r="454" spans="4:5" x14ac:dyDescent="0.25">
      <c r="D454" s="138">
        <v>45113</v>
      </c>
      <c r="E454">
        <v>28510.39</v>
      </c>
    </row>
    <row r="455" spans="4:5" x14ac:dyDescent="0.25">
      <c r="D455" s="138">
        <v>45112</v>
      </c>
      <c r="E455">
        <v>28365.96</v>
      </c>
    </row>
    <row r="456" spans="4:5" x14ac:dyDescent="0.25">
      <c r="D456" s="138">
        <v>45111</v>
      </c>
      <c r="E456">
        <v>28352.01</v>
      </c>
    </row>
    <row r="457" spans="4:5" x14ac:dyDescent="0.25">
      <c r="D457" s="138">
        <v>45110</v>
      </c>
      <c r="E457">
        <v>28254.9</v>
      </c>
    </row>
    <row r="458" spans="4:5" x14ac:dyDescent="0.25">
      <c r="D458" s="138">
        <v>45107</v>
      </c>
      <c r="E458">
        <v>28059.65</v>
      </c>
    </row>
    <row r="459" spans="4:5" x14ac:dyDescent="0.25">
      <c r="D459" s="138">
        <v>45105</v>
      </c>
      <c r="E459">
        <v>27739.64</v>
      </c>
    </row>
    <row r="460" spans="4:5" x14ac:dyDescent="0.25">
      <c r="D460" s="138">
        <v>45104</v>
      </c>
      <c r="E460">
        <v>27513.45</v>
      </c>
    </row>
    <row r="461" spans="4:5" x14ac:dyDescent="0.25">
      <c r="D461" s="138">
        <v>45103</v>
      </c>
      <c r="E461">
        <v>27328.91</v>
      </c>
    </row>
    <row r="462" spans="4:5" x14ac:dyDescent="0.25">
      <c r="D462" s="138">
        <v>45100</v>
      </c>
      <c r="E462">
        <v>27291.39</v>
      </c>
    </row>
    <row r="463" spans="4:5" x14ac:dyDescent="0.25">
      <c r="D463" s="138">
        <v>45099</v>
      </c>
      <c r="E463">
        <v>27445.97</v>
      </c>
    </row>
    <row r="464" spans="4:5" x14ac:dyDescent="0.25">
      <c r="D464" s="138">
        <v>45098</v>
      </c>
      <c r="E464">
        <v>27571.14</v>
      </c>
    </row>
    <row r="465" spans="4:5" x14ac:dyDescent="0.25">
      <c r="D465" s="138">
        <v>45097</v>
      </c>
      <c r="E465">
        <v>27512.41</v>
      </c>
    </row>
    <row r="466" spans="4:5" x14ac:dyDescent="0.25">
      <c r="D466" s="138">
        <v>45096</v>
      </c>
      <c r="E466">
        <v>27422.87</v>
      </c>
    </row>
    <row r="467" spans="4:5" x14ac:dyDescent="0.25">
      <c r="D467" s="138">
        <v>45093</v>
      </c>
      <c r="E467">
        <v>27519.439999999999</v>
      </c>
    </row>
    <row r="468" spans="4:5" x14ac:dyDescent="0.25">
      <c r="D468" s="138">
        <v>45092</v>
      </c>
      <c r="E468">
        <v>27317.25</v>
      </c>
    </row>
    <row r="469" spans="4:5" x14ac:dyDescent="0.25">
      <c r="D469" s="138">
        <v>45091</v>
      </c>
      <c r="E469">
        <v>27408.12</v>
      </c>
    </row>
    <row r="470" spans="4:5" x14ac:dyDescent="0.25">
      <c r="D470" s="138">
        <v>45090</v>
      </c>
      <c r="E470">
        <v>27350.09</v>
      </c>
    </row>
    <row r="471" spans="4:5" x14ac:dyDescent="0.25">
      <c r="D471" s="138">
        <v>45089</v>
      </c>
      <c r="E471">
        <v>27182.55</v>
      </c>
    </row>
    <row r="472" spans="4:5" x14ac:dyDescent="0.25">
      <c r="D472" s="138">
        <v>45086</v>
      </c>
      <c r="E472">
        <v>27126.86</v>
      </c>
    </row>
    <row r="473" spans="4:5" x14ac:dyDescent="0.25">
      <c r="D473" s="138">
        <v>45085</v>
      </c>
      <c r="E473">
        <v>27227.59</v>
      </c>
    </row>
    <row r="474" spans="4:5" x14ac:dyDescent="0.25">
      <c r="D474" s="138">
        <v>45084</v>
      </c>
      <c r="E474">
        <v>27361.85</v>
      </c>
    </row>
    <row r="475" spans="4:5" x14ac:dyDescent="0.25">
      <c r="D475" s="138">
        <v>45083</v>
      </c>
      <c r="E475">
        <v>27175.7</v>
      </c>
    </row>
    <row r="476" spans="4:5" x14ac:dyDescent="0.25">
      <c r="D476" s="138">
        <v>45082</v>
      </c>
      <c r="E476">
        <v>27168.13</v>
      </c>
    </row>
    <row r="477" spans="4:5" x14ac:dyDescent="0.25">
      <c r="D477" s="138">
        <v>45079</v>
      </c>
      <c r="E477">
        <v>27080.87</v>
      </c>
    </row>
    <row r="478" spans="4:5" x14ac:dyDescent="0.25">
      <c r="D478" s="138">
        <v>45078</v>
      </c>
      <c r="E478">
        <v>26989.35</v>
      </c>
    </row>
    <row r="479" spans="4:5" x14ac:dyDescent="0.25">
      <c r="D479" s="138">
        <v>45077</v>
      </c>
      <c r="E479">
        <v>27057.439999999999</v>
      </c>
    </row>
    <row r="480" spans="4:5" x14ac:dyDescent="0.25">
      <c r="D480" s="138">
        <v>45076</v>
      </c>
      <c r="E480">
        <v>27188.18</v>
      </c>
    </row>
    <row r="481" spans="4:5" x14ac:dyDescent="0.25">
      <c r="D481" s="138">
        <v>45075</v>
      </c>
      <c r="E481">
        <v>27136.82</v>
      </c>
    </row>
    <row r="482" spans="4:5" x14ac:dyDescent="0.25">
      <c r="D482" s="138">
        <v>45072</v>
      </c>
      <c r="E482">
        <v>26991.87</v>
      </c>
    </row>
    <row r="483" spans="4:5" x14ac:dyDescent="0.25">
      <c r="D483" s="138">
        <v>45071</v>
      </c>
      <c r="E483">
        <v>26731.86</v>
      </c>
    </row>
    <row r="484" spans="4:5" x14ac:dyDescent="0.25">
      <c r="D484" s="138">
        <v>45070</v>
      </c>
      <c r="E484">
        <v>26679.72</v>
      </c>
    </row>
    <row r="485" spans="4:5" x14ac:dyDescent="0.25">
      <c r="D485" s="138">
        <v>45069</v>
      </c>
      <c r="E485">
        <v>26771.1</v>
      </c>
    </row>
    <row r="486" spans="4:5" x14ac:dyDescent="0.25">
      <c r="D486" s="138">
        <v>45068</v>
      </c>
      <c r="E486">
        <v>26722.03</v>
      </c>
    </row>
    <row r="487" spans="4:5" x14ac:dyDescent="0.25">
      <c r="D487" s="138">
        <v>45065</v>
      </c>
      <c r="E487">
        <v>26560.1</v>
      </c>
    </row>
    <row r="488" spans="4:5" x14ac:dyDescent="0.25">
      <c r="D488" s="138">
        <v>45064</v>
      </c>
      <c r="E488">
        <v>26451.26</v>
      </c>
    </row>
    <row r="489" spans="4:5" x14ac:dyDescent="0.25">
      <c r="D489" s="138">
        <v>45063</v>
      </c>
      <c r="E489">
        <v>26526.82</v>
      </c>
    </row>
    <row r="490" spans="4:5" x14ac:dyDescent="0.25">
      <c r="D490" s="138">
        <v>45062</v>
      </c>
      <c r="E490">
        <v>26679.67</v>
      </c>
    </row>
    <row r="491" spans="4:5" x14ac:dyDescent="0.25">
      <c r="D491" s="138">
        <v>45061</v>
      </c>
      <c r="E491">
        <v>26789.02</v>
      </c>
    </row>
    <row r="492" spans="4:5" x14ac:dyDescent="0.25">
      <c r="D492" s="138">
        <v>45058</v>
      </c>
      <c r="E492">
        <v>26666.67</v>
      </c>
    </row>
    <row r="493" spans="4:5" x14ac:dyDescent="0.25">
      <c r="D493" s="138">
        <v>45057</v>
      </c>
      <c r="E493">
        <v>26640.77</v>
      </c>
    </row>
    <row r="494" spans="4:5" x14ac:dyDescent="0.25">
      <c r="D494" s="138">
        <v>45056</v>
      </c>
      <c r="E494">
        <v>26667.11</v>
      </c>
    </row>
    <row r="495" spans="4:5" x14ac:dyDescent="0.25">
      <c r="D495" s="138">
        <v>45055</v>
      </c>
      <c r="E495">
        <v>26595.52</v>
      </c>
    </row>
    <row r="496" spans="4:5" x14ac:dyDescent="0.25">
      <c r="D496" s="138">
        <v>45054</v>
      </c>
      <c r="E496">
        <v>26593.29</v>
      </c>
    </row>
    <row r="497" spans="4:5" x14ac:dyDescent="0.25">
      <c r="D497" s="138">
        <v>45051</v>
      </c>
      <c r="E497">
        <v>26308.78</v>
      </c>
    </row>
    <row r="498" spans="4:5" x14ac:dyDescent="0.25">
      <c r="D498" s="138">
        <v>45050</v>
      </c>
      <c r="E498">
        <v>26580.77</v>
      </c>
    </row>
    <row r="499" spans="4:5" x14ac:dyDescent="0.25">
      <c r="D499" s="138">
        <v>45049</v>
      </c>
      <c r="E499">
        <v>26339.14</v>
      </c>
    </row>
    <row r="500" spans="4:5" x14ac:dyDescent="0.25">
      <c r="D500" s="138">
        <v>45048</v>
      </c>
      <c r="E500">
        <v>26423.3</v>
      </c>
    </row>
    <row r="501" spans="4:5" x14ac:dyDescent="0.25">
      <c r="D501" s="138">
        <v>45044</v>
      </c>
      <c r="E501">
        <v>26302.92</v>
      </c>
    </row>
    <row r="502" spans="4:5" x14ac:dyDescent="0.25">
      <c r="D502" s="138">
        <v>45043</v>
      </c>
      <c r="E502">
        <v>26078.38</v>
      </c>
    </row>
    <row r="503" spans="4:5" x14ac:dyDescent="0.25">
      <c r="D503" s="138">
        <v>45042</v>
      </c>
      <c r="E503">
        <v>25930.7</v>
      </c>
    </row>
    <row r="504" spans="4:5" x14ac:dyDescent="0.25">
      <c r="D504" s="138">
        <v>45041</v>
      </c>
      <c r="E504">
        <v>25866.09</v>
      </c>
    </row>
    <row r="505" spans="4:5" x14ac:dyDescent="0.25">
      <c r="D505" s="138">
        <v>45040</v>
      </c>
      <c r="E505">
        <v>25828.46</v>
      </c>
    </row>
    <row r="506" spans="4:5" x14ac:dyDescent="0.25">
      <c r="D506" s="138">
        <v>45037</v>
      </c>
      <c r="E506">
        <v>25654.78</v>
      </c>
    </row>
    <row r="507" spans="4:5" x14ac:dyDescent="0.25">
      <c r="D507" s="138">
        <v>45036</v>
      </c>
      <c r="E507">
        <v>25654.16</v>
      </c>
    </row>
    <row r="508" spans="4:5" x14ac:dyDescent="0.25">
      <c r="D508" s="138">
        <v>45035</v>
      </c>
      <c r="E508">
        <v>25645.82</v>
      </c>
    </row>
    <row r="509" spans="4:5" x14ac:dyDescent="0.25">
      <c r="D509" s="138">
        <v>45034</v>
      </c>
      <c r="E509">
        <v>25706.09</v>
      </c>
    </row>
    <row r="510" spans="4:5" x14ac:dyDescent="0.25">
      <c r="D510" s="138">
        <v>45033</v>
      </c>
      <c r="E510">
        <v>25774.07</v>
      </c>
    </row>
    <row r="511" spans="4:5" x14ac:dyDescent="0.25">
      <c r="D511" s="138">
        <v>45029</v>
      </c>
      <c r="E511">
        <v>25950.39</v>
      </c>
    </row>
    <row r="512" spans="4:5" x14ac:dyDescent="0.25">
      <c r="D512" s="138">
        <v>45028</v>
      </c>
      <c r="E512">
        <v>25924.89</v>
      </c>
    </row>
    <row r="513" spans="4:5" x14ac:dyDescent="0.25">
      <c r="D513" s="138">
        <v>45027</v>
      </c>
      <c r="E513">
        <v>25793.77</v>
      </c>
    </row>
    <row r="514" spans="4:5" x14ac:dyDescent="0.25">
      <c r="D514" s="138">
        <v>45026</v>
      </c>
      <c r="E514">
        <v>25650.73</v>
      </c>
    </row>
    <row r="515" spans="4:5" x14ac:dyDescent="0.25">
      <c r="D515" s="138">
        <v>45022</v>
      </c>
      <c r="E515">
        <v>25614.55</v>
      </c>
    </row>
    <row r="516" spans="4:5" x14ac:dyDescent="0.25">
      <c r="D516" s="138">
        <v>45021</v>
      </c>
      <c r="E516">
        <v>25553.279999999999</v>
      </c>
    </row>
    <row r="517" spans="4:5" x14ac:dyDescent="0.25">
      <c r="D517" s="138">
        <v>45019</v>
      </c>
      <c r="E517">
        <v>25321.85</v>
      </c>
    </row>
    <row r="518" spans="4:5" x14ac:dyDescent="0.25">
      <c r="D518" s="138">
        <v>45016</v>
      </c>
      <c r="E518">
        <v>25266.06</v>
      </c>
    </row>
    <row r="519" spans="4:5" x14ac:dyDescent="0.25">
      <c r="D519" s="138">
        <v>45014</v>
      </c>
      <c r="E519">
        <v>24859.93</v>
      </c>
    </row>
    <row r="520" spans="4:5" x14ac:dyDescent="0.25">
      <c r="D520" s="138">
        <v>45013</v>
      </c>
      <c r="E520">
        <v>24672.17</v>
      </c>
    </row>
    <row r="521" spans="4:5" x14ac:dyDescent="0.25">
      <c r="D521" s="138">
        <v>45012</v>
      </c>
      <c r="E521">
        <v>24721.71</v>
      </c>
    </row>
    <row r="522" spans="4:5" x14ac:dyDescent="0.25">
      <c r="D522" s="138">
        <v>45009</v>
      </c>
      <c r="E522">
        <v>24662.53</v>
      </c>
    </row>
    <row r="523" spans="4:5" x14ac:dyDescent="0.25">
      <c r="D523" s="138">
        <v>45008</v>
      </c>
      <c r="E523">
        <v>24854.39</v>
      </c>
    </row>
    <row r="524" spans="4:5" x14ac:dyDescent="0.25">
      <c r="D524" s="138">
        <v>45007</v>
      </c>
      <c r="E524">
        <v>24963.55</v>
      </c>
    </row>
    <row r="525" spans="4:5" x14ac:dyDescent="0.25">
      <c r="D525" s="138">
        <v>45006</v>
      </c>
      <c r="E525">
        <v>24898.97</v>
      </c>
    </row>
    <row r="526" spans="4:5" x14ac:dyDescent="0.25">
      <c r="D526" s="138">
        <v>45005</v>
      </c>
      <c r="E526">
        <v>24725.599999999999</v>
      </c>
    </row>
    <row r="527" spans="4:5" x14ac:dyDescent="0.25">
      <c r="D527" s="138">
        <v>45002</v>
      </c>
      <c r="E527">
        <v>24888.1</v>
      </c>
    </row>
    <row r="528" spans="4:5" x14ac:dyDescent="0.25">
      <c r="D528" s="138">
        <v>45001</v>
      </c>
      <c r="E528">
        <v>24721.52</v>
      </c>
    </row>
    <row r="529" spans="4:5" x14ac:dyDescent="0.25">
      <c r="D529" s="138">
        <v>45000</v>
      </c>
      <c r="E529">
        <v>24701.599999999999</v>
      </c>
    </row>
    <row r="530" spans="4:5" x14ac:dyDescent="0.25">
      <c r="D530" s="138">
        <v>44999</v>
      </c>
      <c r="E530">
        <v>24805.11</v>
      </c>
    </row>
    <row r="531" spans="4:5" x14ac:dyDescent="0.25">
      <c r="D531" s="138">
        <v>44998</v>
      </c>
      <c r="E531">
        <v>24966.68</v>
      </c>
    </row>
    <row r="532" spans="4:5" x14ac:dyDescent="0.25">
      <c r="D532" s="138">
        <v>44995</v>
      </c>
      <c r="E532">
        <v>25343.09</v>
      </c>
    </row>
    <row r="533" spans="4:5" x14ac:dyDescent="0.25">
      <c r="D533" s="138">
        <v>44994</v>
      </c>
      <c r="E533">
        <v>25600.240000000002</v>
      </c>
    </row>
    <row r="534" spans="4:5" x14ac:dyDescent="0.25">
      <c r="D534" s="138">
        <v>44993</v>
      </c>
      <c r="E534">
        <v>25840.12</v>
      </c>
    </row>
    <row r="535" spans="4:5" x14ac:dyDescent="0.25">
      <c r="D535" s="138">
        <v>44991</v>
      </c>
      <c r="E535">
        <v>25777.599999999999</v>
      </c>
    </row>
    <row r="536" spans="4:5" x14ac:dyDescent="0.25">
      <c r="D536" s="138">
        <v>44988</v>
      </c>
      <c r="E536">
        <v>25607.14</v>
      </c>
    </row>
    <row r="537" spans="4:5" x14ac:dyDescent="0.25">
      <c r="D537" s="138">
        <v>44987</v>
      </c>
      <c r="E537">
        <v>25210.65</v>
      </c>
    </row>
    <row r="538" spans="4:5" x14ac:dyDescent="0.25">
      <c r="D538" s="138">
        <v>44986</v>
      </c>
      <c r="E538">
        <v>25398.400000000001</v>
      </c>
    </row>
    <row r="539" spans="4:5" x14ac:dyDescent="0.25">
      <c r="D539" s="138">
        <v>44985</v>
      </c>
      <c r="E539">
        <v>25184.47</v>
      </c>
    </row>
    <row r="540" spans="4:5" x14ac:dyDescent="0.25">
      <c r="D540" s="138">
        <v>44984</v>
      </c>
      <c r="E540">
        <v>25313.7</v>
      </c>
    </row>
    <row r="541" spans="4:5" x14ac:dyDescent="0.25">
      <c r="D541" s="138">
        <v>44981</v>
      </c>
      <c r="E541">
        <v>25420.07</v>
      </c>
    </row>
    <row r="542" spans="4:5" x14ac:dyDescent="0.25">
      <c r="D542" s="138">
        <v>44980</v>
      </c>
      <c r="E542">
        <v>25485.97</v>
      </c>
    </row>
    <row r="543" spans="4:5" x14ac:dyDescent="0.25">
      <c r="D543" s="138">
        <v>44979</v>
      </c>
      <c r="E543">
        <v>25548.67</v>
      </c>
    </row>
    <row r="544" spans="4:5" x14ac:dyDescent="0.25">
      <c r="D544" s="138">
        <v>44978</v>
      </c>
      <c r="E544">
        <v>25945.08</v>
      </c>
    </row>
    <row r="545" spans="4:5" x14ac:dyDescent="0.25">
      <c r="D545" s="138">
        <v>44977</v>
      </c>
      <c r="E545">
        <v>25971.19</v>
      </c>
    </row>
    <row r="546" spans="4:5" x14ac:dyDescent="0.25">
      <c r="D546" s="138">
        <v>44974</v>
      </c>
      <c r="E546">
        <v>26116.12</v>
      </c>
    </row>
    <row r="547" spans="4:5" x14ac:dyDescent="0.25">
      <c r="D547" s="138">
        <v>44973</v>
      </c>
      <c r="E547">
        <v>26249.52</v>
      </c>
    </row>
    <row r="548" spans="4:5" x14ac:dyDescent="0.25">
      <c r="D548" s="138">
        <v>44972</v>
      </c>
      <c r="E548">
        <v>26220.43</v>
      </c>
    </row>
    <row r="549" spans="4:5" x14ac:dyDescent="0.25">
      <c r="D549" s="138">
        <v>44971</v>
      </c>
      <c r="E549">
        <v>26077.93</v>
      </c>
    </row>
    <row r="550" spans="4:5" x14ac:dyDescent="0.25">
      <c r="D550" s="138">
        <v>44970</v>
      </c>
      <c r="E550">
        <v>25846.7</v>
      </c>
    </row>
    <row r="551" spans="4:5" x14ac:dyDescent="0.25">
      <c r="D551" s="138">
        <v>44967</v>
      </c>
      <c r="E551">
        <v>25971.23</v>
      </c>
    </row>
    <row r="552" spans="4:5" x14ac:dyDescent="0.25">
      <c r="D552" s="138">
        <v>44966</v>
      </c>
      <c r="E552">
        <v>26024.94</v>
      </c>
    </row>
    <row r="553" spans="4:5" x14ac:dyDescent="0.25">
      <c r="D553" s="138">
        <v>44965</v>
      </c>
      <c r="E553">
        <v>25993.34</v>
      </c>
    </row>
    <row r="554" spans="4:5" x14ac:dyDescent="0.25">
      <c r="D554" s="138">
        <v>44964</v>
      </c>
      <c r="E554">
        <v>25772.19</v>
      </c>
    </row>
    <row r="555" spans="4:5" x14ac:dyDescent="0.25">
      <c r="D555" s="138">
        <v>44963</v>
      </c>
      <c r="E555">
        <v>25834.87</v>
      </c>
    </row>
    <row r="556" spans="4:5" x14ac:dyDescent="0.25">
      <c r="D556" s="138">
        <v>44960</v>
      </c>
      <c r="E556">
        <v>25965</v>
      </c>
    </row>
    <row r="557" spans="4:5" x14ac:dyDescent="0.25">
      <c r="D557" s="138">
        <v>44959</v>
      </c>
      <c r="E557">
        <v>25610.65</v>
      </c>
    </row>
    <row r="558" spans="4:5" x14ac:dyDescent="0.25">
      <c r="D558" s="138">
        <v>44958</v>
      </c>
      <c r="E558">
        <v>25619.24</v>
      </c>
    </row>
    <row r="559" spans="4:5" x14ac:dyDescent="0.25">
      <c r="D559" s="138">
        <v>44957</v>
      </c>
      <c r="E559">
        <v>25685.94</v>
      </c>
    </row>
    <row r="560" spans="4:5" x14ac:dyDescent="0.25">
      <c r="D560" s="138">
        <v>44956</v>
      </c>
      <c r="E560">
        <v>25666.69</v>
      </c>
    </row>
    <row r="561" spans="4:5" x14ac:dyDescent="0.25">
      <c r="D561" s="138">
        <v>44953</v>
      </c>
      <c r="E561">
        <v>25601.88</v>
      </c>
    </row>
    <row r="562" spans="4:5" x14ac:dyDescent="0.25">
      <c r="D562" s="138">
        <v>44951</v>
      </c>
      <c r="E562">
        <v>26020.13</v>
      </c>
    </row>
    <row r="563" spans="4:5" x14ac:dyDescent="0.25">
      <c r="D563" s="138">
        <v>44950</v>
      </c>
      <c r="E563">
        <v>26349.279999999999</v>
      </c>
    </row>
    <row r="564" spans="4:5" x14ac:dyDescent="0.25">
      <c r="D564" s="138">
        <v>44949</v>
      </c>
      <c r="E564">
        <v>26349.14</v>
      </c>
    </row>
    <row r="565" spans="4:5" x14ac:dyDescent="0.25">
      <c r="D565" s="138">
        <v>44946</v>
      </c>
      <c r="E565">
        <v>26216.94</v>
      </c>
    </row>
    <row r="566" spans="4:5" x14ac:dyDescent="0.25">
      <c r="D566" s="138">
        <v>44945</v>
      </c>
      <c r="E566">
        <v>26333.57</v>
      </c>
    </row>
    <row r="567" spans="4:5" x14ac:dyDescent="0.25">
      <c r="D567" s="138">
        <v>44944</v>
      </c>
      <c r="E567">
        <v>26413.71</v>
      </c>
    </row>
    <row r="568" spans="4:5" x14ac:dyDescent="0.25">
      <c r="D568" s="138">
        <v>44943</v>
      </c>
      <c r="E568">
        <v>26250.81</v>
      </c>
    </row>
    <row r="569" spans="4:5" x14ac:dyDescent="0.25">
      <c r="D569" s="138">
        <v>44942</v>
      </c>
      <c r="E569">
        <v>26020.39</v>
      </c>
    </row>
    <row r="570" spans="4:5" x14ac:dyDescent="0.25">
      <c r="D570" s="138">
        <v>44939</v>
      </c>
      <c r="E570">
        <v>26110.2</v>
      </c>
    </row>
    <row r="571" spans="4:5" x14ac:dyDescent="0.25">
      <c r="D571" s="138">
        <v>44938</v>
      </c>
      <c r="E571">
        <v>25967.07</v>
      </c>
    </row>
    <row r="572" spans="4:5" x14ac:dyDescent="0.25">
      <c r="D572" s="138">
        <v>44937</v>
      </c>
      <c r="E572">
        <v>26021.599999999999</v>
      </c>
    </row>
    <row r="573" spans="4:5" x14ac:dyDescent="0.25">
      <c r="D573" s="138">
        <v>44936</v>
      </c>
      <c r="E573">
        <v>26048.47</v>
      </c>
    </row>
    <row r="574" spans="4:5" x14ac:dyDescent="0.25">
      <c r="D574" s="138">
        <v>44935</v>
      </c>
      <c r="E574">
        <v>26320.41</v>
      </c>
    </row>
    <row r="575" spans="4:5" x14ac:dyDescent="0.25">
      <c r="D575" s="138">
        <v>44932</v>
      </c>
      <c r="E575">
        <v>25968.95</v>
      </c>
    </row>
    <row r="576" spans="4:5" x14ac:dyDescent="0.25">
      <c r="D576" s="138">
        <v>44931</v>
      </c>
      <c r="E576">
        <v>26161.85</v>
      </c>
    </row>
    <row r="577" spans="4:5" x14ac:dyDescent="0.25">
      <c r="D577" s="138">
        <v>44930</v>
      </c>
      <c r="E577">
        <v>26235.73</v>
      </c>
    </row>
    <row r="578" spans="4:5" x14ac:dyDescent="0.25">
      <c r="D578" s="138">
        <v>44929</v>
      </c>
      <c r="E578">
        <v>26511.45</v>
      </c>
    </row>
    <row r="579" spans="4:5" x14ac:dyDescent="0.25">
      <c r="D579" s="138">
        <v>44928</v>
      </c>
      <c r="E579">
        <v>26460.41</v>
      </c>
    </row>
    <row r="580" spans="4:5" x14ac:dyDescent="0.25">
      <c r="D580" s="138">
        <v>44925</v>
      </c>
      <c r="E580">
        <v>26326.37</v>
      </c>
    </row>
    <row r="581" spans="4:5" x14ac:dyDescent="0.25">
      <c r="D581" s="138">
        <v>44924</v>
      </c>
      <c r="E581">
        <v>26451.02</v>
      </c>
    </row>
    <row r="582" spans="4:5" x14ac:dyDescent="0.25">
      <c r="D582" s="138">
        <v>44923</v>
      </c>
      <c r="E582">
        <v>26351.4</v>
      </c>
    </row>
    <row r="583" spans="4:5" x14ac:dyDescent="0.25">
      <c r="D583" s="138">
        <v>44922</v>
      </c>
      <c r="E583">
        <v>26365.65</v>
      </c>
    </row>
    <row r="584" spans="4:5" x14ac:dyDescent="0.25">
      <c r="D584" s="138">
        <v>44921</v>
      </c>
      <c r="E584">
        <v>26194.52</v>
      </c>
    </row>
    <row r="585" spans="4:5" x14ac:dyDescent="0.25">
      <c r="D585" s="138">
        <v>44918</v>
      </c>
      <c r="E585">
        <v>25892.35</v>
      </c>
    </row>
    <row r="586" spans="4:5" x14ac:dyDescent="0.25">
      <c r="D586" s="138">
        <v>44917</v>
      </c>
      <c r="E586">
        <v>26358.44</v>
      </c>
    </row>
    <row r="587" spans="4:5" x14ac:dyDescent="0.25">
      <c r="D587" s="138">
        <v>44916</v>
      </c>
      <c r="E587">
        <v>26462.77</v>
      </c>
    </row>
    <row r="588" spans="4:5" x14ac:dyDescent="0.25">
      <c r="D588" s="138">
        <v>44915</v>
      </c>
      <c r="E588">
        <v>26733.51</v>
      </c>
    </row>
    <row r="589" spans="4:5" x14ac:dyDescent="0.25">
      <c r="D589" s="138">
        <v>44914</v>
      </c>
      <c r="E589">
        <v>26784.68</v>
      </c>
    </row>
    <row r="590" spans="4:5" x14ac:dyDescent="0.25">
      <c r="D590" s="138">
        <v>44911</v>
      </c>
      <c r="E590">
        <v>26564.46</v>
      </c>
    </row>
    <row r="591" spans="4:5" x14ac:dyDescent="0.25">
      <c r="D591" s="138">
        <v>44910</v>
      </c>
      <c r="E591">
        <v>26776.560000000001</v>
      </c>
    </row>
    <row r="592" spans="4:5" x14ac:dyDescent="0.25">
      <c r="D592" s="138">
        <v>44909</v>
      </c>
      <c r="E592">
        <v>27133.4</v>
      </c>
    </row>
    <row r="593" spans="4:5" x14ac:dyDescent="0.25">
      <c r="D593" s="138">
        <v>44908</v>
      </c>
      <c r="E593">
        <v>27057.35</v>
      </c>
    </row>
    <row r="594" spans="4:5" x14ac:dyDescent="0.25">
      <c r="D594" s="138">
        <v>44907</v>
      </c>
      <c r="E594">
        <v>26896.21</v>
      </c>
    </row>
    <row r="595" spans="4:5" x14ac:dyDescent="0.25">
      <c r="D595" s="138">
        <v>44904</v>
      </c>
      <c r="E595">
        <v>26895.35</v>
      </c>
    </row>
    <row r="596" spans="4:5" x14ac:dyDescent="0.25">
      <c r="D596" s="138">
        <v>44903</v>
      </c>
      <c r="E596">
        <v>27059.31</v>
      </c>
    </row>
    <row r="597" spans="4:5" x14ac:dyDescent="0.25">
      <c r="D597" s="138">
        <v>44902</v>
      </c>
      <c r="E597">
        <v>26988.31</v>
      </c>
    </row>
    <row r="598" spans="4:5" x14ac:dyDescent="0.25">
      <c r="D598" s="138">
        <v>44901</v>
      </c>
      <c r="E598">
        <v>27107.87</v>
      </c>
    </row>
    <row r="599" spans="4:5" x14ac:dyDescent="0.25">
      <c r="D599" s="138">
        <v>44900</v>
      </c>
      <c r="E599">
        <v>27192.639999999999</v>
      </c>
    </row>
    <row r="600" spans="4:5" x14ac:dyDescent="0.25">
      <c r="D600" s="138">
        <v>44897</v>
      </c>
      <c r="E600">
        <v>27185.439999999999</v>
      </c>
    </row>
    <row r="601" spans="4:5" x14ac:dyDescent="0.25">
      <c r="D601" s="138">
        <v>44896</v>
      </c>
      <c r="E601">
        <v>27354.74</v>
      </c>
    </row>
    <row r="602" spans="4:5" x14ac:dyDescent="0.25">
      <c r="D602" s="138">
        <v>44895</v>
      </c>
      <c r="E602">
        <v>27276.01</v>
      </c>
    </row>
    <row r="603" spans="4:5" x14ac:dyDescent="0.25">
      <c r="D603" s="138">
        <v>44894</v>
      </c>
      <c r="E603">
        <v>27071.98</v>
      </c>
    </row>
    <row r="604" spans="4:5" x14ac:dyDescent="0.25">
      <c r="D604" s="138">
        <v>44893</v>
      </c>
      <c r="E604">
        <v>26991.599999999999</v>
      </c>
    </row>
    <row r="605" spans="4:5" x14ac:dyDescent="0.25">
      <c r="D605" s="138">
        <v>44890</v>
      </c>
      <c r="E605">
        <v>26918.89</v>
      </c>
    </row>
    <row r="606" spans="4:5" x14ac:dyDescent="0.25">
      <c r="D606" s="138">
        <v>44889</v>
      </c>
      <c r="E606">
        <v>26877.24</v>
      </c>
    </row>
    <row r="607" spans="4:5" x14ac:dyDescent="0.25">
      <c r="D607" s="138">
        <v>44888</v>
      </c>
      <c r="E607">
        <v>26561.89</v>
      </c>
    </row>
    <row r="608" spans="4:5" x14ac:dyDescent="0.25">
      <c r="D608" s="138">
        <v>44887</v>
      </c>
      <c r="E608">
        <v>26528.400000000001</v>
      </c>
    </row>
    <row r="609" spans="4:5" x14ac:dyDescent="0.25">
      <c r="D609" s="138">
        <v>44886</v>
      </c>
      <c r="E609">
        <v>26405.9</v>
      </c>
    </row>
    <row r="610" spans="4:5" x14ac:dyDescent="0.25">
      <c r="D610" s="138">
        <v>44883</v>
      </c>
      <c r="E610">
        <v>26620.61</v>
      </c>
    </row>
    <row r="611" spans="4:5" x14ac:dyDescent="0.25">
      <c r="D611" s="138">
        <v>44882</v>
      </c>
      <c r="E611">
        <v>26673.32</v>
      </c>
    </row>
    <row r="612" spans="4:5" x14ac:dyDescent="0.25">
      <c r="D612" s="138">
        <v>44881</v>
      </c>
      <c r="E612">
        <v>26768.95</v>
      </c>
    </row>
    <row r="613" spans="4:5" x14ac:dyDescent="0.25">
      <c r="D613" s="138">
        <v>44880</v>
      </c>
      <c r="E613">
        <v>26759.85</v>
      </c>
    </row>
    <row r="614" spans="4:5" x14ac:dyDescent="0.25">
      <c r="D614" s="138">
        <v>44879</v>
      </c>
      <c r="E614">
        <v>26651.93</v>
      </c>
    </row>
    <row r="615" spans="4:5" x14ac:dyDescent="0.25">
      <c r="D615" s="138">
        <v>44876</v>
      </c>
      <c r="E615">
        <v>26681.759999999998</v>
      </c>
    </row>
    <row r="616" spans="4:5" x14ac:dyDescent="0.25">
      <c r="D616" s="138">
        <v>44875</v>
      </c>
      <c r="E616">
        <v>26214.31</v>
      </c>
    </row>
    <row r="617" spans="4:5" x14ac:dyDescent="0.25">
      <c r="D617" s="138">
        <v>44874</v>
      </c>
      <c r="E617">
        <v>26401.58</v>
      </c>
    </row>
    <row r="618" spans="4:5" x14ac:dyDescent="0.25">
      <c r="D618" s="138">
        <v>44872</v>
      </c>
      <c r="E618">
        <v>26464.44</v>
      </c>
    </row>
    <row r="619" spans="4:5" x14ac:dyDescent="0.25">
      <c r="D619" s="138">
        <v>44869</v>
      </c>
      <c r="E619">
        <v>26339.9</v>
      </c>
    </row>
    <row r="620" spans="4:5" x14ac:dyDescent="0.25">
      <c r="D620" s="138">
        <v>44868</v>
      </c>
      <c r="E620">
        <v>26246.23</v>
      </c>
    </row>
    <row r="621" spans="4:5" x14ac:dyDescent="0.25">
      <c r="D621" s="138">
        <v>44867</v>
      </c>
      <c r="E621">
        <v>26290.01</v>
      </c>
    </row>
    <row r="622" spans="4:5" x14ac:dyDescent="0.25">
      <c r="D622" s="138">
        <v>44866</v>
      </c>
      <c r="E622">
        <v>26380.97</v>
      </c>
    </row>
    <row r="623" spans="4:5" x14ac:dyDescent="0.25">
      <c r="D623" s="138">
        <v>44865</v>
      </c>
      <c r="E623">
        <v>26182.36</v>
      </c>
    </row>
    <row r="624" spans="4:5" x14ac:dyDescent="0.25">
      <c r="D624" s="138">
        <v>44862</v>
      </c>
      <c r="E624">
        <v>25852.720000000001</v>
      </c>
    </row>
    <row r="625" spans="4:5" x14ac:dyDescent="0.25">
      <c r="D625" s="138">
        <v>44861</v>
      </c>
      <c r="E625">
        <v>25780.23</v>
      </c>
    </row>
    <row r="626" spans="4:5" x14ac:dyDescent="0.25">
      <c r="D626" s="138">
        <v>44859</v>
      </c>
      <c r="E626">
        <v>25643.34</v>
      </c>
    </row>
    <row r="627" spans="4:5" x14ac:dyDescent="0.25">
      <c r="D627" s="138">
        <v>44858</v>
      </c>
      <c r="E627">
        <v>25751.45</v>
      </c>
    </row>
    <row r="628" spans="4:5" x14ac:dyDescent="0.25">
      <c r="D628" s="138">
        <v>44855</v>
      </c>
      <c r="E628">
        <v>25527.09</v>
      </c>
    </row>
    <row r="629" spans="4:5" x14ac:dyDescent="0.25">
      <c r="D629" s="138">
        <v>44854</v>
      </c>
      <c r="E629">
        <v>25509.14</v>
      </c>
    </row>
    <row r="630" spans="4:5" x14ac:dyDescent="0.25">
      <c r="D630" s="138">
        <v>44853</v>
      </c>
      <c r="E630">
        <v>25434.1</v>
      </c>
    </row>
    <row r="631" spans="4:5" x14ac:dyDescent="0.25">
      <c r="D631" s="138">
        <v>44852</v>
      </c>
      <c r="E631">
        <v>25393.89</v>
      </c>
    </row>
    <row r="632" spans="4:5" x14ac:dyDescent="0.25">
      <c r="D632" s="138">
        <v>44851</v>
      </c>
      <c r="E632">
        <v>25139.55</v>
      </c>
    </row>
    <row r="633" spans="4:5" x14ac:dyDescent="0.25">
      <c r="D633" s="138">
        <v>44848</v>
      </c>
      <c r="E633">
        <v>24953.75</v>
      </c>
    </row>
    <row r="634" spans="4:5" x14ac:dyDescent="0.25">
      <c r="D634" s="138">
        <v>44847</v>
      </c>
      <c r="E634">
        <v>24704.95</v>
      </c>
    </row>
    <row r="635" spans="4:5" x14ac:dyDescent="0.25">
      <c r="D635" s="138">
        <v>44846</v>
      </c>
      <c r="E635">
        <v>24863.58</v>
      </c>
    </row>
    <row r="636" spans="4:5" x14ac:dyDescent="0.25">
      <c r="D636" s="138">
        <v>44845</v>
      </c>
      <c r="E636">
        <v>24660.2</v>
      </c>
    </row>
    <row r="637" spans="4:5" x14ac:dyDescent="0.25">
      <c r="D637" s="138">
        <v>44844</v>
      </c>
      <c r="E637">
        <v>25034.02</v>
      </c>
    </row>
    <row r="638" spans="4:5" x14ac:dyDescent="0.25">
      <c r="D638" s="138">
        <v>44841</v>
      </c>
      <c r="E638">
        <v>25140.99</v>
      </c>
    </row>
    <row r="639" spans="4:5" x14ac:dyDescent="0.25">
      <c r="D639" s="138">
        <v>44840</v>
      </c>
      <c r="E639">
        <v>25165.85</v>
      </c>
    </row>
    <row r="640" spans="4:5" x14ac:dyDescent="0.25">
      <c r="D640" s="138">
        <v>44838</v>
      </c>
      <c r="E640">
        <v>25082.39</v>
      </c>
    </row>
    <row r="641" spans="4:5" x14ac:dyDescent="0.25">
      <c r="D641" s="138">
        <v>44837</v>
      </c>
      <c r="E641">
        <v>24520.52</v>
      </c>
    </row>
    <row r="642" spans="4:5" x14ac:dyDescent="0.25">
      <c r="D642" s="138">
        <v>44834</v>
      </c>
      <c r="E642">
        <v>24821.08</v>
      </c>
    </row>
    <row r="643" spans="4:5" x14ac:dyDescent="0.25">
      <c r="D643" s="138">
        <v>44833</v>
      </c>
      <c r="E643">
        <v>24419.98</v>
      </c>
    </row>
    <row r="644" spans="4:5" x14ac:dyDescent="0.25">
      <c r="D644" s="138">
        <v>44832</v>
      </c>
      <c r="E644">
        <v>24478.82</v>
      </c>
    </row>
    <row r="645" spans="4:5" x14ac:dyDescent="0.25">
      <c r="D645" s="138">
        <v>44831</v>
      </c>
      <c r="E645">
        <v>24694.83</v>
      </c>
    </row>
    <row r="646" spans="4:5" x14ac:dyDescent="0.25">
      <c r="D646" s="138">
        <v>44830</v>
      </c>
      <c r="E646">
        <v>24707.77</v>
      </c>
    </row>
    <row r="647" spans="4:5" x14ac:dyDescent="0.25">
      <c r="D647" s="138">
        <v>44827</v>
      </c>
      <c r="E647">
        <v>25159.42</v>
      </c>
    </row>
    <row r="648" spans="4:5" x14ac:dyDescent="0.25">
      <c r="D648" s="138">
        <v>44826</v>
      </c>
      <c r="E648">
        <v>25598.6</v>
      </c>
    </row>
    <row r="649" spans="4:5" x14ac:dyDescent="0.25">
      <c r="D649" s="138">
        <v>44825</v>
      </c>
      <c r="E649">
        <v>25727.13</v>
      </c>
    </row>
    <row r="650" spans="4:5" x14ac:dyDescent="0.25">
      <c r="D650" s="138">
        <v>44824</v>
      </c>
      <c r="E650">
        <v>25869.27</v>
      </c>
    </row>
    <row r="651" spans="4:5" x14ac:dyDescent="0.25">
      <c r="D651" s="138">
        <v>44823</v>
      </c>
      <c r="E651">
        <v>25587.63</v>
      </c>
    </row>
    <row r="652" spans="4:5" x14ac:dyDescent="0.25">
      <c r="D652" s="138">
        <v>44820</v>
      </c>
      <c r="E652">
        <v>25454.93</v>
      </c>
    </row>
    <row r="653" spans="4:5" x14ac:dyDescent="0.25">
      <c r="D653" s="138">
        <v>44819</v>
      </c>
      <c r="E653">
        <v>25958.06</v>
      </c>
    </row>
    <row r="654" spans="4:5" x14ac:dyDescent="0.25">
      <c r="D654" s="138">
        <v>44818</v>
      </c>
      <c r="E654">
        <v>26141.52</v>
      </c>
    </row>
    <row r="655" spans="4:5" x14ac:dyDescent="0.25">
      <c r="D655" s="138">
        <v>44817</v>
      </c>
      <c r="E655">
        <v>26237.81</v>
      </c>
    </row>
    <row r="656" spans="4:5" x14ac:dyDescent="0.25">
      <c r="D656" s="138">
        <v>44816</v>
      </c>
      <c r="E656">
        <v>26043.69</v>
      </c>
    </row>
    <row r="657" spans="4:5" x14ac:dyDescent="0.25">
      <c r="D657" s="138">
        <v>44813</v>
      </c>
      <c r="E657">
        <v>25894.12</v>
      </c>
    </row>
    <row r="658" spans="4:5" x14ac:dyDescent="0.25">
      <c r="D658" s="138">
        <v>44812</v>
      </c>
      <c r="E658">
        <v>25843.86</v>
      </c>
    </row>
    <row r="659" spans="4:5" x14ac:dyDescent="0.25">
      <c r="D659" s="138">
        <v>44811</v>
      </c>
      <c r="E659">
        <v>25590.73</v>
      </c>
    </row>
    <row r="660" spans="4:5" x14ac:dyDescent="0.25">
      <c r="D660" s="138">
        <v>44810</v>
      </c>
      <c r="E660">
        <v>25636.01</v>
      </c>
    </row>
    <row r="661" spans="4:5" x14ac:dyDescent="0.25">
      <c r="D661" s="138">
        <v>44809</v>
      </c>
      <c r="E661">
        <v>25650.83</v>
      </c>
    </row>
    <row r="662" spans="4:5" x14ac:dyDescent="0.25">
      <c r="D662" s="138">
        <v>44806</v>
      </c>
      <c r="E662">
        <v>25467.41</v>
      </c>
    </row>
    <row r="663" spans="4:5" x14ac:dyDescent="0.25">
      <c r="D663" s="138">
        <v>44805</v>
      </c>
      <c r="E663">
        <v>25472.240000000002</v>
      </c>
    </row>
    <row r="664" spans="4:5" x14ac:dyDescent="0.25">
      <c r="D664" s="138">
        <v>44803</v>
      </c>
      <c r="E664">
        <v>25786.59</v>
      </c>
    </row>
    <row r="665" spans="4:5" x14ac:dyDescent="0.25">
      <c r="D665" s="138">
        <v>44802</v>
      </c>
      <c r="E665">
        <v>25138.400000000001</v>
      </c>
    </row>
    <row r="666" spans="4:5" x14ac:dyDescent="0.25">
      <c r="D666" s="138">
        <v>44799</v>
      </c>
      <c r="E666">
        <v>25495.64</v>
      </c>
    </row>
    <row r="667" spans="4:5" x14ac:dyDescent="0.25">
      <c r="D667" s="138">
        <v>44798</v>
      </c>
      <c r="E667">
        <v>25442.67</v>
      </c>
    </row>
    <row r="668" spans="4:5" x14ac:dyDescent="0.25">
      <c r="D668" s="138">
        <v>44797</v>
      </c>
      <c r="E668">
        <v>25562.51</v>
      </c>
    </row>
    <row r="669" spans="4:5" x14ac:dyDescent="0.25">
      <c r="D669" s="138">
        <v>44796</v>
      </c>
      <c r="E669">
        <v>25522.62</v>
      </c>
    </row>
    <row r="670" spans="4:5" x14ac:dyDescent="0.25">
      <c r="D670" s="138">
        <v>44795</v>
      </c>
      <c r="E670">
        <v>25396.57</v>
      </c>
    </row>
    <row r="671" spans="4:5" x14ac:dyDescent="0.25">
      <c r="D671" s="138">
        <v>44792</v>
      </c>
      <c r="E671">
        <v>25785.4</v>
      </c>
    </row>
    <row r="672" spans="4:5" x14ac:dyDescent="0.25">
      <c r="D672" s="138">
        <v>44791</v>
      </c>
      <c r="E672">
        <v>26067.35</v>
      </c>
    </row>
    <row r="673" spans="4:5" x14ac:dyDescent="0.25">
      <c r="D673" s="138">
        <v>44790</v>
      </c>
      <c r="E673">
        <v>26035.87</v>
      </c>
    </row>
    <row r="674" spans="4:5" x14ac:dyDescent="0.25">
      <c r="D674" s="138">
        <v>44789</v>
      </c>
      <c r="E674">
        <v>25863.24</v>
      </c>
    </row>
    <row r="675" spans="4:5" x14ac:dyDescent="0.25">
      <c r="D675" s="138">
        <v>44785</v>
      </c>
      <c r="E675">
        <v>25678.83</v>
      </c>
    </row>
    <row r="676" spans="4:5" x14ac:dyDescent="0.25">
      <c r="D676" s="138">
        <v>44784</v>
      </c>
      <c r="E676">
        <v>25621.06</v>
      </c>
    </row>
    <row r="677" spans="4:5" x14ac:dyDescent="0.25">
      <c r="D677" s="138">
        <v>44783</v>
      </c>
      <c r="E677">
        <v>25431.919999999998</v>
      </c>
    </row>
    <row r="678" spans="4:5" x14ac:dyDescent="0.25">
      <c r="D678" s="138">
        <v>44781</v>
      </c>
      <c r="E678">
        <v>25413.25</v>
      </c>
    </row>
    <row r="679" spans="4:5" x14ac:dyDescent="0.25">
      <c r="D679" s="138">
        <v>44778</v>
      </c>
      <c r="E679">
        <v>25215.93</v>
      </c>
    </row>
    <row r="680" spans="4:5" x14ac:dyDescent="0.25">
      <c r="D680" s="138">
        <v>44777</v>
      </c>
      <c r="E680">
        <v>25193.41</v>
      </c>
    </row>
    <row r="681" spans="4:5" x14ac:dyDescent="0.25">
      <c r="D681" s="138">
        <v>44776</v>
      </c>
      <c r="E681">
        <v>25202.38</v>
      </c>
    </row>
    <row r="682" spans="4:5" x14ac:dyDescent="0.25">
      <c r="D682" s="138">
        <v>44775</v>
      </c>
      <c r="E682">
        <v>25137.82</v>
      </c>
    </row>
    <row r="683" spans="4:5" x14ac:dyDescent="0.25">
      <c r="D683" s="138">
        <v>44774</v>
      </c>
      <c r="E683">
        <v>25128.57</v>
      </c>
    </row>
    <row r="684" spans="4:5" x14ac:dyDescent="0.25">
      <c r="D684" s="138">
        <v>44771</v>
      </c>
      <c r="E684">
        <v>24862.7</v>
      </c>
    </row>
    <row r="685" spans="4:5" x14ac:dyDescent="0.25">
      <c r="D685" s="138">
        <v>44770</v>
      </c>
      <c r="E685">
        <v>24531.38</v>
      </c>
    </row>
    <row r="686" spans="4:5" x14ac:dyDescent="0.25">
      <c r="D686" s="138">
        <v>44769</v>
      </c>
      <c r="E686">
        <v>24114.41</v>
      </c>
    </row>
    <row r="687" spans="4:5" x14ac:dyDescent="0.25">
      <c r="D687" s="138">
        <v>44768</v>
      </c>
      <c r="E687">
        <v>23882.26</v>
      </c>
    </row>
    <row r="688" spans="4:5" x14ac:dyDescent="0.25">
      <c r="D688" s="138">
        <v>44767</v>
      </c>
      <c r="E688">
        <v>24095.46</v>
      </c>
    </row>
    <row r="689" spans="4:5" x14ac:dyDescent="0.25">
      <c r="D689" s="138">
        <v>44764</v>
      </c>
      <c r="E689">
        <v>24223.56</v>
      </c>
    </row>
    <row r="690" spans="4:5" x14ac:dyDescent="0.25">
      <c r="D690" s="138">
        <v>44763</v>
      </c>
      <c r="E690">
        <v>24058.17</v>
      </c>
    </row>
    <row r="691" spans="4:5" x14ac:dyDescent="0.25">
      <c r="D691" s="138">
        <v>44762</v>
      </c>
      <c r="E691">
        <v>23920.880000000001</v>
      </c>
    </row>
    <row r="692" spans="4:5" x14ac:dyDescent="0.25">
      <c r="D692" s="138">
        <v>44761</v>
      </c>
      <c r="E692">
        <v>23659.85</v>
      </c>
    </row>
    <row r="693" spans="4:5" x14ac:dyDescent="0.25">
      <c r="D693" s="138">
        <v>44760</v>
      </c>
      <c r="E693">
        <v>23566.52</v>
      </c>
    </row>
    <row r="694" spans="4:5" x14ac:dyDescent="0.25">
      <c r="D694" s="138">
        <v>44757</v>
      </c>
      <c r="E694">
        <v>23234.52</v>
      </c>
    </row>
    <row r="695" spans="4:5" x14ac:dyDescent="0.25">
      <c r="D695" s="138">
        <v>44756</v>
      </c>
      <c r="E695">
        <v>23074.52</v>
      </c>
    </row>
    <row r="696" spans="4:5" x14ac:dyDescent="0.25">
      <c r="D696" s="138">
        <v>44755</v>
      </c>
      <c r="E696">
        <v>23107.47</v>
      </c>
    </row>
    <row r="697" spans="4:5" x14ac:dyDescent="0.25">
      <c r="D697" s="138">
        <v>44754</v>
      </c>
      <c r="E697">
        <v>23239.9</v>
      </c>
    </row>
    <row r="698" spans="4:5" x14ac:dyDescent="0.25">
      <c r="D698" s="138">
        <v>44753</v>
      </c>
      <c r="E698">
        <v>23468.14</v>
      </c>
    </row>
    <row r="699" spans="4:5" x14ac:dyDescent="0.25">
      <c r="D699" s="138">
        <v>44750</v>
      </c>
      <c r="E699">
        <v>23473.61</v>
      </c>
    </row>
    <row r="700" spans="4:5" x14ac:dyDescent="0.25">
      <c r="D700" s="138">
        <v>44749</v>
      </c>
      <c r="E700">
        <v>23345.61</v>
      </c>
    </row>
    <row r="701" spans="4:5" x14ac:dyDescent="0.25">
      <c r="D701" s="138">
        <v>44748</v>
      </c>
      <c r="E701">
        <v>23137.7</v>
      </c>
    </row>
    <row r="702" spans="4:5" x14ac:dyDescent="0.25">
      <c r="D702" s="138">
        <v>44747</v>
      </c>
      <c r="E702">
        <v>22878.720000000001</v>
      </c>
    </row>
    <row r="703" spans="4:5" x14ac:dyDescent="0.25">
      <c r="D703" s="138">
        <v>44746</v>
      </c>
      <c r="E703">
        <v>22914.2</v>
      </c>
    </row>
    <row r="704" spans="4:5" x14ac:dyDescent="0.25">
      <c r="D704" s="138">
        <v>44743</v>
      </c>
      <c r="E704">
        <v>22788.18</v>
      </c>
    </row>
    <row r="705" spans="4:5" x14ac:dyDescent="0.25">
      <c r="D705" s="138">
        <v>44742</v>
      </c>
      <c r="E705">
        <v>22828.93</v>
      </c>
    </row>
    <row r="706" spans="4:5" x14ac:dyDescent="0.25">
      <c r="D706" s="138">
        <v>44741</v>
      </c>
      <c r="E706">
        <v>22848.35</v>
      </c>
    </row>
    <row r="707" spans="4:5" x14ac:dyDescent="0.25">
      <c r="D707" s="138">
        <v>44740</v>
      </c>
      <c r="E707">
        <v>22922.240000000002</v>
      </c>
    </row>
    <row r="708" spans="4:5" x14ac:dyDescent="0.25">
      <c r="D708" s="138">
        <v>44739</v>
      </c>
      <c r="E708">
        <v>22896.02</v>
      </c>
    </row>
    <row r="709" spans="4:5" x14ac:dyDescent="0.25">
      <c r="D709" s="138">
        <v>44736</v>
      </c>
      <c r="E709">
        <v>22703.95</v>
      </c>
    </row>
    <row r="710" spans="4:5" x14ac:dyDescent="0.25">
      <c r="D710" s="138">
        <v>44735</v>
      </c>
      <c r="E710">
        <v>22497.71</v>
      </c>
    </row>
    <row r="711" spans="4:5" x14ac:dyDescent="0.25">
      <c r="D711" s="138">
        <v>44734</v>
      </c>
      <c r="E711">
        <v>22290.46</v>
      </c>
    </row>
    <row r="712" spans="4:5" x14ac:dyDescent="0.25">
      <c r="D712" s="138">
        <v>44733</v>
      </c>
      <c r="E712">
        <v>22616.52</v>
      </c>
    </row>
    <row r="713" spans="4:5" x14ac:dyDescent="0.25">
      <c r="D713" s="138">
        <v>44732</v>
      </c>
      <c r="E713">
        <v>22199.11</v>
      </c>
    </row>
    <row r="714" spans="4:5" x14ac:dyDescent="0.25">
      <c r="D714" s="138">
        <v>44729</v>
      </c>
      <c r="E714">
        <v>22114.97</v>
      </c>
    </row>
    <row r="715" spans="4:5" x14ac:dyDescent="0.25">
      <c r="D715" s="138">
        <v>44728</v>
      </c>
      <c r="E715">
        <v>22211.98</v>
      </c>
    </row>
    <row r="716" spans="4:5" x14ac:dyDescent="0.25">
      <c r="D716" s="138">
        <v>44727</v>
      </c>
      <c r="E716">
        <v>22691.46</v>
      </c>
    </row>
    <row r="717" spans="4:5" x14ac:dyDescent="0.25">
      <c r="D717" s="138">
        <v>44726</v>
      </c>
      <c r="E717">
        <v>22729.97</v>
      </c>
    </row>
    <row r="718" spans="4:5" x14ac:dyDescent="0.25">
      <c r="D718" s="138">
        <v>44725</v>
      </c>
      <c r="E718">
        <v>22791.119999999999</v>
      </c>
    </row>
    <row r="719" spans="4:5" x14ac:dyDescent="0.25">
      <c r="D719" s="138">
        <v>44722</v>
      </c>
      <c r="E719">
        <v>23408.59</v>
      </c>
    </row>
    <row r="720" spans="4:5" x14ac:dyDescent="0.25">
      <c r="D720" s="138">
        <v>44721</v>
      </c>
      <c r="E720">
        <v>23807.84</v>
      </c>
    </row>
    <row r="721" spans="4:5" x14ac:dyDescent="0.25">
      <c r="D721" s="138">
        <v>44720</v>
      </c>
      <c r="E721">
        <v>23628.32</v>
      </c>
    </row>
    <row r="722" spans="4:5" x14ac:dyDescent="0.25">
      <c r="D722" s="138">
        <v>44719</v>
      </c>
      <c r="E722">
        <v>23715.1</v>
      </c>
    </row>
    <row r="723" spans="4:5" x14ac:dyDescent="0.25">
      <c r="D723" s="138">
        <v>44718</v>
      </c>
      <c r="E723">
        <v>23936.44</v>
      </c>
    </row>
    <row r="724" spans="4:5" x14ac:dyDescent="0.25">
      <c r="D724" s="138">
        <v>44715</v>
      </c>
      <c r="E724">
        <v>23957.71</v>
      </c>
    </row>
    <row r="725" spans="4:5" x14ac:dyDescent="0.25">
      <c r="D725" s="138">
        <v>44714</v>
      </c>
      <c r="E725">
        <v>24020.89</v>
      </c>
    </row>
    <row r="726" spans="4:5" x14ac:dyDescent="0.25">
      <c r="D726" s="138">
        <v>44713</v>
      </c>
      <c r="E726">
        <v>23868.85</v>
      </c>
    </row>
    <row r="727" spans="4:5" x14ac:dyDescent="0.25">
      <c r="D727" s="138">
        <v>44712</v>
      </c>
      <c r="E727">
        <v>23958.1</v>
      </c>
    </row>
    <row r="728" spans="4:5" x14ac:dyDescent="0.25">
      <c r="D728" s="138">
        <v>44711</v>
      </c>
      <c r="E728">
        <v>24031.25</v>
      </c>
    </row>
    <row r="729" spans="4:5" x14ac:dyDescent="0.25">
      <c r="D729" s="138">
        <v>44708</v>
      </c>
      <c r="E729">
        <v>23585.61</v>
      </c>
    </row>
    <row r="730" spans="4:5" x14ac:dyDescent="0.25">
      <c r="D730" s="138">
        <v>44707</v>
      </c>
      <c r="E730">
        <v>23322.66</v>
      </c>
    </row>
    <row r="731" spans="4:5" x14ac:dyDescent="0.25">
      <c r="D731" s="138">
        <v>44706</v>
      </c>
      <c r="E731">
        <v>23096.63</v>
      </c>
    </row>
    <row r="732" spans="4:5" x14ac:dyDescent="0.25">
      <c r="D732" s="138">
        <v>44705</v>
      </c>
      <c r="E732">
        <v>23223.25</v>
      </c>
    </row>
    <row r="733" spans="4:5" x14ac:dyDescent="0.25">
      <c r="D733" s="138">
        <v>44704</v>
      </c>
      <c r="E733">
        <v>23352.22</v>
      </c>
    </row>
    <row r="734" spans="4:5" x14ac:dyDescent="0.25">
      <c r="D734" s="138">
        <v>44701</v>
      </c>
      <c r="E734">
        <v>23426.36</v>
      </c>
    </row>
    <row r="735" spans="4:5" x14ac:dyDescent="0.25">
      <c r="D735" s="138">
        <v>44700</v>
      </c>
      <c r="E735">
        <v>22768.49</v>
      </c>
    </row>
    <row r="736" spans="4:5" x14ac:dyDescent="0.25">
      <c r="D736" s="138">
        <v>44699</v>
      </c>
      <c r="E736">
        <v>23389.07</v>
      </c>
    </row>
    <row r="737" spans="4:5" x14ac:dyDescent="0.25">
      <c r="D737" s="138">
        <v>44698</v>
      </c>
      <c r="E737">
        <v>23416.46</v>
      </c>
    </row>
    <row r="738" spans="4:5" x14ac:dyDescent="0.25">
      <c r="D738" s="138">
        <v>44697</v>
      </c>
      <c r="E738">
        <v>22815.88</v>
      </c>
    </row>
    <row r="739" spans="4:5" x14ac:dyDescent="0.25">
      <c r="D739" s="138">
        <v>44694</v>
      </c>
      <c r="E739">
        <v>22729.279999999999</v>
      </c>
    </row>
    <row r="740" spans="4:5" x14ac:dyDescent="0.25">
      <c r="D740" s="138">
        <v>44693</v>
      </c>
      <c r="E740">
        <v>22766.52</v>
      </c>
    </row>
    <row r="741" spans="4:5" x14ac:dyDescent="0.25">
      <c r="D741" s="138">
        <v>44692</v>
      </c>
      <c r="E741">
        <v>23260.85</v>
      </c>
    </row>
    <row r="742" spans="4:5" x14ac:dyDescent="0.25">
      <c r="D742" s="138">
        <v>44691</v>
      </c>
      <c r="E742">
        <v>23365.81</v>
      </c>
    </row>
    <row r="743" spans="4:5" x14ac:dyDescent="0.25">
      <c r="D743" s="138">
        <v>44690</v>
      </c>
      <c r="E743">
        <v>23454.71</v>
      </c>
    </row>
    <row r="744" spans="4:5" x14ac:dyDescent="0.25">
      <c r="D744" s="138">
        <v>44687</v>
      </c>
      <c r="E744">
        <v>23612.16</v>
      </c>
    </row>
    <row r="745" spans="4:5" x14ac:dyDescent="0.25">
      <c r="D745" s="138">
        <v>44686</v>
      </c>
      <c r="E745">
        <v>24002.58</v>
      </c>
    </row>
    <row r="746" spans="4:5" x14ac:dyDescent="0.25">
      <c r="D746" s="138">
        <v>44685</v>
      </c>
      <c r="E746">
        <v>23995.35</v>
      </c>
    </row>
    <row r="747" spans="4:5" x14ac:dyDescent="0.25">
      <c r="D747" s="138">
        <v>44683</v>
      </c>
      <c r="E747">
        <v>24558.61</v>
      </c>
    </row>
    <row r="748" spans="4:5" x14ac:dyDescent="0.25">
      <c r="D748" s="138">
        <v>44680</v>
      </c>
      <c r="E748">
        <v>24606.78</v>
      </c>
    </row>
    <row r="749" spans="4:5" x14ac:dyDescent="0.25">
      <c r="D749" s="138">
        <v>44679</v>
      </c>
      <c r="E749">
        <v>24811.78</v>
      </c>
    </row>
    <row r="750" spans="4:5" x14ac:dyDescent="0.25">
      <c r="D750" s="138">
        <v>44678</v>
      </c>
      <c r="E750">
        <v>24508.3</v>
      </c>
    </row>
    <row r="751" spans="4:5" x14ac:dyDescent="0.25">
      <c r="D751" s="138">
        <v>44677</v>
      </c>
      <c r="E751">
        <v>24741.88</v>
      </c>
    </row>
    <row r="752" spans="4:5" x14ac:dyDescent="0.25">
      <c r="D752" s="138">
        <v>44676</v>
      </c>
      <c r="E752">
        <v>24386.78</v>
      </c>
    </row>
    <row r="753" spans="4:5" x14ac:dyDescent="0.25">
      <c r="D753" s="138">
        <v>44673</v>
      </c>
      <c r="E753">
        <v>24700.36</v>
      </c>
    </row>
    <row r="754" spans="4:5" x14ac:dyDescent="0.25">
      <c r="D754" s="138">
        <v>44672</v>
      </c>
      <c r="E754">
        <v>25017.73</v>
      </c>
    </row>
    <row r="755" spans="4:5" x14ac:dyDescent="0.25">
      <c r="D755" s="138">
        <v>44671</v>
      </c>
      <c r="E755">
        <v>24648.400000000001</v>
      </c>
    </row>
    <row r="756" spans="4:5" x14ac:dyDescent="0.25">
      <c r="D756" s="138">
        <v>44670</v>
      </c>
      <c r="E756">
        <v>24392.54</v>
      </c>
    </row>
    <row r="757" spans="4:5" x14ac:dyDescent="0.25">
      <c r="D757" s="138">
        <v>44669</v>
      </c>
      <c r="E757">
        <v>24701.75</v>
      </c>
    </row>
    <row r="758" spans="4:5" x14ac:dyDescent="0.25">
      <c r="D758" s="138">
        <v>44664</v>
      </c>
      <c r="E758">
        <v>25136.13</v>
      </c>
    </row>
    <row r="759" spans="4:5" x14ac:dyDescent="0.25">
      <c r="D759" s="138">
        <v>44663</v>
      </c>
      <c r="E759">
        <v>25214.76</v>
      </c>
    </row>
    <row r="760" spans="4:5" x14ac:dyDescent="0.25">
      <c r="D760" s="138">
        <v>44662</v>
      </c>
      <c r="E760">
        <v>25422.81</v>
      </c>
    </row>
    <row r="761" spans="4:5" x14ac:dyDescent="0.25">
      <c r="D761" s="138">
        <v>44659</v>
      </c>
      <c r="E761">
        <v>25580.15</v>
      </c>
    </row>
    <row r="762" spans="4:5" x14ac:dyDescent="0.25">
      <c r="D762" s="138">
        <v>44658</v>
      </c>
      <c r="E762">
        <v>25371.88</v>
      </c>
    </row>
    <row r="763" spans="4:5" x14ac:dyDescent="0.25">
      <c r="D763" s="138">
        <v>44657</v>
      </c>
      <c r="E763">
        <v>25613.71</v>
      </c>
    </row>
    <row r="764" spans="4:5" x14ac:dyDescent="0.25">
      <c r="D764" s="138">
        <v>44656</v>
      </c>
      <c r="E764">
        <v>25829.11</v>
      </c>
    </row>
    <row r="765" spans="4:5" x14ac:dyDescent="0.25">
      <c r="D765" s="138">
        <v>44655</v>
      </c>
      <c r="E765">
        <v>25964.720000000001</v>
      </c>
    </row>
    <row r="766" spans="4:5" x14ac:dyDescent="0.25">
      <c r="D766" s="138">
        <v>44652</v>
      </c>
      <c r="E766">
        <v>25413.94</v>
      </c>
    </row>
    <row r="767" spans="4:5" x14ac:dyDescent="0.25">
      <c r="D767" s="138">
        <v>44651</v>
      </c>
      <c r="E767">
        <v>25118.14</v>
      </c>
    </row>
    <row r="768" spans="4:5" x14ac:dyDescent="0.25">
      <c r="D768" s="138">
        <v>44650</v>
      </c>
      <c r="E768">
        <v>25166.31</v>
      </c>
    </row>
    <row r="769" spans="4:5" x14ac:dyDescent="0.25">
      <c r="D769" s="138">
        <v>44649</v>
      </c>
      <c r="E769">
        <v>24917.57</v>
      </c>
    </row>
    <row r="770" spans="4:5" x14ac:dyDescent="0.25">
      <c r="D770" s="138">
        <v>44648</v>
      </c>
      <c r="E770">
        <v>24768.69</v>
      </c>
    </row>
    <row r="771" spans="4:5" x14ac:dyDescent="0.25">
      <c r="D771" s="138">
        <v>44645</v>
      </c>
      <c r="E771">
        <v>24669.45</v>
      </c>
    </row>
    <row r="772" spans="4:5" x14ac:dyDescent="0.25">
      <c r="D772" s="138">
        <v>44644</v>
      </c>
      <c r="E772">
        <v>24769.75</v>
      </c>
    </row>
    <row r="773" spans="4:5" x14ac:dyDescent="0.25">
      <c r="D773" s="138">
        <v>44643</v>
      </c>
      <c r="E773">
        <v>24802.74</v>
      </c>
    </row>
    <row r="774" spans="4:5" x14ac:dyDescent="0.25">
      <c r="D774" s="138">
        <v>44642</v>
      </c>
      <c r="E774">
        <v>24903.14</v>
      </c>
    </row>
    <row r="775" spans="4:5" x14ac:dyDescent="0.25">
      <c r="D775" s="138">
        <v>44641</v>
      </c>
      <c r="E775">
        <v>24618.52</v>
      </c>
    </row>
    <row r="776" spans="4:5" x14ac:dyDescent="0.25">
      <c r="D776" s="138">
        <v>44637</v>
      </c>
      <c r="E776">
        <v>24862.27</v>
      </c>
    </row>
    <row r="777" spans="4:5" x14ac:dyDescent="0.25">
      <c r="D777" s="138">
        <v>44636</v>
      </c>
      <c r="E777">
        <v>24414</v>
      </c>
    </row>
    <row r="778" spans="4:5" x14ac:dyDescent="0.25">
      <c r="D778" s="138">
        <v>44635</v>
      </c>
      <c r="E778">
        <v>23964.720000000001</v>
      </c>
    </row>
    <row r="779" spans="4:5" x14ac:dyDescent="0.25">
      <c r="D779" s="138">
        <v>44634</v>
      </c>
      <c r="E779">
        <v>24264.29</v>
      </c>
    </row>
    <row r="780" spans="4:5" x14ac:dyDescent="0.25">
      <c r="D780" s="138">
        <v>44631</v>
      </c>
      <c r="E780">
        <v>23917.96</v>
      </c>
    </row>
    <row r="781" spans="4:5" x14ac:dyDescent="0.25">
      <c r="D781" s="138">
        <v>44630</v>
      </c>
      <c r="E781">
        <v>23866.77</v>
      </c>
    </row>
    <row r="782" spans="4:5" x14ac:dyDescent="0.25">
      <c r="D782" s="138">
        <v>44629</v>
      </c>
      <c r="E782">
        <v>23507.87</v>
      </c>
    </row>
    <row r="783" spans="4:5" x14ac:dyDescent="0.25">
      <c r="D783" s="138">
        <v>44628</v>
      </c>
      <c r="E783">
        <v>23030.560000000001</v>
      </c>
    </row>
    <row r="784" spans="4:5" x14ac:dyDescent="0.25">
      <c r="D784" s="138">
        <v>44627</v>
      </c>
      <c r="E784">
        <v>22814.41</v>
      </c>
    </row>
    <row r="785" spans="4:5" x14ac:dyDescent="0.25">
      <c r="D785" s="138">
        <v>44624</v>
      </c>
      <c r="E785">
        <v>23364.07</v>
      </c>
    </row>
    <row r="786" spans="4:5" x14ac:dyDescent="0.25">
      <c r="D786" s="138">
        <v>44623</v>
      </c>
      <c r="E786">
        <v>23727.54</v>
      </c>
    </row>
    <row r="787" spans="4:5" x14ac:dyDescent="0.25">
      <c r="D787" s="138">
        <v>44622</v>
      </c>
      <c r="E787">
        <v>23882.720000000001</v>
      </c>
    </row>
    <row r="788" spans="4:5" x14ac:dyDescent="0.25">
      <c r="D788" s="138">
        <v>44620</v>
      </c>
      <c r="E788">
        <v>24153.01</v>
      </c>
    </row>
    <row r="789" spans="4:5" x14ac:dyDescent="0.25">
      <c r="D789" s="138">
        <v>44617</v>
      </c>
      <c r="E789">
        <v>23958.1</v>
      </c>
    </row>
    <row r="790" spans="4:5" x14ac:dyDescent="0.25">
      <c r="D790" s="138">
        <v>44616</v>
      </c>
      <c r="E790">
        <v>23367.85</v>
      </c>
    </row>
    <row r="791" spans="4:5" x14ac:dyDescent="0.25">
      <c r="D791" s="138">
        <v>44615</v>
      </c>
      <c r="E791">
        <v>24540.41</v>
      </c>
    </row>
    <row r="792" spans="4:5" x14ac:dyDescent="0.25">
      <c r="D792" s="138">
        <v>44614</v>
      </c>
      <c r="E792">
        <v>24582.05</v>
      </c>
    </row>
    <row r="793" spans="4:5" x14ac:dyDescent="0.25">
      <c r="D793" s="138">
        <v>44613</v>
      </c>
      <c r="E793">
        <v>24746.59</v>
      </c>
    </row>
    <row r="794" spans="4:5" x14ac:dyDescent="0.25">
      <c r="D794" s="138">
        <v>44610</v>
      </c>
      <c r="E794">
        <v>24838.68</v>
      </c>
    </row>
    <row r="795" spans="4:5" x14ac:dyDescent="0.25">
      <c r="D795" s="138">
        <v>44609</v>
      </c>
      <c r="E795">
        <v>24879.32</v>
      </c>
    </row>
    <row r="796" spans="4:5" x14ac:dyDescent="0.25">
      <c r="D796" s="138">
        <v>44608</v>
      </c>
      <c r="E796">
        <v>24904.67</v>
      </c>
    </row>
    <row r="797" spans="4:5" x14ac:dyDescent="0.25">
      <c r="D797" s="138">
        <v>44607</v>
      </c>
      <c r="E797">
        <v>24941.93</v>
      </c>
    </row>
    <row r="798" spans="4:5" x14ac:dyDescent="0.25">
      <c r="D798" s="138">
        <v>44606</v>
      </c>
      <c r="E798">
        <v>24209.38</v>
      </c>
    </row>
    <row r="799" spans="4:5" x14ac:dyDescent="0.25">
      <c r="D799" s="138">
        <v>44603</v>
      </c>
      <c r="E799">
        <v>24958.45</v>
      </c>
    </row>
    <row r="800" spans="4:5" x14ac:dyDescent="0.25">
      <c r="D800" s="138">
        <v>44602</v>
      </c>
      <c r="E800">
        <v>25290.42</v>
      </c>
    </row>
    <row r="801" spans="4:5" x14ac:dyDescent="0.25">
      <c r="D801" s="138">
        <v>44601</v>
      </c>
      <c r="E801">
        <v>25084.6</v>
      </c>
    </row>
    <row r="802" spans="4:5" x14ac:dyDescent="0.25">
      <c r="D802" s="138">
        <v>44600</v>
      </c>
      <c r="E802">
        <v>24795.759999999998</v>
      </c>
    </row>
    <row r="803" spans="4:5" x14ac:dyDescent="0.25">
      <c r="D803" s="138">
        <v>44599</v>
      </c>
      <c r="E803">
        <v>24719.45</v>
      </c>
    </row>
    <row r="804" spans="4:5" x14ac:dyDescent="0.25">
      <c r="D804" s="138">
        <v>44596</v>
      </c>
      <c r="E804">
        <v>25154.14</v>
      </c>
    </row>
    <row r="805" spans="4:5" x14ac:dyDescent="0.25">
      <c r="D805" s="138">
        <v>44595</v>
      </c>
      <c r="E805">
        <v>25217.200000000001</v>
      </c>
    </row>
    <row r="806" spans="4:5" x14ac:dyDescent="0.25">
      <c r="D806" s="138">
        <v>44594</v>
      </c>
      <c r="E806">
        <v>25526.55</v>
      </c>
    </row>
    <row r="807" spans="4:5" x14ac:dyDescent="0.25">
      <c r="D807" s="138">
        <v>44593</v>
      </c>
      <c r="E807">
        <v>25234.89</v>
      </c>
    </row>
    <row r="808" spans="4:5" x14ac:dyDescent="0.25">
      <c r="D808" s="138">
        <v>44592</v>
      </c>
      <c r="E808">
        <v>24894.62</v>
      </c>
    </row>
    <row r="809" spans="4:5" x14ac:dyDescent="0.25">
      <c r="D809" s="138">
        <v>44589</v>
      </c>
      <c r="E809">
        <v>24553.040000000001</v>
      </c>
    </row>
    <row r="810" spans="4:5" x14ac:dyDescent="0.25">
      <c r="D810" s="138">
        <v>44588</v>
      </c>
      <c r="E810">
        <v>24564.81</v>
      </c>
    </row>
    <row r="811" spans="4:5" x14ac:dyDescent="0.25">
      <c r="D811" s="138">
        <v>44586</v>
      </c>
      <c r="E811">
        <v>24805.75</v>
      </c>
    </row>
    <row r="812" spans="4:5" x14ac:dyDescent="0.25">
      <c r="D812" s="138">
        <v>44585</v>
      </c>
      <c r="E812">
        <v>24620.720000000001</v>
      </c>
    </row>
    <row r="813" spans="4:5" x14ac:dyDescent="0.25">
      <c r="D813" s="138">
        <v>44582</v>
      </c>
      <c r="E813">
        <v>25292.720000000001</v>
      </c>
    </row>
    <row r="814" spans="4:5" x14ac:dyDescent="0.25">
      <c r="D814" s="138">
        <v>44581</v>
      </c>
      <c r="E814">
        <v>25492.99</v>
      </c>
    </row>
    <row r="815" spans="4:5" x14ac:dyDescent="0.25">
      <c r="D815" s="138">
        <v>44580</v>
      </c>
      <c r="E815">
        <v>25749.81</v>
      </c>
    </row>
    <row r="816" spans="4:5" x14ac:dyDescent="0.25">
      <c r="D816" s="138">
        <v>44579</v>
      </c>
      <c r="E816">
        <v>25998.14</v>
      </c>
    </row>
    <row r="817" spans="4:5" x14ac:dyDescent="0.25">
      <c r="D817" s="138">
        <v>44578</v>
      </c>
      <c r="E817">
        <v>26278.07</v>
      </c>
    </row>
    <row r="818" spans="4:5" x14ac:dyDescent="0.25">
      <c r="D818" s="138">
        <v>44575</v>
      </c>
      <c r="E818">
        <v>26202.97</v>
      </c>
    </row>
    <row r="819" spans="4:5" x14ac:dyDescent="0.25">
      <c r="D819" s="138">
        <v>44574</v>
      </c>
      <c r="E819">
        <v>26205.87</v>
      </c>
    </row>
    <row r="820" spans="4:5" x14ac:dyDescent="0.25">
      <c r="D820" s="138">
        <v>44573</v>
      </c>
      <c r="E820">
        <v>26140.68</v>
      </c>
    </row>
    <row r="821" spans="4:5" x14ac:dyDescent="0.25">
      <c r="D821" s="138">
        <v>44572</v>
      </c>
      <c r="E821">
        <v>25915.89</v>
      </c>
    </row>
    <row r="822" spans="4:5" x14ac:dyDescent="0.25">
      <c r="D822" s="138">
        <v>44571</v>
      </c>
      <c r="E822">
        <v>25840.62</v>
      </c>
    </row>
    <row r="823" spans="4:5" x14ac:dyDescent="0.25">
      <c r="D823" s="138">
        <v>44568</v>
      </c>
      <c r="E823">
        <v>25567.06</v>
      </c>
    </row>
    <row r="824" spans="4:5" x14ac:dyDescent="0.25">
      <c r="D824" s="138">
        <v>44567</v>
      </c>
      <c r="E824">
        <v>25471.18</v>
      </c>
    </row>
    <row r="825" spans="4:5" x14ac:dyDescent="0.25">
      <c r="D825" s="138">
        <v>44566</v>
      </c>
      <c r="E825">
        <v>25728.58</v>
      </c>
    </row>
    <row r="826" spans="4:5" x14ac:dyDescent="0.25">
      <c r="D826" s="138">
        <v>44565</v>
      </c>
      <c r="E826">
        <v>25556.34</v>
      </c>
    </row>
    <row r="827" spans="4:5" x14ac:dyDescent="0.25">
      <c r="D827" s="138">
        <v>44564</v>
      </c>
      <c r="E827">
        <v>25298.63</v>
      </c>
    </row>
    <row r="828" spans="4:5" x14ac:dyDescent="0.25">
      <c r="D828" s="138">
        <v>44561</v>
      </c>
      <c r="E828">
        <v>24908.71</v>
      </c>
    </row>
    <row r="829" spans="4:5" x14ac:dyDescent="0.25">
      <c r="D829" s="138">
        <v>44560</v>
      </c>
      <c r="E829">
        <v>24693.25</v>
      </c>
    </row>
    <row r="830" spans="4:5" x14ac:dyDescent="0.25">
      <c r="D830" s="138">
        <v>44559</v>
      </c>
      <c r="E830">
        <v>24707.1</v>
      </c>
    </row>
    <row r="831" spans="4:5" x14ac:dyDescent="0.25">
      <c r="D831" s="138">
        <v>44558</v>
      </c>
      <c r="E831">
        <v>24735.32</v>
      </c>
    </row>
    <row r="832" spans="4:5" x14ac:dyDescent="0.25">
      <c r="D832" s="138">
        <v>44557</v>
      </c>
      <c r="E832">
        <v>24524.36</v>
      </c>
    </row>
    <row r="833" spans="4:5" x14ac:dyDescent="0.25">
      <c r="D833" s="138">
        <v>44554</v>
      </c>
      <c r="E833">
        <v>24405.96</v>
      </c>
    </row>
    <row r="834" spans="4:5" x14ac:dyDescent="0.25">
      <c r="D834" s="138">
        <v>44553</v>
      </c>
      <c r="E834">
        <v>24504.75</v>
      </c>
    </row>
    <row r="835" spans="4:5" x14ac:dyDescent="0.25">
      <c r="D835" s="138">
        <v>44552</v>
      </c>
      <c r="E835">
        <v>24336.62</v>
      </c>
    </row>
    <row r="836" spans="4:5" x14ac:dyDescent="0.25">
      <c r="D836" s="138">
        <v>44551</v>
      </c>
      <c r="E836">
        <v>24063.78</v>
      </c>
    </row>
    <row r="837" spans="4:5" x14ac:dyDescent="0.25">
      <c r="D837" s="138">
        <v>44550</v>
      </c>
      <c r="E837">
        <v>23839.01</v>
      </c>
    </row>
    <row r="838" spans="4:5" x14ac:dyDescent="0.25">
      <c r="D838" s="138">
        <v>44547</v>
      </c>
      <c r="E838">
        <v>24371.37</v>
      </c>
    </row>
    <row r="839" spans="4:5" x14ac:dyDescent="0.25">
      <c r="D839" s="138">
        <v>44546</v>
      </c>
      <c r="E839">
        <v>24749.01</v>
      </c>
    </row>
    <row r="840" spans="4:5" x14ac:dyDescent="0.25">
      <c r="D840" s="138">
        <v>44545</v>
      </c>
      <c r="E840">
        <v>24710.3</v>
      </c>
    </row>
    <row r="841" spans="4:5" x14ac:dyDescent="0.25">
      <c r="D841" s="138">
        <v>44544</v>
      </c>
      <c r="E841">
        <v>24858.79</v>
      </c>
    </row>
    <row r="842" spans="4:5" x14ac:dyDescent="0.25">
      <c r="D842" s="138">
        <v>44543</v>
      </c>
      <c r="E842">
        <v>24921.02</v>
      </c>
    </row>
    <row r="843" spans="4:5" x14ac:dyDescent="0.25">
      <c r="D843" s="138">
        <v>44540</v>
      </c>
      <c r="E843">
        <v>25126.240000000002</v>
      </c>
    </row>
    <row r="844" spans="4:5" x14ac:dyDescent="0.25">
      <c r="D844" s="138">
        <v>44539</v>
      </c>
      <c r="E844">
        <v>25134.23</v>
      </c>
    </row>
    <row r="845" spans="4:5" x14ac:dyDescent="0.25">
      <c r="D845" s="138">
        <v>44538</v>
      </c>
      <c r="E845">
        <v>25066.62</v>
      </c>
    </row>
    <row r="846" spans="4:5" x14ac:dyDescent="0.25">
      <c r="D846" s="138">
        <v>44537</v>
      </c>
      <c r="E846">
        <v>24646.18</v>
      </c>
    </row>
    <row r="847" spans="4:5" x14ac:dyDescent="0.25">
      <c r="D847" s="138">
        <v>44536</v>
      </c>
      <c r="E847">
        <v>24266.71</v>
      </c>
    </row>
    <row r="848" spans="4:5" x14ac:dyDescent="0.25">
      <c r="D848" s="138">
        <v>44533</v>
      </c>
      <c r="E848">
        <v>24674.83</v>
      </c>
    </row>
    <row r="849" spans="4:5" x14ac:dyDescent="0.25">
      <c r="D849" s="138">
        <v>44532</v>
      </c>
      <c r="E849">
        <v>24968.91</v>
      </c>
    </row>
    <row r="850" spans="4:5" x14ac:dyDescent="0.25">
      <c r="D850" s="138">
        <v>44531</v>
      </c>
      <c r="E850">
        <v>24632.06</v>
      </c>
    </row>
    <row r="851" spans="4:5" x14ac:dyDescent="0.25">
      <c r="D851" s="138">
        <v>44530</v>
      </c>
      <c r="E851">
        <v>24368.53</v>
      </c>
    </row>
    <row r="852" spans="4:5" x14ac:dyDescent="0.25">
      <c r="D852" s="138">
        <v>44529</v>
      </c>
      <c r="E852">
        <v>24469.99</v>
      </c>
    </row>
    <row r="853" spans="4:5" x14ac:dyDescent="0.25">
      <c r="D853" s="138">
        <v>44526</v>
      </c>
      <c r="E853">
        <v>24430.53</v>
      </c>
    </row>
    <row r="854" spans="4:5" x14ac:dyDescent="0.25">
      <c r="D854" s="138">
        <v>44525</v>
      </c>
      <c r="E854">
        <v>25162.07</v>
      </c>
    </row>
    <row r="855" spans="4:5" x14ac:dyDescent="0.25">
      <c r="D855" s="138">
        <v>44524</v>
      </c>
      <c r="E855">
        <v>24988.18</v>
      </c>
    </row>
    <row r="856" spans="4:5" x14ac:dyDescent="0.25">
      <c r="D856" s="138">
        <v>44523</v>
      </c>
      <c r="E856">
        <v>25114.82</v>
      </c>
    </row>
    <row r="857" spans="4:5" x14ac:dyDescent="0.25">
      <c r="D857" s="138">
        <v>44522</v>
      </c>
      <c r="E857">
        <v>24990.27</v>
      </c>
    </row>
    <row r="858" spans="4:5" x14ac:dyDescent="0.25">
      <c r="D858" s="138">
        <v>44518</v>
      </c>
      <c r="E858">
        <v>25483.23</v>
      </c>
    </row>
    <row r="859" spans="4:5" x14ac:dyDescent="0.25">
      <c r="D859" s="138">
        <v>44517</v>
      </c>
      <c r="E859">
        <v>25675.200000000001</v>
      </c>
    </row>
    <row r="860" spans="4:5" x14ac:dyDescent="0.25">
      <c r="D860" s="138">
        <v>44516</v>
      </c>
      <c r="E860">
        <v>25819.49</v>
      </c>
    </row>
    <row r="861" spans="4:5" x14ac:dyDescent="0.25">
      <c r="D861" s="138">
        <v>44515</v>
      </c>
      <c r="E861">
        <v>25977.61</v>
      </c>
    </row>
    <row r="862" spans="4:5" x14ac:dyDescent="0.25">
      <c r="D862" s="138">
        <v>44512</v>
      </c>
      <c r="E862">
        <v>25968.02</v>
      </c>
    </row>
    <row r="863" spans="4:5" x14ac:dyDescent="0.25">
      <c r="D863" s="138">
        <v>44511</v>
      </c>
      <c r="E863">
        <v>25639.32</v>
      </c>
    </row>
    <row r="864" spans="4:5" x14ac:dyDescent="0.25">
      <c r="D864" s="138">
        <v>44510</v>
      </c>
      <c r="E864">
        <v>25839.47</v>
      </c>
    </row>
    <row r="865" spans="4:5" x14ac:dyDescent="0.25">
      <c r="D865" s="138">
        <v>44509</v>
      </c>
      <c r="E865">
        <v>25878.28</v>
      </c>
    </row>
    <row r="866" spans="4:5" x14ac:dyDescent="0.25">
      <c r="D866" s="138">
        <v>44508</v>
      </c>
      <c r="E866">
        <v>25913.09</v>
      </c>
    </row>
    <row r="867" spans="4:5" x14ac:dyDescent="0.25">
      <c r="D867" s="138">
        <v>44504</v>
      </c>
      <c r="E867">
        <v>25695.5</v>
      </c>
    </row>
    <row r="868" spans="4:5" x14ac:dyDescent="0.25">
      <c r="D868" s="138">
        <v>44503</v>
      </c>
      <c r="E868">
        <v>25569.86</v>
      </c>
    </row>
    <row r="869" spans="4:5" x14ac:dyDescent="0.25">
      <c r="D869" s="138">
        <v>44502</v>
      </c>
      <c r="E869">
        <v>25655.51</v>
      </c>
    </row>
    <row r="870" spans="4:5" x14ac:dyDescent="0.25">
      <c r="D870" s="138">
        <v>44501</v>
      </c>
      <c r="E870">
        <v>25710.799999999999</v>
      </c>
    </row>
    <row r="871" spans="4:5" x14ac:dyDescent="0.25">
      <c r="D871" s="138">
        <v>44498</v>
      </c>
      <c r="E871">
        <v>25340.83</v>
      </c>
    </row>
    <row r="872" spans="4:5" x14ac:dyDescent="0.25">
      <c r="D872" s="138">
        <v>44497</v>
      </c>
      <c r="E872">
        <v>25606.99</v>
      </c>
    </row>
    <row r="873" spans="4:5" x14ac:dyDescent="0.25">
      <c r="D873" s="138">
        <v>44496</v>
      </c>
      <c r="E873">
        <v>26113.62</v>
      </c>
    </row>
    <row r="874" spans="4:5" x14ac:dyDescent="0.25">
      <c r="D874" s="138">
        <v>44495</v>
      </c>
      <c r="E874">
        <v>26196.05</v>
      </c>
    </row>
    <row r="875" spans="4:5" x14ac:dyDescent="0.25">
      <c r="D875" s="138">
        <v>44494</v>
      </c>
      <c r="E875">
        <v>25967.040000000001</v>
      </c>
    </row>
    <row r="876" spans="4:5" x14ac:dyDescent="0.25">
      <c r="D876" s="138">
        <v>44491</v>
      </c>
      <c r="E876">
        <v>25952.01</v>
      </c>
    </row>
    <row r="877" spans="4:5" x14ac:dyDescent="0.25">
      <c r="D877" s="138">
        <v>44490</v>
      </c>
      <c r="E877">
        <v>26042.59</v>
      </c>
    </row>
    <row r="878" spans="4:5" x14ac:dyDescent="0.25">
      <c r="D878" s="138">
        <v>44489</v>
      </c>
      <c r="E878">
        <v>26165.78</v>
      </c>
    </row>
    <row r="879" spans="4:5" x14ac:dyDescent="0.25">
      <c r="D879" s="138">
        <v>44488</v>
      </c>
      <c r="E879">
        <v>26383.71</v>
      </c>
    </row>
    <row r="880" spans="4:5" x14ac:dyDescent="0.25">
      <c r="D880" s="138">
        <v>44487</v>
      </c>
      <c r="E880">
        <v>26467.21</v>
      </c>
    </row>
    <row r="881" spans="4:5" x14ac:dyDescent="0.25">
      <c r="D881" s="138">
        <v>44483</v>
      </c>
      <c r="E881">
        <v>26268.83</v>
      </c>
    </row>
    <row r="882" spans="4:5" x14ac:dyDescent="0.25">
      <c r="D882" s="138">
        <v>44482</v>
      </c>
      <c r="E882">
        <v>26013.19</v>
      </c>
    </row>
    <row r="883" spans="4:5" x14ac:dyDescent="0.25">
      <c r="D883" s="138">
        <v>44481</v>
      </c>
      <c r="E883">
        <v>25770.01</v>
      </c>
    </row>
    <row r="884" spans="4:5" x14ac:dyDescent="0.25">
      <c r="D884" s="138">
        <v>44480</v>
      </c>
      <c r="E884">
        <v>25704.1</v>
      </c>
    </row>
    <row r="885" spans="4:5" x14ac:dyDescent="0.25">
      <c r="D885" s="138">
        <v>44477</v>
      </c>
      <c r="E885">
        <v>25631.38</v>
      </c>
    </row>
    <row r="886" spans="4:5" x14ac:dyDescent="0.25">
      <c r="D886" s="138">
        <v>44476</v>
      </c>
      <c r="E886">
        <v>25481.26</v>
      </c>
    </row>
    <row r="887" spans="4:5" x14ac:dyDescent="0.25">
      <c r="D887" s="138">
        <v>44475</v>
      </c>
      <c r="E887">
        <v>25274.48</v>
      </c>
    </row>
    <row r="888" spans="4:5" x14ac:dyDescent="0.25">
      <c r="D888" s="138">
        <v>44474</v>
      </c>
      <c r="E888">
        <v>25526.98</v>
      </c>
    </row>
    <row r="889" spans="4:5" x14ac:dyDescent="0.25">
      <c r="D889" s="138">
        <v>44473</v>
      </c>
      <c r="E889">
        <v>25339.32</v>
      </c>
    </row>
    <row r="890" spans="4:5" x14ac:dyDescent="0.25">
      <c r="D890" s="138">
        <v>44470</v>
      </c>
      <c r="E890">
        <v>25111.25</v>
      </c>
    </row>
    <row r="891" spans="4:5" x14ac:dyDescent="0.25">
      <c r="D891" s="138">
        <v>44469</v>
      </c>
      <c r="E891">
        <v>25234.57</v>
      </c>
    </row>
    <row r="892" spans="4:5" x14ac:dyDescent="0.25">
      <c r="D892" s="138">
        <v>44468</v>
      </c>
      <c r="E892">
        <v>25367.99</v>
      </c>
    </row>
    <row r="893" spans="4:5" x14ac:dyDescent="0.25">
      <c r="D893" s="138">
        <v>44467</v>
      </c>
      <c r="E893">
        <v>25421.46</v>
      </c>
    </row>
    <row r="894" spans="4:5" x14ac:dyDescent="0.25">
      <c r="D894" s="138">
        <v>44466</v>
      </c>
      <c r="E894">
        <v>25573.99</v>
      </c>
    </row>
    <row r="895" spans="4:5" x14ac:dyDescent="0.25">
      <c r="D895" s="138">
        <v>44463</v>
      </c>
      <c r="E895">
        <v>25571.24</v>
      </c>
    </row>
    <row r="896" spans="4:5" x14ac:dyDescent="0.25">
      <c r="D896" s="138">
        <v>44462</v>
      </c>
      <c r="E896">
        <v>25527.919999999998</v>
      </c>
    </row>
    <row r="897" spans="4:5" x14ac:dyDescent="0.25">
      <c r="D897" s="138">
        <v>44461</v>
      </c>
      <c r="E897">
        <v>25132.15</v>
      </c>
    </row>
    <row r="898" spans="4:5" x14ac:dyDescent="0.25">
      <c r="D898" s="138">
        <v>44460</v>
      </c>
      <c r="E898">
        <v>25154.16</v>
      </c>
    </row>
    <row r="899" spans="4:5" x14ac:dyDescent="0.25">
      <c r="D899" s="138">
        <v>44459</v>
      </c>
      <c r="E899">
        <v>24917.72</v>
      </c>
    </row>
    <row r="900" spans="4:5" x14ac:dyDescent="0.25">
      <c r="D900" s="138">
        <v>44456</v>
      </c>
      <c r="E900">
        <v>25187.34</v>
      </c>
    </row>
    <row r="901" spans="4:5" x14ac:dyDescent="0.25">
      <c r="D901" s="138">
        <v>44455</v>
      </c>
      <c r="E901">
        <v>25250.87</v>
      </c>
    </row>
    <row r="902" spans="4:5" x14ac:dyDescent="0.25">
      <c r="D902" s="138">
        <v>44454</v>
      </c>
      <c r="E902">
        <v>25093.22</v>
      </c>
    </row>
    <row r="903" spans="4:5" x14ac:dyDescent="0.25">
      <c r="D903" s="138">
        <v>44453</v>
      </c>
      <c r="E903">
        <v>24893.51</v>
      </c>
    </row>
    <row r="904" spans="4:5" x14ac:dyDescent="0.25">
      <c r="D904" s="138">
        <v>44452</v>
      </c>
      <c r="E904">
        <v>24858.12</v>
      </c>
    </row>
    <row r="905" spans="4:5" x14ac:dyDescent="0.25">
      <c r="D905" s="138">
        <v>44448</v>
      </c>
      <c r="E905">
        <v>24878.09</v>
      </c>
    </row>
    <row r="906" spans="4:5" x14ac:dyDescent="0.25">
      <c r="D906" s="138">
        <v>44447</v>
      </c>
      <c r="E906">
        <v>24855.5</v>
      </c>
    </row>
    <row r="907" spans="4:5" x14ac:dyDescent="0.25">
      <c r="D907" s="138">
        <v>44446</v>
      </c>
      <c r="E907">
        <v>24857.27</v>
      </c>
    </row>
    <row r="908" spans="4:5" x14ac:dyDescent="0.25">
      <c r="D908" s="138">
        <v>44445</v>
      </c>
      <c r="E908">
        <v>24879.79</v>
      </c>
    </row>
    <row r="909" spans="4:5" x14ac:dyDescent="0.25">
      <c r="D909" s="138">
        <v>44442</v>
      </c>
      <c r="E909">
        <v>24802.17</v>
      </c>
    </row>
    <row r="910" spans="4:5" x14ac:dyDescent="0.25">
      <c r="D910" s="138">
        <v>44441</v>
      </c>
      <c r="E910">
        <v>24674.11</v>
      </c>
    </row>
    <row r="911" spans="4:5" x14ac:dyDescent="0.25">
      <c r="D911" s="138">
        <v>44440</v>
      </c>
      <c r="E911">
        <v>24445.62</v>
      </c>
    </row>
    <row r="912" spans="4:5" x14ac:dyDescent="0.25">
      <c r="D912" s="138">
        <v>44439</v>
      </c>
      <c r="E912">
        <v>24525.71</v>
      </c>
    </row>
    <row r="913" spans="4:5" x14ac:dyDescent="0.25">
      <c r="D913" s="138">
        <v>44438</v>
      </c>
      <c r="E913">
        <v>24237.8</v>
      </c>
    </row>
    <row r="914" spans="4:5" x14ac:dyDescent="0.25">
      <c r="D914" s="138">
        <v>44435</v>
      </c>
      <c r="E914">
        <v>23914.48</v>
      </c>
    </row>
    <row r="915" spans="4:5" x14ac:dyDescent="0.25">
      <c r="D915" s="138">
        <v>44434</v>
      </c>
      <c r="E915">
        <v>23816.68</v>
      </c>
    </row>
    <row r="916" spans="4:5" x14ac:dyDescent="0.25">
      <c r="D916" s="138">
        <v>44433</v>
      </c>
      <c r="E916">
        <v>23813.43</v>
      </c>
    </row>
    <row r="917" spans="4:5" x14ac:dyDescent="0.25">
      <c r="D917" s="138">
        <v>44432</v>
      </c>
      <c r="E917">
        <v>23799.1</v>
      </c>
    </row>
    <row r="918" spans="4:5" x14ac:dyDescent="0.25">
      <c r="D918" s="138">
        <v>44431</v>
      </c>
      <c r="E918">
        <v>23615.61</v>
      </c>
    </row>
    <row r="919" spans="4:5" x14ac:dyDescent="0.25">
      <c r="D919" s="138">
        <v>44428</v>
      </c>
      <c r="E919">
        <v>23549.09</v>
      </c>
    </row>
    <row r="920" spans="4:5" x14ac:dyDescent="0.25">
      <c r="D920" s="138">
        <v>44426</v>
      </c>
      <c r="E920">
        <v>23718.57</v>
      </c>
    </row>
    <row r="921" spans="4:5" x14ac:dyDescent="0.25">
      <c r="D921" s="138">
        <v>44425</v>
      </c>
      <c r="E921">
        <v>23784.05</v>
      </c>
    </row>
    <row r="922" spans="4:5" x14ac:dyDescent="0.25">
      <c r="D922" s="138">
        <v>44424</v>
      </c>
      <c r="E922">
        <v>23708.38</v>
      </c>
    </row>
    <row r="923" spans="4:5" x14ac:dyDescent="0.25">
      <c r="D923" s="138">
        <v>44421</v>
      </c>
      <c r="E923">
        <v>23659.78</v>
      </c>
    </row>
    <row r="924" spans="4:5" x14ac:dyDescent="0.25">
      <c r="D924" s="138">
        <v>44420</v>
      </c>
      <c r="E924">
        <v>23424.04</v>
      </c>
    </row>
    <row r="925" spans="4:5" x14ac:dyDescent="0.25">
      <c r="D925" s="138">
        <v>44419</v>
      </c>
      <c r="E925">
        <v>23303.89</v>
      </c>
    </row>
    <row r="926" spans="4:5" x14ac:dyDescent="0.25">
      <c r="D926" s="138">
        <v>44418</v>
      </c>
      <c r="E926">
        <v>23300.36</v>
      </c>
    </row>
    <row r="927" spans="4:5" x14ac:dyDescent="0.25">
      <c r="D927" s="138">
        <v>44417</v>
      </c>
      <c r="E927">
        <v>23269.119999999999</v>
      </c>
    </row>
    <row r="928" spans="4:5" x14ac:dyDescent="0.25">
      <c r="D928" s="138">
        <v>44414</v>
      </c>
      <c r="E928">
        <v>23238.83</v>
      </c>
    </row>
    <row r="929" spans="4:5" x14ac:dyDescent="0.25">
      <c r="D929" s="138">
        <v>44413</v>
      </c>
      <c r="E929">
        <v>23319.53</v>
      </c>
    </row>
    <row r="930" spans="4:5" x14ac:dyDescent="0.25">
      <c r="D930" s="138">
        <v>44412</v>
      </c>
      <c r="E930">
        <v>23265.07</v>
      </c>
    </row>
    <row r="931" spans="4:5" x14ac:dyDescent="0.25">
      <c r="D931" s="138">
        <v>44411</v>
      </c>
      <c r="E931">
        <v>23081.86</v>
      </c>
    </row>
    <row r="932" spans="4:5" x14ac:dyDescent="0.25">
      <c r="D932" s="138">
        <v>44410</v>
      </c>
      <c r="E932">
        <v>22730.42</v>
      </c>
    </row>
    <row r="933" spans="4:5" x14ac:dyDescent="0.25">
      <c r="D933" s="138">
        <v>44407</v>
      </c>
      <c r="E933">
        <v>22554.26</v>
      </c>
    </row>
    <row r="934" spans="4:5" x14ac:dyDescent="0.25">
      <c r="D934" s="138">
        <v>44406</v>
      </c>
      <c r="E934">
        <v>22576.34</v>
      </c>
    </row>
    <row r="935" spans="4:5" x14ac:dyDescent="0.25">
      <c r="D935" s="138">
        <v>44405</v>
      </c>
      <c r="E935">
        <v>22472.95</v>
      </c>
    </row>
    <row r="936" spans="4:5" x14ac:dyDescent="0.25">
      <c r="D936" s="138">
        <v>44404</v>
      </c>
      <c r="E936">
        <v>22518.799999999999</v>
      </c>
    </row>
    <row r="937" spans="4:5" x14ac:dyDescent="0.25">
      <c r="D937" s="138">
        <v>44403</v>
      </c>
      <c r="E937">
        <v>22628.19</v>
      </c>
    </row>
    <row r="938" spans="4:5" x14ac:dyDescent="0.25">
      <c r="D938" s="138">
        <v>44400</v>
      </c>
      <c r="E938">
        <v>22673.35</v>
      </c>
    </row>
    <row r="939" spans="4:5" x14ac:dyDescent="0.25">
      <c r="D939" s="138">
        <v>44399</v>
      </c>
      <c r="E939">
        <v>22621.45</v>
      </c>
    </row>
    <row r="940" spans="4:5" x14ac:dyDescent="0.25">
      <c r="D940" s="138">
        <v>44397</v>
      </c>
      <c r="E940">
        <v>22344.81</v>
      </c>
    </row>
    <row r="941" spans="4:5" x14ac:dyDescent="0.25">
      <c r="D941" s="138">
        <v>44396</v>
      </c>
      <c r="E941">
        <v>22516.71</v>
      </c>
    </row>
    <row r="942" spans="4:5" x14ac:dyDescent="0.25">
      <c r="D942" s="138">
        <v>44393</v>
      </c>
      <c r="E942">
        <v>22761.200000000001</v>
      </c>
    </row>
    <row r="943" spans="4:5" x14ac:dyDescent="0.25">
      <c r="D943" s="138">
        <v>44392</v>
      </c>
      <c r="E943">
        <v>22762.34</v>
      </c>
    </row>
    <row r="944" spans="4:5" x14ac:dyDescent="0.25">
      <c r="D944" s="138">
        <v>44391</v>
      </c>
      <c r="E944">
        <v>22656.78</v>
      </c>
    </row>
    <row r="945" spans="4:5" x14ac:dyDescent="0.25">
      <c r="D945" s="138">
        <v>44390</v>
      </c>
      <c r="E945">
        <v>22595.49</v>
      </c>
    </row>
    <row r="946" spans="4:5" x14ac:dyDescent="0.25">
      <c r="D946" s="138">
        <v>44389</v>
      </c>
      <c r="E946">
        <v>22424.39</v>
      </c>
    </row>
    <row r="947" spans="4:5" x14ac:dyDescent="0.25">
      <c r="D947" s="138">
        <v>44386</v>
      </c>
      <c r="E947">
        <v>22420.36</v>
      </c>
    </row>
    <row r="948" spans="4:5" x14ac:dyDescent="0.25">
      <c r="D948" s="138">
        <v>44385</v>
      </c>
      <c r="E948">
        <v>22473.81</v>
      </c>
    </row>
    <row r="949" spans="4:5" x14ac:dyDescent="0.25">
      <c r="D949" s="138">
        <v>44384</v>
      </c>
      <c r="E949">
        <v>22683.66</v>
      </c>
    </row>
    <row r="950" spans="4:5" x14ac:dyDescent="0.25">
      <c r="D950" s="138">
        <v>44383</v>
      </c>
      <c r="E950">
        <v>22595.93</v>
      </c>
    </row>
    <row r="951" spans="4:5" x14ac:dyDescent="0.25">
      <c r="D951" s="138">
        <v>44382</v>
      </c>
      <c r="E951">
        <v>22618.97</v>
      </c>
    </row>
    <row r="952" spans="4:5" x14ac:dyDescent="0.25">
      <c r="D952" s="138">
        <v>44379</v>
      </c>
      <c r="E952">
        <v>22456.66</v>
      </c>
    </row>
    <row r="953" spans="4:5" x14ac:dyDescent="0.25">
      <c r="D953" s="138">
        <v>44378</v>
      </c>
      <c r="E953">
        <v>22396.400000000001</v>
      </c>
    </row>
    <row r="954" spans="4:5" x14ac:dyDescent="0.25">
      <c r="D954" s="138">
        <v>44377</v>
      </c>
      <c r="E954">
        <v>22455.7</v>
      </c>
    </row>
    <row r="955" spans="4:5" x14ac:dyDescent="0.25">
      <c r="D955" s="138">
        <v>44376</v>
      </c>
      <c r="E955">
        <v>22493.599999999999</v>
      </c>
    </row>
    <row r="956" spans="4:5" x14ac:dyDescent="0.25">
      <c r="D956" s="138">
        <v>44375</v>
      </c>
      <c r="E956">
        <v>22578.86</v>
      </c>
    </row>
    <row r="957" spans="4:5" x14ac:dyDescent="0.25">
      <c r="D957" s="138">
        <v>44372</v>
      </c>
      <c r="E957">
        <v>22644.06</v>
      </c>
    </row>
    <row r="958" spans="4:5" x14ac:dyDescent="0.25">
      <c r="D958" s="138">
        <v>44371</v>
      </c>
      <c r="E958">
        <v>22544.26</v>
      </c>
    </row>
    <row r="959" spans="4:5" x14ac:dyDescent="0.25">
      <c r="D959" s="138">
        <v>44370</v>
      </c>
      <c r="E959">
        <v>22395.25</v>
      </c>
    </row>
    <row r="960" spans="4:5" x14ac:dyDescent="0.25">
      <c r="D960" s="138">
        <v>44369</v>
      </c>
      <c r="E960">
        <v>22517.74</v>
      </c>
    </row>
    <row r="961" spans="4:5" x14ac:dyDescent="0.25">
      <c r="D961" s="138">
        <v>44368</v>
      </c>
      <c r="E961">
        <v>22480.3</v>
      </c>
    </row>
    <row r="962" spans="4:5" x14ac:dyDescent="0.25">
      <c r="D962" s="138">
        <v>44365</v>
      </c>
      <c r="E962">
        <v>22390.11</v>
      </c>
    </row>
    <row r="963" spans="4:5" x14ac:dyDescent="0.25">
      <c r="D963" s="138">
        <v>44364</v>
      </c>
      <c r="E963">
        <v>22401.65</v>
      </c>
    </row>
    <row r="964" spans="4:5" x14ac:dyDescent="0.25">
      <c r="D964" s="138">
        <v>44363</v>
      </c>
      <c r="E964">
        <v>22503.9</v>
      </c>
    </row>
    <row r="965" spans="4:5" x14ac:dyDescent="0.25">
      <c r="D965" s="138">
        <v>44362</v>
      </c>
      <c r="E965">
        <v>22649.05</v>
      </c>
    </row>
    <row r="966" spans="4:5" x14ac:dyDescent="0.25">
      <c r="D966" s="138">
        <v>44361</v>
      </c>
      <c r="E966">
        <v>22567.11</v>
      </c>
    </row>
    <row r="967" spans="4:5" x14ac:dyDescent="0.25">
      <c r="D967" s="138">
        <v>44358</v>
      </c>
      <c r="E967">
        <v>22544.26</v>
      </c>
    </row>
    <row r="968" spans="4:5" x14ac:dyDescent="0.25">
      <c r="D968" s="138">
        <v>44357</v>
      </c>
      <c r="E968">
        <v>22448.94</v>
      </c>
    </row>
    <row r="969" spans="4:5" x14ac:dyDescent="0.25">
      <c r="D969" s="138">
        <v>44356</v>
      </c>
      <c r="E969">
        <v>22283.52</v>
      </c>
    </row>
    <row r="970" spans="4:5" x14ac:dyDescent="0.25">
      <c r="D970" s="138">
        <v>44355</v>
      </c>
      <c r="E970">
        <v>22432.77</v>
      </c>
    </row>
    <row r="971" spans="4:5" x14ac:dyDescent="0.25">
      <c r="D971" s="138">
        <v>44354</v>
      </c>
      <c r="E971">
        <v>22449.24</v>
      </c>
    </row>
    <row r="972" spans="4:5" x14ac:dyDescent="0.25">
      <c r="D972" s="138">
        <v>44351</v>
      </c>
      <c r="E972">
        <v>22333.23</v>
      </c>
    </row>
    <row r="973" spans="4:5" x14ac:dyDescent="0.25">
      <c r="D973" s="138">
        <v>44350</v>
      </c>
      <c r="E973">
        <v>22361.86</v>
      </c>
    </row>
    <row r="974" spans="4:5" x14ac:dyDescent="0.25">
      <c r="D974" s="138">
        <v>44349</v>
      </c>
      <c r="E974">
        <v>22194.18</v>
      </c>
    </row>
    <row r="975" spans="4:5" x14ac:dyDescent="0.25">
      <c r="D975" s="138">
        <v>44348</v>
      </c>
      <c r="E975">
        <v>22192.25</v>
      </c>
    </row>
    <row r="976" spans="4:5" x14ac:dyDescent="0.25">
      <c r="D976" s="138">
        <v>44347</v>
      </c>
      <c r="E976">
        <v>22203.59</v>
      </c>
    </row>
    <row r="977" spans="4:5" x14ac:dyDescent="0.25">
      <c r="D977" s="138">
        <v>44344</v>
      </c>
      <c r="E977">
        <v>21962.31</v>
      </c>
    </row>
    <row r="978" spans="4:5" x14ac:dyDescent="0.25">
      <c r="D978" s="138">
        <v>44343</v>
      </c>
      <c r="E978">
        <v>21823.14</v>
      </c>
    </row>
    <row r="979" spans="4:5" x14ac:dyDescent="0.25">
      <c r="D979" s="138">
        <v>44342</v>
      </c>
      <c r="E979">
        <v>21771.35</v>
      </c>
    </row>
    <row r="980" spans="4:5" x14ac:dyDescent="0.25">
      <c r="D980" s="138">
        <v>44341</v>
      </c>
      <c r="E980">
        <v>21639.040000000001</v>
      </c>
    </row>
    <row r="981" spans="4:5" x14ac:dyDescent="0.25">
      <c r="D981" s="138">
        <v>44340</v>
      </c>
      <c r="E981">
        <v>21617.03</v>
      </c>
    </row>
    <row r="982" spans="4:5" x14ac:dyDescent="0.25">
      <c r="D982" s="138">
        <v>44337</v>
      </c>
      <c r="E982">
        <v>21585.18</v>
      </c>
    </row>
    <row r="983" spans="4:5" x14ac:dyDescent="0.25">
      <c r="D983" s="138">
        <v>44336</v>
      </c>
      <c r="E983">
        <v>21202.21</v>
      </c>
    </row>
    <row r="984" spans="4:5" x14ac:dyDescent="0.25">
      <c r="D984" s="138">
        <v>44335</v>
      </c>
      <c r="E984">
        <v>21378.71</v>
      </c>
    </row>
    <row r="985" spans="4:5" x14ac:dyDescent="0.25">
      <c r="D985" s="138">
        <v>44334</v>
      </c>
      <c r="E985">
        <v>21489.56</v>
      </c>
    </row>
    <row r="986" spans="4:5" x14ac:dyDescent="0.25">
      <c r="D986" s="138">
        <v>44333</v>
      </c>
      <c r="E986">
        <v>21226.53</v>
      </c>
    </row>
    <row r="987" spans="4:5" x14ac:dyDescent="0.25">
      <c r="D987" s="138">
        <v>44330</v>
      </c>
      <c r="E987">
        <v>20877.560000000001</v>
      </c>
    </row>
    <row r="988" spans="4:5" x14ac:dyDescent="0.25">
      <c r="D988" s="138">
        <v>44328</v>
      </c>
      <c r="E988">
        <v>20904.13</v>
      </c>
    </row>
    <row r="989" spans="4:5" x14ac:dyDescent="0.25">
      <c r="D989" s="138">
        <v>44327</v>
      </c>
      <c r="E989">
        <v>21123.53</v>
      </c>
    </row>
    <row r="990" spans="4:5" x14ac:dyDescent="0.25">
      <c r="D990" s="138">
        <v>44326</v>
      </c>
      <c r="E990">
        <v>21253.8</v>
      </c>
    </row>
    <row r="991" spans="4:5" x14ac:dyDescent="0.25">
      <c r="D991" s="138">
        <v>44323</v>
      </c>
      <c r="E991">
        <v>21084.26</v>
      </c>
    </row>
    <row r="992" spans="4:5" x14ac:dyDescent="0.25">
      <c r="D992" s="138">
        <v>44322</v>
      </c>
      <c r="E992">
        <v>20944.41</v>
      </c>
    </row>
    <row r="993" spans="4:5" x14ac:dyDescent="0.25">
      <c r="D993" s="138">
        <v>44321</v>
      </c>
      <c r="E993">
        <v>20792.240000000002</v>
      </c>
    </row>
    <row r="994" spans="4:5" x14ac:dyDescent="0.25">
      <c r="D994" s="138">
        <v>44320</v>
      </c>
      <c r="E994">
        <v>20619.62</v>
      </c>
    </row>
    <row r="995" spans="4:5" x14ac:dyDescent="0.25">
      <c r="D995" s="138">
        <v>44319</v>
      </c>
      <c r="E995">
        <v>20815.43</v>
      </c>
    </row>
    <row r="996" spans="4:5" x14ac:dyDescent="0.25">
      <c r="D996" s="138">
        <v>44316</v>
      </c>
      <c r="E996">
        <v>20811.13</v>
      </c>
    </row>
    <row r="997" spans="4:5" x14ac:dyDescent="0.25">
      <c r="D997" s="138">
        <v>44315</v>
      </c>
      <c r="E997">
        <v>21186.3</v>
      </c>
    </row>
    <row r="998" spans="4:5" x14ac:dyDescent="0.25">
      <c r="D998" s="138">
        <v>44314</v>
      </c>
      <c r="E998">
        <v>21136.41</v>
      </c>
    </row>
    <row r="999" spans="4:5" x14ac:dyDescent="0.25">
      <c r="D999" s="138">
        <v>44313</v>
      </c>
      <c r="E999">
        <v>20835.669999999998</v>
      </c>
    </row>
    <row r="1000" spans="4:5" x14ac:dyDescent="0.25">
      <c r="D1000" s="138">
        <v>44312</v>
      </c>
      <c r="E1000">
        <v>20596.72</v>
      </c>
    </row>
    <row r="1001" spans="4:5" x14ac:dyDescent="0.25">
      <c r="D1001" s="138">
        <v>44309</v>
      </c>
      <c r="E1001">
        <v>20392.439999999999</v>
      </c>
    </row>
    <row r="1002" spans="4:5" x14ac:dyDescent="0.25">
      <c r="D1002" s="138">
        <v>44308</v>
      </c>
      <c r="E1002">
        <v>20484.63</v>
      </c>
    </row>
    <row r="1003" spans="4:5" x14ac:dyDescent="0.25">
      <c r="D1003" s="138">
        <v>44306</v>
      </c>
      <c r="E1003">
        <v>20328.55</v>
      </c>
    </row>
    <row r="1004" spans="4:5" x14ac:dyDescent="0.25">
      <c r="D1004" s="138">
        <v>44305</v>
      </c>
      <c r="E1004">
        <v>20418.16</v>
      </c>
    </row>
    <row r="1005" spans="4:5" x14ac:dyDescent="0.25">
      <c r="D1005" s="138">
        <v>44302</v>
      </c>
      <c r="E1005">
        <v>20785.61</v>
      </c>
    </row>
    <row r="1006" spans="4:5" x14ac:dyDescent="0.25">
      <c r="D1006" s="138">
        <v>44301</v>
      </c>
      <c r="E1006">
        <v>20733.88</v>
      </c>
    </row>
    <row r="1007" spans="4:5" x14ac:dyDescent="0.25">
      <c r="D1007" s="138">
        <v>44299</v>
      </c>
      <c r="E1007">
        <v>20624.86</v>
      </c>
    </row>
    <row r="1008" spans="4:5" x14ac:dyDescent="0.25">
      <c r="D1008" s="138">
        <v>44298</v>
      </c>
      <c r="E1008">
        <v>20348.990000000002</v>
      </c>
    </row>
    <row r="1009" spans="4:5" x14ac:dyDescent="0.25">
      <c r="D1009" s="138">
        <v>44295</v>
      </c>
      <c r="E1009">
        <v>21094.17</v>
      </c>
    </row>
    <row r="1010" spans="4:5" x14ac:dyDescent="0.25">
      <c r="D1010" s="138">
        <v>44294</v>
      </c>
      <c r="E1010">
        <v>21149.59</v>
      </c>
    </row>
    <row r="1011" spans="4:5" x14ac:dyDescent="0.25">
      <c r="D1011" s="138">
        <v>44293</v>
      </c>
      <c r="E1011">
        <v>21069.32</v>
      </c>
    </row>
    <row r="1012" spans="4:5" x14ac:dyDescent="0.25">
      <c r="D1012" s="138">
        <v>44292</v>
      </c>
      <c r="E1012">
        <v>20876.57</v>
      </c>
    </row>
    <row r="1013" spans="4:5" x14ac:dyDescent="0.25">
      <c r="D1013" s="138">
        <v>44291</v>
      </c>
      <c r="E1013">
        <v>20811.61</v>
      </c>
    </row>
    <row r="1014" spans="4:5" x14ac:dyDescent="0.25">
      <c r="D1014" s="138">
        <v>44287</v>
      </c>
      <c r="E1014">
        <v>21137.69</v>
      </c>
    </row>
    <row r="1015" spans="4:5" x14ac:dyDescent="0.25">
      <c r="D1015" s="138">
        <v>44286</v>
      </c>
      <c r="E1015">
        <v>20886.52</v>
      </c>
    </row>
    <row r="1016" spans="4:5" x14ac:dyDescent="0.25">
      <c r="D1016" s="138">
        <v>44285</v>
      </c>
      <c r="E1016">
        <v>21106.06</v>
      </c>
    </row>
    <row r="1017" spans="4:5" x14ac:dyDescent="0.25">
      <c r="D1017" s="138">
        <v>44281</v>
      </c>
      <c r="E1017">
        <v>20625.79</v>
      </c>
    </row>
    <row r="1018" spans="4:5" x14ac:dyDescent="0.25">
      <c r="D1018" s="138">
        <v>44280</v>
      </c>
      <c r="E1018">
        <v>20366.419999999998</v>
      </c>
    </row>
    <row r="1019" spans="4:5" x14ac:dyDescent="0.25">
      <c r="D1019" s="138">
        <v>44279</v>
      </c>
      <c r="E1019">
        <v>20684.27</v>
      </c>
    </row>
    <row r="1020" spans="4:5" x14ac:dyDescent="0.25">
      <c r="D1020" s="138">
        <v>44278</v>
      </c>
      <c r="E1020">
        <v>21061.52</v>
      </c>
    </row>
    <row r="1021" spans="4:5" x14ac:dyDescent="0.25">
      <c r="D1021" s="138">
        <v>44277</v>
      </c>
      <c r="E1021">
        <v>20947.650000000001</v>
      </c>
    </row>
    <row r="1022" spans="4:5" x14ac:dyDescent="0.25">
      <c r="D1022" s="138">
        <v>44274</v>
      </c>
      <c r="E1022">
        <v>20956.87</v>
      </c>
    </row>
    <row r="1023" spans="4:5" x14ac:dyDescent="0.25">
      <c r="D1023" s="138">
        <v>44273</v>
      </c>
      <c r="E1023">
        <v>20692.34</v>
      </c>
    </row>
    <row r="1024" spans="4:5" x14ac:dyDescent="0.25">
      <c r="D1024" s="138">
        <v>44272</v>
      </c>
      <c r="E1024">
        <v>20924.61</v>
      </c>
    </row>
    <row r="1025" spans="4:5" x14ac:dyDescent="0.25">
      <c r="D1025" s="138">
        <v>44271</v>
      </c>
      <c r="E1025">
        <v>21193.46</v>
      </c>
    </row>
    <row r="1026" spans="4:5" x14ac:dyDescent="0.25">
      <c r="D1026" s="138">
        <v>44270</v>
      </c>
      <c r="E1026">
        <v>21220.59</v>
      </c>
    </row>
    <row r="1027" spans="4:5" x14ac:dyDescent="0.25">
      <c r="D1027" s="138">
        <v>44267</v>
      </c>
      <c r="E1027">
        <v>21361.29</v>
      </c>
    </row>
    <row r="1028" spans="4:5" x14ac:dyDescent="0.25">
      <c r="D1028" s="138">
        <v>44265</v>
      </c>
      <c r="E1028">
        <v>21565.72</v>
      </c>
    </row>
    <row r="1029" spans="4:5" x14ac:dyDescent="0.25">
      <c r="D1029" s="138">
        <v>44264</v>
      </c>
      <c r="E1029">
        <v>21457.17</v>
      </c>
    </row>
    <row r="1030" spans="4:5" x14ac:dyDescent="0.25">
      <c r="D1030" s="138">
        <v>44263</v>
      </c>
      <c r="E1030">
        <v>21255.06</v>
      </c>
    </row>
    <row r="1031" spans="4:5" x14ac:dyDescent="0.25">
      <c r="D1031" s="138">
        <v>44260</v>
      </c>
      <c r="E1031">
        <v>21225.94</v>
      </c>
    </row>
    <row r="1032" spans="4:5" x14ac:dyDescent="0.25">
      <c r="D1032" s="138">
        <v>44259</v>
      </c>
      <c r="E1032">
        <v>21428.63</v>
      </c>
    </row>
    <row r="1033" spans="4:5" x14ac:dyDescent="0.25">
      <c r="D1033" s="138">
        <v>44258</v>
      </c>
      <c r="E1033">
        <v>21662.92</v>
      </c>
    </row>
    <row r="1034" spans="4:5" x14ac:dyDescent="0.25">
      <c r="D1034" s="138">
        <v>44257</v>
      </c>
      <c r="E1034">
        <v>21198.93</v>
      </c>
    </row>
    <row r="1035" spans="4:5" x14ac:dyDescent="0.25">
      <c r="D1035" s="138">
        <v>44256</v>
      </c>
      <c r="E1035">
        <v>20975.08</v>
      </c>
    </row>
    <row r="1036" spans="4:5" x14ac:dyDescent="0.25">
      <c r="D1036" s="138">
        <v>44253</v>
      </c>
      <c r="E1036">
        <v>20644.88</v>
      </c>
    </row>
    <row r="1037" spans="4:5" x14ac:dyDescent="0.25">
      <c r="D1037" s="138">
        <v>44252</v>
      </c>
      <c r="E1037">
        <v>21452.240000000002</v>
      </c>
    </row>
    <row r="1038" spans="4:5" x14ac:dyDescent="0.25">
      <c r="D1038" s="138">
        <v>44251</v>
      </c>
      <c r="E1038">
        <v>21288.35</v>
      </c>
    </row>
    <row r="1039" spans="4:5" x14ac:dyDescent="0.25">
      <c r="D1039" s="138">
        <v>44250</v>
      </c>
      <c r="E1039">
        <v>20898.75</v>
      </c>
    </row>
    <row r="1040" spans="4:5" x14ac:dyDescent="0.25">
      <c r="D1040" s="138">
        <v>44249</v>
      </c>
      <c r="E1040">
        <v>20853.12</v>
      </c>
    </row>
    <row r="1041" spans="4:5" x14ac:dyDescent="0.25">
      <c r="D1041" s="138">
        <v>44246</v>
      </c>
      <c r="E1041">
        <v>21273.279999999999</v>
      </c>
    </row>
    <row r="1042" spans="4:5" x14ac:dyDescent="0.25">
      <c r="D1042" s="138">
        <v>44245</v>
      </c>
      <c r="E1042">
        <v>21468.11</v>
      </c>
    </row>
    <row r="1043" spans="4:5" x14ac:dyDescent="0.25">
      <c r="D1043" s="138">
        <v>44244</v>
      </c>
      <c r="E1043">
        <v>21595.82</v>
      </c>
    </row>
    <row r="1044" spans="4:5" x14ac:dyDescent="0.25">
      <c r="D1044" s="138">
        <v>44243</v>
      </c>
      <c r="E1044">
        <v>21737.9</v>
      </c>
    </row>
    <row r="1045" spans="4:5" x14ac:dyDescent="0.25">
      <c r="D1045" s="138">
        <v>44242</v>
      </c>
      <c r="E1045">
        <v>21739.69</v>
      </c>
    </row>
    <row r="1046" spans="4:5" x14ac:dyDescent="0.25">
      <c r="D1046" s="138">
        <v>44239</v>
      </c>
      <c r="E1046">
        <v>21521.82</v>
      </c>
    </row>
    <row r="1047" spans="4:5" x14ac:dyDescent="0.25">
      <c r="D1047" s="138">
        <v>44238</v>
      </c>
      <c r="E1047">
        <v>21536</v>
      </c>
    </row>
    <row r="1048" spans="4:5" x14ac:dyDescent="0.25">
      <c r="D1048" s="138">
        <v>44237</v>
      </c>
      <c r="E1048">
        <v>21436.44</v>
      </c>
    </row>
    <row r="1049" spans="4:5" x14ac:dyDescent="0.25">
      <c r="D1049" s="138">
        <v>44236</v>
      </c>
      <c r="E1049">
        <v>21440.42</v>
      </c>
    </row>
    <row r="1050" spans="4:5" x14ac:dyDescent="0.25">
      <c r="D1050" s="138">
        <v>44235</v>
      </c>
      <c r="E1050">
        <v>21447.64</v>
      </c>
    </row>
    <row r="1051" spans="4:5" x14ac:dyDescent="0.25">
      <c r="D1051" s="138">
        <v>44232</v>
      </c>
      <c r="E1051">
        <v>21175.89</v>
      </c>
    </row>
    <row r="1052" spans="4:5" x14ac:dyDescent="0.25">
      <c r="D1052" s="138">
        <v>44231</v>
      </c>
      <c r="E1052">
        <v>21135.31</v>
      </c>
    </row>
    <row r="1053" spans="4:5" x14ac:dyDescent="0.25">
      <c r="D1053" s="138">
        <v>44230</v>
      </c>
      <c r="E1053">
        <v>20985.32</v>
      </c>
    </row>
    <row r="1054" spans="4:5" x14ac:dyDescent="0.25">
      <c r="D1054" s="138">
        <v>44229</v>
      </c>
      <c r="E1054">
        <v>20783.689999999999</v>
      </c>
    </row>
    <row r="1055" spans="4:5" x14ac:dyDescent="0.25">
      <c r="D1055" s="138">
        <v>44228</v>
      </c>
      <c r="E1055">
        <v>20263.439999999999</v>
      </c>
    </row>
    <row r="1056" spans="4:5" x14ac:dyDescent="0.25">
      <c r="D1056" s="138">
        <v>44225</v>
      </c>
      <c r="E1056">
        <v>19346.03</v>
      </c>
    </row>
    <row r="1057" spans="4:5" x14ac:dyDescent="0.25">
      <c r="D1057" s="138">
        <v>44224</v>
      </c>
      <c r="E1057">
        <v>19605.59</v>
      </c>
    </row>
    <row r="1058" spans="4:5" x14ac:dyDescent="0.25">
      <c r="D1058" s="138">
        <v>44223</v>
      </c>
      <c r="E1058">
        <v>19818.34</v>
      </c>
    </row>
    <row r="1059" spans="4:5" x14ac:dyDescent="0.25">
      <c r="D1059" s="138">
        <v>44221</v>
      </c>
      <c r="E1059">
        <v>20201.900000000001</v>
      </c>
    </row>
    <row r="1060" spans="4:5" x14ac:dyDescent="0.25">
      <c r="D1060" s="138">
        <v>44218</v>
      </c>
      <c r="E1060">
        <v>20390.57</v>
      </c>
    </row>
    <row r="1061" spans="4:5" x14ac:dyDescent="0.25">
      <c r="D1061" s="138">
        <v>44217</v>
      </c>
      <c r="E1061">
        <v>20700.02</v>
      </c>
    </row>
    <row r="1062" spans="4:5" x14ac:dyDescent="0.25">
      <c r="D1062" s="138">
        <v>44216</v>
      </c>
      <c r="E1062">
        <v>20775.669999999998</v>
      </c>
    </row>
    <row r="1063" spans="4:5" x14ac:dyDescent="0.25">
      <c r="D1063" s="138">
        <v>44215</v>
      </c>
      <c r="E1063">
        <v>20600.41</v>
      </c>
    </row>
    <row r="1064" spans="4:5" x14ac:dyDescent="0.25">
      <c r="D1064" s="138">
        <v>44214</v>
      </c>
      <c r="E1064">
        <v>20260.18</v>
      </c>
    </row>
    <row r="1065" spans="4:5" x14ac:dyDescent="0.25">
      <c r="D1065" s="138">
        <v>44211</v>
      </c>
      <c r="E1065">
        <v>20476.38</v>
      </c>
    </row>
    <row r="1066" spans="4:5" x14ac:dyDescent="0.25">
      <c r="D1066" s="138">
        <v>44210</v>
      </c>
      <c r="E1066">
        <v>20706.07</v>
      </c>
    </row>
    <row r="1067" spans="4:5" x14ac:dyDescent="0.25">
      <c r="D1067" s="138">
        <v>44209</v>
      </c>
      <c r="E1067">
        <v>20660.349999999999</v>
      </c>
    </row>
    <row r="1068" spans="4:5" x14ac:dyDescent="0.25">
      <c r="D1068" s="138">
        <v>44208</v>
      </c>
      <c r="E1068">
        <v>20658.34</v>
      </c>
    </row>
    <row r="1069" spans="4:5" x14ac:dyDescent="0.25">
      <c r="D1069" s="138">
        <v>44207</v>
      </c>
      <c r="E1069">
        <v>20546.740000000002</v>
      </c>
    </row>
    <row r="1070" spans="4:5" x14ac:dyDescent="0.25">
      <c r="D1070" s="138">
        <v>44204</v>
      </c>
      <c r="E1070">
        <v>20351.669999999998</v>
      </c>
    </row>
    <row r="1071" spans="4:5" x14ac:dyDescent="0.25">
      <c r="D1071" s="138">
        <v>44203</v>
      </c>
      <c r="E1071">
        <v>20053.97</v>
      </c>
    </row>
    <row r="1072" spans="4:5" x14ac:dyDescent="0.25">
      <c r="D1072" s="138">
        <v>44202</v>
      </c>
      <c r="E1072">
        <v>20066.560000000001</v>
      </c>
    </row>
    <row r="1073" spans="4:5" x14ac:dyDescent="0.25">
      <c r="D1073" s="138">
        <v>44201</v>
      </c>
      <c r="E1073">
        <v>20142.13</v>
      </c>
    </row>
    <row r="1074" spans="4:5" x14ac:dyDescent="0.25">
      <c r="D1074" s="138">
        <v>44200</v>
      </c>
      <c r="E1074">
        <v>20047.61</v>
      </c>
    </row>
    <row r="1075" spans="4:5" x14ac:dyDescent="0.25">
      <c r="D1075" s="138">
        <v>44197</v>
      </c>
      <c r="E1075">
        <v>19885.36</v>
      </c>
    </row>
    <row r="1076" spans="4:5" x14ac:dyDescent="0.25">
      <c r="D1076" s="138">
        <v>44196</v>
      </c>
      <c r="E1076">
        <v>19833.189999999999</v>
      </c>
    </row>
    <row r="1077" spans="4:5" x14ac:dyDescent="0.25">
      <c r="D1077" s="138">
        <v>44195</v>
      </c>
      <c r="E1077">
        <v>19833.53</v>
      </c>
    </row>
    <row r="1078" spans="4:5" x14ac:dyDescent="0.25">
      <c r="D1078" s="138">
        <v>44194</v>
      </c>
      <c r="E1078">
        <v>19763.509999999998</v>
      </c>
    </row>
    <row r="1079" spans="4:5" x14ac:dyDescent="0.25">
      <c r="D1079" s="138">
        <v>44193</v>
      </c>
      <c r="E1079">
        <v>19679.240000000002</v>
      </c>
    </row>
    <row r="1080" spans="4:5" x14ac:dyDescent="0.25">
      <c r="D1080" s="138">
        <v>44189</v>
      </c>
      <c r="E1080">
        <v>19503.400000000001</v>
      </c>
    </row>
    <row r="1081" spans="4:5" x14ac:dyDescent="0.25">
      <c r="D1081" s="138">
        <v>44188</v>
      </c>
      <c r="E1081">
        <v>19293.259999999998</v>
      </c>
    </row>
    <row r="1082" spans="4:5" x14ac:dyDescent="0.25">
      <c r="D1082" s="138">
        <v>44187</v>
      </c>
      <c r="E1082">
        <v>19102.060000000001</v>
      </c>
    </row>
    <row r="1083" spans="4:5" x14ac:dyDescent="0.25">
      <c r="D1083" s="138">
        <v>44186</v>
      </c>
      <c r="E1083">
        <v>18906.45</v>
      </c>
    </row>
    <row r="1084" spans="4:5" x14ac:dyDescent="0.25">
      <c r="D1084" s="138">
        <v>44183</v>
      </c>
      <c r="E1084">
        <v>19519.419999999998</v>
      </c>
    </row>
    <row r="1085" spans="4:5" x14ac:dyDescent="0.25">
      <c r="D1085" s="138">
        <v>44182</v>
      </c>
      <c r="E1085">
        <v>19491.3</v>
      </c>
    </row>
    <row r="1086" spans="4:5" x14ac:dyDescent="0.25">
      <c r="D1086" s="138">
        <v>44181</v>
      </c>
      <c r="E1086">
        <v>19404.8</v>
      </c>
    </row>
    <row r="1087" spans="4:5" x14ac:dyDescent="0.25">
      <c r="D1087" s="138">
        <v>44180</v>
      </c>
      <c r="E1087">
        <v>19241.900000000001</v>
      </c>
    </row>
    <row r="1088" spans="4:5" x14ac:dyDescent="0.25">
      <c r="D1088" s="138">
        <v>44179</v>
      </c>
      <c r="E1088">
        <v>19228.16</v>
      </c>
    </row>
    <row r="1089" spans="4:5" x14ac:dyDescent="0.25">
      <c r="D1089" s="138">
        <v>44176</v>
      </c>
      <c r="E1089">
        <v>19165.330000000002</v>
      </c>
    </row>
    <row r="1090" spans="4:5" x14ac:dyDescent="0.25">
      <c r="D1090" s="138">
        <v>44175</v>
      </c>
      <c r="E1090">
        <v>19114.96</v>
      </c>
    </row>
    <row r="1091" spans="4:5" x14ac:dyDescent="0.25">
      <c r="D1091" s="138">
        <v>44174</v>
      </c>
      <c r="E1091">
        <v>19186.95</v>
      </c>
    </row>
    <row r="1092" spans="4:5" x14ac:dyDescent="0.25">
      <c r="D1092" s="138">
        <v>44173</v>
      </c>
      <c r="E1092">
        <v>18993.86</v>
      </c>
    </row>
    <row r="1093" spans="4:5" x14ac:dyDescent="0.25">
      <c r="D1093" s="138">
        <v>44172</v>
      </c>
      <c r="E1093">
        <v>18941.150000000001</v>
      </c>
    </row>
    <row r="1094" spans="4:5" x14ac:dyDescent="0.25">
      <c r="D1094" s="138">
        <v>44169</v>
      </c>
      <c r="E1094">
        <v>18803.27</v>
      </c>
    </row>
    <row r="1095" spans="4:5" x14ac:dyDescent="0.25">
      <c r="D1095" s="138">
        <v>44168</v>
      </c>
      <c r="E1095">
        <v>18626.53</v>
      </c>
    </row>
    <row r="1096" spans="4:5" x14ac:dyDescent="0.25">
      <c r="D1096" s="138">
        <v>44167</v>
      </c>
      <c r="E1096">
        <v>18597.900000000001</v>
      </c>
    </row>
    <row r="1097" spans="4:5" x14ac:dyDescent="0.25">
      <c r="D1097" s="138">
        <v>44166</v>
      </c>
      <c r="E1097">
        <v>18591.25</v>
      </c>
    </row>
    <row r="1098" spans="4:5" x14ac:dyDescent="0.25">
      <c r="D1098" s="138">
        <v>44162</v>
      </c>
      <c r="E1098">
        <v>18392.54</v>
      </c>
    </row>
    <row r="1099" spans="4:5" x14ac:dyDescent="0.25">
      <c r="D1099" s="138">
        <v>44161</v>
      </c>
      <c r="E1099">
        <v>18418.16</v>
      </c>
    </row>
    <row r="1100" spans="4:5" x14ac:dyDescent="0.25">
      <c r="D1100" s="138">
        <v>44160</v>
      </c>
      <c r="E1100">
        <v>18235.759999999998</v>
      </c>
    </row>
    <row r="1101" spans="4:5" x14ac:dyDescent="0.25">
      <c r="D1101" s="138">
        <v>44159</v>
      </c>
      <c r="E1101">
        <v>18514.82</v>
      </c>
    </row>
    <row r="1102" spans="4:5" x14ac:dyDescent="0.25">
      <c r="D1102" s="138">
        <v>44158</v>
      </c>
      <c r="E1102">
        <v>18332.330000000002</v>
      </c>
    </row>
    <row r="1103" spans="4:5" x14ac:dyDescent="0.25">
      <c r="D1103" s="138">
        <v>44155</v>
      </c>
      <c r="E1103">
        <v>18236.68</v>
      </c>
    </row>
    <row r="1104" spans="4:5" x14ac:dyDescent="0.25">
      <c r="D1104" s="138">
        <v>44154</v>
      </c>
      <c r="E1104">
        <v>18112.830000000002</v>
      </c>
    </row>
    <row r="1105" spans="4:5" x14ac:dyDescent="0.25">
      <c r="D1105" s="138">
        <v>44153</v>
      </c>
      <c r="E1105">
        <v>18349.02</v>
      </c>
    </row>
    <row r="1106" spans="4:5" x14ac:dyDescent="0.25">
      <c r="D1106" s="138">
        <v>44152</v>
      </c>
      <c r="E1106">
        <v>18258.23</v>
      </c>
    </row>
    <row r="1107" spans="4:5" x14ac:dyDescent="0.25">
      <c r="D1107" s="138">
        <v>44149</v>
      </c>
      <c r="E1107">
        <v>18124.93</v>
      </c>
    </row>
    <row r="1108" spans="4:5" x14ac:dyDescent="0.25">
      <c r="D1108" s="138">
        <v>44148</v>
      </c>
      <c r="E1108">
        <v>18039.439999999999</v>
      </c>
    </row>
    <row r="1109" spans="4:5" x14ac:dyDescent="0.25">
      <c r="D1109" s="138">
        <v>44147</v>
      </c>
      <c r="E1109">
        <v>17998.11</v>
      </c>
    </row>
    <row r="1110" spans="4:5" x14ac:dyDescent="0.25">
      <c r="D1110" s="138">
        <v>44146</v>
      </c>
      <c r="E1110">
        <v>18080.84</v>
      </c>
    </row>
    <row r="1111" spans="4:5" x14ac:dyDescent="0.25">
      <c r="D1111" s="138">
        <v>44145</v>
      </c>
      <c r="E1111">
        <v>17913.400000000001</v>
      </c>
    </row>
    <row r="1112" spans="4:5" x14ac:dyDescent="0.25">
      <c r="D1112" s="138">
        <v>44144</v>
      </c>
      <c r="E1112">
        <v>17672.25</v>
      </c>
    </row>
    <row r="1113" spans="4:5" x14ac:dyDescent="0.25">
      <c r="D1113" s="138">
        <v>44141</v>
      </c>
      <c r="E1113">
        <v>17392.14</v>
      </c>
    </row>
    <row r="1114" spans="4:5" x14ac:dyDescent="0.25">
      <c r="D1114" s="138">
        <v>44140</v>
      </c>
      <c r="E1114">
        <v>17189.03</v>
      </c>
    </row>
    <row r="1115" spans="4:5" x14ac:dyDescent="0.25">
      <c r="D1115" s="138">
        <v>44139</v>
      </c>
      <c r="E1115">
        <v>16888.650000000001</v>
      </c>
    </row>
    <row r="1116" spans="4:5" x14ac:dyDescent="0.25">
      <c r="D1116" s="138">
        <v>44138</v>
      </c>
      <c r="E1116">
        <v>16746.75</v>
      </c>
    </row>
    <row r="1117" spans="4:5" x14ac:dyDescent="0.25">
      <c r="D1117" s="138">
        <v>44137</v>
      </c>
      <c r="E1117">
        <v>16542.080000000002</v>
      </c>
    </row>
    <row r="1118" spans="4:5" x14ac:dyDescent="0.25">
      <c r="D1118" s="138">
        <v>44134</v>
      </c>
      <c r="E1118">
        <v>16504.16</v>
      </c>
    </row>
    <row r="1119" spans="4:5" x14ac:dyDescent="0.25">
      <c r="D1119" s="138">
        <v>44133</v>
      </c>
      <c r="E1119">
        <v>16544.45</v>
      </c>
    </row>
    <row r="1120" spans="4:5" x14ac:dyDescent="0.25">
      <c r="D1120" s="138">
        <v>44132</v>
      </c>
      <c r="E1120">
        <v>16623.13</v>
      </c>
    </row>
    <row r="1121" spans="4:5" x14ac:dyDescent="0.25">
      <c r="D1121" s="138">
        <v>44131</v>
      </c>
      <c r="E1121">
        <v>16844.96</v>
      </c>
    </row>
    <row r="1122" spans="4:5" x14ac:dyDescent="0.25">
      <c r="D1122" s="138">
        <v>44130</v>
      </c>
      <c r="E1122">
        <v>16672.62</v>
      </c>
    </row>
    <row r="1123" spans="4:5" x14ac:dyDescent="0.25">
      <c r="D1123" s="138">
        <v>44127</v>
      </c>
      <c r="E1123">
        <v>16902.96</v>
      </c>
    </row>
    <row r="1124" spans="4:5" x14ac:dyDescent="0.25">
      <c r="D1124" s="138">
        <v>44126</v>
      </c>
      <c r="E1124">
        <v>16840.52</v>
      </c>
    </row>
    <row r="1125" spans="4:5" x14ac:dyDescent="0.25">
      <c r="D1125" s="138">
        <v>44125</v>
      </c>
      <c r="E1125">
        <v>16897.43</v>
      </c>
    </row>
    <row r="1126" spans="4:5" x14ac:dyDescent="0.25">
      <c r="D1126" s="138">
        <v>44124</v>
      </c>
      <c r="E1126">
        <v>16839.599999999999</v>
      </c>
    </row>
    <row r="1127" spans="4:5" x14ac:dyDescent="0.25">
      <c r="D1127" s="138">
        <v>44123</v>
      </c>
      <c r="E1127">
        <v>16805.97</v>
      </c>
    </row>
    <row r="1128" spans="4:5" x14ac:dyDescent="0.25">
      <c r="D1128" s="138">
        <v>44120</v>
      </c>
      <c r="E1128">
        <v>16649.46</v>
      </c>
    </row>
    <row r="1129" spans="4:5" x14ac:dyDescent="0.25">
      <c r="D1129" s="138">
        <v>44119</v>
      </c>
      <c r="E1129">
        <v>16533.240000000002</v>
      </c>
    </row>
    <row r="1130" spans="4:5" x14ac:dyDescent="0.25">
      <c r="D1130" s="138">
        <v>44118</v>
      </c>
      <c r="E1130">
        <v>16944.73</v>
      </c>
    </row>
    <row r="1131" spans="4:5" x14ac:dyDescent="0.25">
      <c r="D1131" s="138">
        <v>44117</v>
      </c>
      <c r="E1131">
        <v>16888.87</v>
      </c>
    </row>
    <row r="1132" spans="4:5" x14ac:dyDescent="0.25">
      <c r="D1132" s="138">
        <v>44116</v>
      </c>
      <c r="E1132">
        <v>16883.84</v>
      </c>
    </row>
    <row r="1133" spans="4:5" x14ac:dyDescent="0.25">
      <c r="D1133" s="138">
        <v>44113</v>
      </c>
      <c r="E1133">
        <v>16860.11</v>
      </c>
    </row>
    <row r="1134" spans="4:5" x14ac:dyDescent="0.25">
      <c r="D1134" s="138">
        <v>44112</v>
      </c>
      <c r="E1134">
        <v>16747.48</v>
      </c>
    </row>
    <row r="1135" spans="4:5" x14ac:dyDescent="0.25">
      <c r="D1135" s="138">
        <v>44111</v>
      </c>
      <c r="E1135">
        <v>16611.96</v>
      </c>
    </row>
    <row r="1136" spans="4:5" x14ac:dyDescent="0.25">
      <c r="D1136" s="138">
        <v>44110</v>
      </c>
      <c r="E1136">
        <v>16503.77</v>
      </c>
    </row>
    <row r="1137" spans="4:5" x14ac:dyDescent="0.25">
      <c r="D1137" s="138">
        <v>44109</v>
      </c>
      <c r="E1137">
        <v>16278.72</v>
      </c>
    </row>
    <row r="1138" spans="4:5" x14ac:dyDescent="0.25">
      <c r="D1138" s="138">
        <v>44105</v>
      </c>
      <c r="E1138">
        <v>16156.44</v>
      </c>
    </row>
    <row r="1139" spans="4:5" x14ac:dyDescent="0.25">
      <c r="D1139" s="138">
        <v>44104</v>
      </c>
      <c r="E1139">
        <v>15916.72</v>
      </c>
    </row>
    <row r="1140" spans="4:5" x14ac:dyDescent="0.25">
      <c r="D1140" s="138">
        <v>44103</v>
      </c>
      <c r="E1140">
        <v>15881.16</v>
      </c>
    </row>
    <row r="1141" spans="4:5" x14ac:dyDescent="0.25">
      <c r="D1141" s="138">
        <v>44102</v>
      </c>
      <c r="E1141">
        <v>15888.44</v>
      </c>
    </row>
    <row r="1142" spans="4:5" x14ac:dyDescent="0.25">
      <c r="D1142" s="138">
        <v>44099</v>
      </c>
      <c r="E1142">
        <v>15637.53</v>
      </c>
    </row>
    <row r="1143" spans="4:5" x14ac:dyDescent="0.25">
      <c r="D1143" s="138">
        <v>44098</v>
      </c>
      <c r="E1143">
        <v>15291.25</v>
      </c>
    </row>
    <row r="1144" spans="4:5" x14ac:dyDescent="0.25">
      <c r="D1144" s="138">
        <v>44097</v>
      </c>
      <c r="E1144">
        <v>15752.97</v>
      </c>
    </row>
    <row r="1145" spans="4:5" x14ac:dyDescent="0.25">
      <c r="D1145" s="138">
        <v>44096</v>
      </c>
      <c r="E1145">
        <v>15783.87</v>
      </c>
    </row>
    <row r="1146" spans="4:5" x14ac:dyDescent="0.25">
      <c r="D1146" s="138">
        <v>44095</v>
      </c>
      <c r="E1146">
        <v>15920.99</v>
      </c>
    </row>
    <row r="1147" spans="4:5" x14ac:dyDescent="0.25">
      <c r="D1147" s="138">
        <v>44092</v>
      </c>
      <c r="E1147">
        <v>16281</v>
      </c>
    </row>
    <row r="1148" spans="4:5" x14ac:dyDescent="0.25">
      <c r="D1148" s="138">
        <v>44091</v>
      </c>
      <c r="E1148">
        <v>16296.78</v>
      </c>
    </row>
    <row r="1149" spans="4:5" x14ac:dyDescent="0.25">
      <c r="D1149" s="138">
        <v>44090</v>
      </c>
      <c r="E1149">
        <v>16421.95</v>
      </c>
    </row>
    <row r="1150" spans="4:5" x14ac:dyDescent="0.25">
      <c r="D1150" s="138">
        <v>44089</v>
      </c>
      <c r="E1150">
        <v>16304.84</v>
      </c>
    </row>
    <row r="1151" spans="4:5" x14ac:dyDescent="0.25">
      <c r="D1151" s="138">
        <v>44088</v>
      </c>
      <c r="E1151">
        <v>16189.14</v>
      </c>
    </row>
    <row r="1152" spans="4:5" x14ac:dyDescent="0.25">
      <c r="D1152" s="138">
        <v>44085</v>
      </c>
      <c r="E1152">
        <v>16222.92</v>
      </c>
    </row>
    <row r="1153" spans="4:5" x14ac:dyDescent="0.25">
      <c r="D1153" s="138">
        <v>44084</v>
      </c>
      <c r="E1153">
        <v>16201.44</v>
      </c>
    </row>
    <row r="1154" spans="4:5" x14ac:dyDescent="0.25">
      <c r="D1154" s="138">
        <v>44083</v>
      </c>
      <c r="E1154">
        <v>15958.99</v>
      </c>
    </row>
    <row r="1155" spans="4:5" x14ac:dyDescent="0.25">
      <c r="D1155" s="138">
        <v>44082</v>
      </c>
      <c r="E1155">
        <v>16014.67</v>
      </c>
    </row>
    <row r="1156" spans="4:5" x14ac:dyDescent="0.25">
      <c r="D1156" s="138">
        <v>44081</v>
      </c>
      <c r="E1156">
        <v>16068.06</v>
      </c>
    </row>
    <row r="1157" spans="4:5" x14ac:dyDescent="0.25">
      <c r="D1157" s="138">
        <v>44078</v>
      </c>
      <c r="E1157">
        <v>16038.07</v>
      </c>
    </row>
    <row r="1158" spans="4:5" x14ac:dyDescent="0.25">
      <c r="D1158" s="138">
        <v>44077</v>
      </c>
      <c r="E1158">
        <v>16311.99</v>
      </c>
    </row>
    <row r="1159" spans="4:5" x14ac:dyDescent="0.25">
      <c r="D1159" s="138">
        <v>44076</v>
      </c>
      <c r="E1159">
        <v>16322.17</v>
      </c>
    </row>
    <row r="1160" spans="4:5" x14ac:dyDescent="0.25">
      <c r="D1160" s="138">
        <v>44075</v>
      </c>
      <c r="E1160">
        <v>16227.14</v>
      </c>
    </row>
    <row r="1161" spans="4:5" x14ac:dyDescent="0.25">
      <c r="D1161" s="138">
        <v>44074</v>
      </c>
      <c r="E1161">
        <v>16110.07</v>
      </c>
    </row>
    <row r="1162" spans="4:5" x14ac:dyDescent="0.25">
      <c r="D1162" s="138">
        <v>44071</v>
      </c>
      <c r="E1162">
        <v>16478.009999999998</v>
      </c>
    </row>
    <row r="1163" spans="4:5" x14ac:dyDescent="0.25">
      <c r="D1163" s="138">
        <v>44070</v>
      </c>
      <c r="E1163">
        <v>16353.08</v>
      </c>
    </row>
    <row r="1164" spans="4:5" x14ac:dyDescent="0.25">
      <c r="D1164" s="138">
        <v>44069</v>
      </c>
      <c r="E1164">
        <v>16339.41</v>
      </c>
    </row>
    <row r="1165" spans="4:5" x14ac:dyDescent="0.25">
      <c r="D1165" s="138">
        <v>44068</v>
      </c>
      <c r="E1165">
        <v>16226.2</v>
      </c>
    </row>
    <row r="1166" spans="4:5" x14ac:dyDescent="0.25">
      <c r="D1166" s="138">
        <v>44067</v>
      </c>
      <c r="E1166">
        <v>16218.02</v>
      </c>
    </row>
    <row r="1167" spans="4:5" x14ac:dyDescent="0.25">
      <c r="D1167" s="138">
        <v>44064</v>
      </c>
      <c r="E1167">
        <v>16083.84</v>
      </c>
    </row>
    <row r="1168" spans="4:5" x14ac:dyDescent="0.25">
      <c r="D1168" s="138">
        <v>44063</v>
      </c>
      <c r="E1168">
        <v>15999.86</v>
      </c>
    </row>
    <row r="1169" spans="4:5" x14ac:dyDescent="0.25">
      <c r="D1169" s="138">
        <v>44062</v>
      </c>
      <c r="E1169">
        <v>16135.89</v>
      </c>
    </row>
    <row r="1170" spans="4:5" x14ac:dyDescent="0.25">
      <c r="D1170" s="138">
        <v>44061</v>
      </c>
      <c r="E1170">
        <v>16101.86</v>
      </c>
    </row>
    <row r="1171" spans="4:5" x14ac:dyDescent="0.25">
      <c r="D1171" s="138">
        <v>44060</v>
      </c>
      <c r="E1171">
        <v>15906.29</v>
      </c>
    </row>
    <row r="1172" spans="4:5" x14ac:dyDescent="0.25">
      <c r="D1172" s="138">
        <v>44057</v>
      </c>
      <c r="E1172">
        <v>15809.17</v>
      </c>
    </row>
    <row r="1173" spans="4:5" x14ac:dyDescent="0.25">
      <c r="D1173" s="138">
        <v>44056</v>
      </c>
      <c r="E1173">
        <v>15981.73</v>
      </c>
    </row>
    <row r="1174" spans="4:5" x14ac:dyDescent="0.25">
      <c r="D1174" s="138">
        <v>44055</v>
      </c>
      <c r="E1174">
        <v>15986.03</v>
      </c>
    </row>
    <row r="1175" spans="4:5" x14ac:dyDescent="0.25">
      <c r="D1175" s="138">
        <v>44054</v>
      </c>
      <c r="E1175">
        <v>16005.99</v>
      </c>
    </row>
    <row r="1176" spans="4:5" x14ac:dyDescent="0.25">
      <c r="D1176" s="138">
        <v>44053</v>
      </c>
      <c r="E1176">
        <v>15931.97</v>
      </c>
    </row>
    <row r="1177" spans="4:5" x14ac:dyDescent="0.25">
      <c r="D1177" s="138">
        <v>44050</v>
      </c>
      <c r="E1177">
        <v>15852.65</v>
      </c>
    </row>
    <row r="1178" spans="4:5" x14ac:dyDescent="0.25">
      <c r="D1178" s="138">
        <v>44049</v>
      </c>
      <c r="E1178">
        <v>15833.02</v>
      </c>
    </row>
    <row r="1179" spans="4:5" x14ac:dyDescent="0.25">
      <c r="D1179" s="138">
        <v>44048</v>
      </c>
      <c r="E1179">
        <v>15689.69</v>
      </c>
    </row>
    <row r="1180" spans="4:5" x14ac:dyDescent="0.25">
      <c r="D1180" s="138">
        <v>44047</v>
      </c>
      <c r="E1180">
        <v>15676.74</v>
      </c>
    </row>
    <row r="1181" spans="4:5" x14ac:dyDescent="0.25">
      <c r="D1181" s="138">
        <v>44046</v>
      </c>
      <c r="E1181">
        <v>15388.98</v>
      </c>
    </row>
    <row r="1182" spans="4:5" x14ac:dyDescent="0.25">
      <c r="D1182" s="138">
        <v>44043</v>
      </c>
      <c r="E1182">
        <v>15645.34</v>
      </c>
    </row>
    <row r="1183" spans="4:5" x14ac:dyDescent="0.25">
      <c r="D1183" s="138">
        <v>44042</v>
      </c>
      <c r="E1183">
        <v>15685.92</v>
      </c>
    </row>
    <row r="1184" spans="4:5" x14ac:dyDescent="0.25">
      <c r="D1184" s="138">
        <v>44041</v>
      </c>
      <c r="E1184">
        <v>15824.19</v>
      </c>
    </row>
    <row r="1185" spans="4:5" x14ac:dyDescent="0.25">
      <c r="D1185" s="138">
        <v>44040</v>
      </c>
      <c r="E1185">
        <v>15961.7</v>
      </c>
    </row>
    <row r="1186" spans="4:5" x14ac:dyDescent="0.25">
      <c r="D1186" s="138">
        <v>44039</v>
      </c>
      <c r="E1186">
        <v>15723.39</v>
      </c>
    </row>
    <row r="1187" spans="4:5" x14ac:dyDescent="0.25">
      <c r="D1187" s="138">
        <v>44036</v>
      </c>
      <c r="E1187">
        <v>15811.4</v>
      </c>
    </row>
    <row r="1188" spans="4:5" x14ac:dyDescent="0.25">
      <c r="D1188" s="138">
        <v>44035</v>
      </c>
      <c r="E1188">
        <v>15841.48</v>
      </c>
    </row>
    <row r="1189" spans="4:5" x14ac:dyDescent="0.25">
      <c r="D1189" s="138">
        <v>44034</v>
      </c>
      <c r="E1189">
        <v>15722.51</v>
      </c>
    </row>
    <row r="1190" spans="4:5" x14ac:dyDescent="0.25">
      <c r="D1190" s="138">
        <v>44033</v>
      </c>
      <c r="E1190">
        <v>15764.41</v>
      </c>
    </row>
    <row r="1191" spans="4:5" x14ac:dyDescent="0.25">
      <c r="D1191" s="138">
        <v>44032</v>
      </c>
      <c r="E1191">
        <v>15566.56</v>
      </c>
    </row>
    <row r="1192" spans="4:5" x14ac:dyDescent="0.25">
      <c r="D1192" s="138">
        <v>44029</v>
      </c>
      <c r="E1192">
        <v>15396.44</v>
      </c>
    </row>
    <row r="1193" spans="4:5" x14ac:dyDescent="0.25">
      <c r="D1193" s="138">
        <v>44028</v>
      </c>
      <c r="E1193">
        <v>15167.99</v>
      </c>
    </row>
    <row r="1194" spans="4:5" x14ac:dyDescent="0.25">
      <c r="D1194" s="138">
        <v>44027</v>
      </c>
      <c r="E1194">
        <v>14993.52</v>
      </c>
    </row>
    <row r="1195" spans="4:5" x14ac:dyDescent="0.25">
      <c r="D1195" s="138">
        <v>44026</v>
      </c>
      <c r="E1195">
        <v>14978.23</v>
      </c>
    </row>
    <row r="1196" spans="4:5" x14ac:dyDescent="0.25">
      <c r="D1196" s="138">
        <v>44025</v>
      </c>
      <c r="E1196">
        <v>15254.09</v>
      </c>
    </row>
    <row r="1197" spans="4:5" x14ac:dyDescent="0.25">
      <c r="D1197" s="138">
        <v>44022</v>
      </c>
      <c r="E1197">
        <v>15204.13</v>
      </c>
    </row>
    <row r="1198" spans="4:5" x14ac:dyDescent="0.25">
      <c r="D1198" s="138">
        <v>44021</v>
      </c>
      <c r="E1198">
        <v>15268.19</v>
      </c>
    </row>
    <row r="1199" spans="4:5" x14ac:dyDescent="0.25">
      <c r="D1199" s="138">
        <v>44020</v>
      </c>
      <c r="E1199">
        <v>15104.09</v>
      </c>
    </row>
    <row r="1200" spans="4:5" x14ac:dyDescent="0.25">
      <c r="D1200" s="138">
        <v>44019</v>
      </c>
      <c r="E1200">
        <v>15236.58</v>
      </c>
    </row>
    <row r="1201" spans="4:5" x14ac:dyDescent="0.25">
      <c r="D1201" s="138">
        <v>44018</v>
      </c>
      <c r="E1201">
        <v>15185.78</v>
      </c>
    </row>
    <row r="1202" spans="4:5" x14ac:dyDescent="0.25">
      <c r="D1202" s="138">
        <v>44015</v>
      </c>
      <c r="E1202">
        <v>14964.59</v>
      </c>
    </row>
    <row r="1203" spans="4:5" x14ac:dyDescent="0.25">
      <c r="D1203" s="138">
        <v>44014</v>
      </c>
      <c r="E1203">
        <v>14886.06</v>
      </c>
    </row>
    <row r="1204" spans="4:5" x14ac:dyDescent="0.25">
      <c r="D1204" s="138">
        <v>44013</v>
      </c>
      <c r="E1204">
        <v>14707.64</v>
      </c>
    </row>
    <row r="1205" spans="4:5" x14ac:dyDescent="0.25">
      <c r="D1205" s="138">
        <v>44012</v>
      </c>
      <c r="E1205">
        <v>14527.18</v>
      </c>
    </row>
    <row r="1206" spans="4:5" x14ac:dyDescent="0.25">
      <c r="D1206" s="138">
        <v>44011</v>
      </c>
      <c r="E1206">
        <v>14541.76</v>
      </c>
    </row>
    <row r="1207" spans="4:5" x14ac:dyDescent="0.25">
      <c r="D1207" s="138">
        <v>44008</v>
      </c>
      <c r="E1207">
        <v>14641.26</v>
      </c>
    </row>
    <row r="1208" spans="4:5" x14ac:dyDescent="0.25">
      <c r="D1208" s="138">
        <v>44007</v>
      </c>
      <c r="E1208">
        <v>14508.61</v>
      </c>
    </row>
    <row r="1209" spans="4:5" x14ac:dyDescent="0.25">
      <c r="D1209" s="138">
        <v>44006</v>
      </c>
      <c r="E1209">
        <v>14531.72</v>
      </c>
    </row>
    <row r="1210" spans="4:5" x14ac:dyDescent="0.25">
      <c r="D1210" s="138">
        <v>44005</v>
      </c>
      <c r="E1210">
        <v>14765.36</v>
      </c>
    </row>
    <row r="1211" spans="4:5" x14ac:dyDescent="0.25">
      <c r="D1211" s="138">
        <v>44004</v>
      </c>
      <c r="E1211">
        <v>14540.07</v>
      </c>
    </row>
    <row r="1212" spans="4:5" x14ac:dyDescent="0.25">
      <c r="D1212" s="138">
        <v>44001</v>
      </c>
      <c r="E1212">
        <v>14445.87</v>
      </c>
    </row>
    <row r="1213" spans="4:5" x14ac:dyDescent="0.25">
      <c r="D1213" s="138">
        <v>44000</v>
      </c>
      <c r="E1213">
        <v>14227.14</v>
      </c>
    </row>
    <row r="1214" spans="4:5" x14ac:dyDescent="0.25">
      <c r="D1214" s="138">
        <v>43999</v>
      </c>
      <c r="E1214">
        <v>13930.35</v>
      </c>
    </row>
    <row r="1215" spans="4:5" x14ac:dyDescent="0.25">
      <c r="D1215" s="138">
        <v>43998</v>
      </c>
      <c r="E1215">
        <v>13976.63</v>
      </c>
    </row>
    <row r="1216" spans="4:5" x14ac:dyDescent="0.25">
      <c r="D1216" s="138">
        <v>43997</v>
      </c>
      <c r="E1216">
        <v>13835.27</v>
      </c>
    </row>
    <row r="1217" spans="4:5" x14ac:dyDescent="0.25">
      <c r="D1217" s="138">
        <v>43994</v>
      </c>
      <c r="E1217">
        <v>14059.69</v>
      </c>
    </row>
    <row r="1218" spans="4:5" x14ac:dyDescent="0.25">
      <c r="D1218" s="138">
        <v>43993</v>
      </c>
      <c r="E1218">
        <v>13959.73</v>
      </c>
    </row>
    <row r="1219" spans="4:5" x14ac:dyDescent="0.25">
      <c r="D1219" s="138">
        <v>43992</v>
      </c>
      <c r="E1219">
        <v>14260.91</v>
      </c>
    </row>
    <row r="1220" spans="4:5" x14ac:dyDescent="0.25">
      <c r="D1220" s="138">
        <v>43991</v>
      </c>
      <c r="E1220">
        <v>14162.9</v>
      </c>
    </row>
    <row r="1221" spans="4:5" x14ac:dyDescent="0.25">
      <c r="D1221" s="138">
        <v>43990</v>
      </c>
      <c r="E1221">
        <v>14333.2</v>
      </c>
    </row>
    <row r="1222" spans="4:5" x14ac:dyDescent="0.25">
      <c r="D1222" s="138">
        <v>43987</v>
      </c>
      <c r="E1222">
        <v>14297.55</v>
      </c>
    </row>
    <row r="1223" spans="4:5" x14ac:dyDescent="0.25">
      <c r="D1223" s="138">
        <v>43986</v>
      </c>
      <c r="E1223">
        <v>14138.19</v>
      </c>
    </row>
    <row r="1224" spans="4:5" x14ac:dyDescent="0.25">
      <c r="D1224" s="138">
        <v>43985</v>
      </c>
      <c r="E1224">
        <v>14183.95</v>
      </c>
    </row>
    <row r="1225" spans="4:5" x14ac:dyDescent="0.25">
      <c r="D1225" s="138">
        <v>43984</v>
      </c>
      <c r="E1225">
        <v>14065.56</v>
      </c>
    </row>
    <row r="1226" spans="4:5" x14ac:dyDescent="0.25">
      <c r="D1226" s="138">
        <v>43983</v>
      </c>
      <c r="E1226">
        <v>13850</v>
      </c>
    </row>
    <row r="1227" spans="4:5" x14ac:dyDescent="0.25">
      <c r="D1227" s="138">
        <v>43980</v>
      </c>
      <c r="E1227">
        <v>13503.45</v>
      </c>
    </row>
    <row r="1228" spans="4:5" x14ac:dyDescent="0.25">
      <c r="D1228" s="138">
        <v>43979</v>
      </c>
      <c r="E1228">
        <v>13364.65</v>
      </c>
    </row>
    <row r="1229" spans="4:5" x14ac:dyDescent="0.25">
      <c r="D1229" s="138">
        <v>43978</v>
      </c>
      <c r="E1229">
        <v>13117.99</v>
      </c>
    </row>
    <row r="1230" spans="4:5" x14ac:dyDescent="0.25">
      <c r="D1230" s="138">
        <v>43977</v>
      </c>
      <c r="E1230">
        <v>12715.39</v>
      </c>
    </row>
    <row r="1231" spans="4:5" x14ac:dyDescent="0.25">
      <c r="D1231" s="138">
        <v>43973</v>
      </c>
      <c r="E1231">
        <v>12729.74</v>
      </c>
    </row>
    <row r="1232" spans="4:5" x14ac:dyDescent="0.25">
      <c r="D1232" s="138">
        <v>43972</v>
      </c>
      <c r="E1232">
        <v>12824.12</v>
      </c>
    </row>
    <row r="1233" spans="4:5" x14ac:dyDescent="0.25">
      <c r="D1233" s="138">
        <v>43971</v>
      </c>
      <c r="E1233">
        <v>12768.2</v>
      </c>
    </row>
    <row r="1234" spans="4:5" x14ac:dyDescent="0.25">
      <c r="D1234" s="138">
        <v>43970</v>
      </c>
      <c r="E1234">
        <v>12504.22</v>
      </c>
    </row>
    <row r="1235" spans="4:5" x14ac:dyDescent="0.25">
      <c r="D1235" s="138">
        <v>43969</v>
      </c>
      <c r="E1235">
        <v>12425.57</v>
      </c>
    </row>
    <row r="1236" spans="4:5" x14ac:dyDescent="0.25">
      <c r="D1236" s="138">
        <v>43966</v>
      </c>
      <c r="E1236">
        <v>12867.16</v>
      </c>
    </row>
    <row r="1237" spans="4:5" x14ac:dyDescent="0.25">
      <c r="D1237" s="138">
        <v>43965</v>
      </c>
      <c r="E1237">
        <v>12875.51</v>
      </c>
    </row>
    <row r="1238" spans="4:5" x14ac:dyDescent="0.25">
      <c r="D1238" s="138">
        <v>43964</v>
      </c>
      <c r="E1238">
        <v>13214.58</v>
      </c>
    </row>
    <row r="1239" spans="4:5" x14ac:dyDescent="0.25">
      <c r="D1239" s="138">
        <v>43963</v>
      </c>
      <c r="E1239">
        <v>12951.29</v>
      </c>
    </row>
    <row r="1240" spans="4:5" x14ac:dyDescent="0.25">
      <c r="D1240" s="138">
        <v>43962</v>
      </c>
      <c r="E1240">
        <v>13011.35</v>
      </c>
    </row>
    <row r="1241" spans="4:5" x14ac:dyDescent="0.25">
      <c r="D1241" s="138">
        <v>43959</v>
      </c>
      <c r="E1241">
        <v>13028.62</v>
      </c>
    </row>
    <row r="1242" spans="4:5" x14ac:dyDescent="0.25">
      <c r="D1242" s="138">
        <v>43958</v>
      </c>
      <c r="E1242">
        <v>12954.81</v>
      </c>
    </row>
    <row r="1243" spans="4:5" x14ac:dyDescent="0.25">
      <c r="D1243" s="138">
        <v>43957</v>
      </c>
      <c r="E1243">
        <v>13055.99</v>
      </c>
    </row>
    <row r="1244" spans="4:5" x14ac:dyDescent="0.25">
      <c r="D1244" s="138">
        <v>43956</v>
      </c>
      <c r="E1244">
        <v>12963.99</v>
      </c>
    </row>
    <row r="1245" spans="4:5" x14ac:dyDescent="0.25">
      <c r="D1245" s="138">
        <v>43955</v>
      </c>
      <c r="E1245">
        <v>13086.63</v>
      </c>
    </row>
    <row r="1246" spans="4:5" x14ac:dyDescent="0.25">
      <c r="D1246" s="138">
        <v>43951</v>
      </c>
      <c r="E1246">
        <v>13884.18</v>
      </c>
    </row>
    <row r="1247" spans="4:5" x14ac:dyDescent="0.25">
      <c r="D1247" s="138">
        <v>43950</v>
      </c>
      <c r="E1247">
        <v>13452.51</v>
      </c>
    </row>
    <row r="1248" spans="4:5" x14ac:dyDescent="0.25">
      <c r="D1248" s="138">
        <v>43949</v>
      </c>
      <c r="E1248">
        <v>13208.29</v>
      </c>
    </row>
    <row r="1249" spans="4:5" x14ac:dyDescent="0.25">
      <c r="D1249" s="138">
        <v>43948</v>
      </c>
      <c r="E1249">
        <v>13069.49</v>
      </c>
    </row>
    <row r="1250" spans="4:5" x14ac:dyDescent="0.25">
      <c r="D1250" s="138">
        <v>43945</v>
      </c>
      <c r="E1250">
        <v>12889.39</v>
      </c>
    </row>
    <row r="1251" spans="4:5" x14ac:dyDescent="0.25">
      <c r="D1251" s="138">
        <v>43944</v>
      </c>
      <c r="E1251">
        <v>13113.97</v>
      </c>
    </row>
    <row r="1252" spans="4:5" x14ac:dyDescent="0.25">
      <c r="D1252" s="138">
        <v>43943</v>
      </c>
      <c r="E1252">
        <v>12935.73</v>
      </c>
    </row>
    <row r="1253" spans="4:5" x14ac:dyDescent="0.25">
      <c r="D1253" s="138">
        <v>43942</v>
      </c>
      <c r="E1253">
        <v>12645.91</v>
      </c>
    </row>
    <row r="1254" spans="4:5" x14ac:dyDescent="0.25">
      <c r="D1254" s="138">
        <v>43941</v>
      </c>
      <c r="E1254">
        <v>13040.65</v>
      </c>
    </row>
    <row r="1255" spans="4:5" x14ac:dyDescent="0.25">
      <c r="D1255" s="138">
        <v>43938</v>
      </c>
      <c r="E1255">
        <v>13047.57</v>
      </c>
    </row>
    <row r="1256" spans="4:5" x14ac:dyDescent="0.25">
      <c r="D1256" s="138">
        <v>43937</v>
      </c>
      <c r="E1256">
        <v>12661.83</v>
      </c>
    </row>
    <row r="1257" spans="4:5" x14ac:dyDescent="0.25">
      <c r="D1257" s="138">
        <v>43936</v>
      </c>
      <c r="E1257">
        <v>12566.85</v>
      </c>
    </row>
    <row r="1258" spans="4:5" x14ac:dyDescent="0.25">
      <c r="D1258" s="138">
        <v>43934</v>
      </c>
      <c r="E1258">
        <v>12663.31</v>
      </c>
    </row>
    <row r="1259" spans="4:5" x14ac:dyDescent="0.25">
      <c r="D1259" s="138">
        <v>43930</v>
      </c>
      <c r="E1259">
        <v>12829.57</v>
      </c>
    </row>
    <row r="1260" spans="4:5" x14ac:dyDescent="0.25">
      <c r="D1260" s="138">
        <v>43929</v>
      </c>
      <c r="E1260">
        <v>12318.25</v>
      </c>
    </row>
    <row r="1261" spans="4:5" x14ac:dyDescent="0.25">
      <c r="D1261" s="138">
        <v>43928</v>
      </c>
      <c r="E1261">
        <v>12379.42</v>
      </c>
    </row>
    <row r="1262" spans="4:5" x14ac:dyDescent="0.25">
      <c r="D1262" s="138">
        <v>43924</v>
      </c>
      <c r="E1262">
        <v>11382.02</v>
      </c>
    </row>
    <row r="1263" spans="4:5" x14ac:dyDescent="0.25">
      <c r="D1263" s="138">
        <v>43922</v>
      </c>
      <c r="E1263">
        <v>11621.35</v>
      </c>
    </row>
    <row r="1264" spans="4:5" x14ac:dyDescent="0.25">
      <c r="D1264" s="138">
        <v>43921</v>
      </c>
      <c r="E1264">
        <v>12105.66</v>
      </c>
    </row>
    <row r="1265" spans="4:5" x14ac:dyDescent="0.25">
      <c r="D1265" s="138">
        <v>43920</v>
      </c>
      <c r="E1265">
        <v>11659.76</v>
      </c>
    </row>
    <row r="1266" spans="4:5" x14ac:dyDescent="0.25">
      <c r="D1266" s="138">
        <v>43917</v>
      </c>
      <c r="E1266">
        <v>12193.62</v>
      </c>
    </row>
    <row r="1267" spans="4:5" x14ac:dyDescent="0.25">
      <c r="D1267" s="138">
        <v>43916</v>
      </c>
      <c r="E1267">
        <v>12167.15</v>
      </c>
    </row>
    <row r="1268" spans="4:5" x14ac:dyDescent="0.25">
      <c r="D1268" s="138">
        <v>43915</v>
      </c>
      <c r="E1268">
        <v>11710.71</v>
      </c>
    </row>
    <row r="1269" spans="4:5" x14ac:dyDescent="0.25">
      <c r="D1269" s="138">
        <v>43914</v>
      </c>
      <c r="E1269">
        <v>10983.15</v>
      </c>
    </row>
    <row r="1270" spans="4:5" x14ac:dyDescent="0.25">
      <c r="D1270" s="138">
        <v>43913</v>
      </c>
      <c r="E1270">
        <v>10710.41</v>
      </c>
    </row>
    <row r="1271" spans="4:5" x14ac:dyDescent="0.25">
      <c r="D1271" s="138">
        <v>43910</v>
      </c>
      <c r="E1271">
        <v>12298.74</v>
      </c>
    </row>
    <row r="1272" spans="4:5" x14ac:dyDescent="0.25">
      <c r="D1272" s="138">
        <v>43909</v>
      </c>
      <c r="E1272">
        <v>11620.92</v>
      </c>
    </row>
    <row r="1273" spans="4:5" x14ac:dyDescent="0.25">
      <c r="D1273" s="138">
        <v>43908</v>
      </c>
      <c r="E1273">
        <v>11904.02</v>
      </c>
    </row>
    <row r="1274" spans="4:5" x14ac:dyDescent="0.25">
      <c r="D1274" s="138">
        <v>43907</v>
      </c>
      <c r="E1274">
        <v>12604.41</v>
      </c>
    </row>
    <row r="1275" spans="4:5" x14ac:dyDescent="0.25">
      <c r="D1275" s="138">
        <v>43906</v>
      </c>
      <c r="E1275">
        <v>12928.18</v>
      </c>
    </row>
    <row r="1276" spans="4:5" x14ac:dyDescent="0.25">
      <c r="D1276" s="138">
        <v>43903</v>
      </c>
      <c r="E1276">
        <v>13987.31</v>
      </c>
    </row>
    <row r="1277" spans="4:5" x14ac:dyDescent="0.25">
      <c r="D1277" s="138">
        <v>43902</v>
      </c>
      <c r="E1277">
        <v>13474.38</v>
      </c>
    </row>
    <row r="1278" spans="4:5" x14ac:dyDescent="0.25">
      <c r="D1278" s="138">
        <v>43901</v>
      </c>
      <c r="E1278">
        <v>14694.31</v>
      </c>
    </row>
    <row r="1279" spans="4:5" x14ac:dyDescent="0.25">
      <c r="D1279" s="138">
        <v>43899</v>
      </c>
      <c r="E1279">
        <v>14684.56</v>
      </c>
    </row>
    <row r="1280" spans="4:5" x14ac:dyDescent="0.25">
      <c r="D1280" s="138">
        <v>43896</v>
      </c>
      <c r="E1280">
        <v>15440.48</v>
      </c>
    </row>
    <row r="1281" spans="4:5" x14ac:dyDescent="0.25">
      <c r="D1281" s="138">
        <v>43895</v>
      </c>
      <c r="E1281">
        <v>15833.21</v>
      </c>
    </row>
    <row r="1282" spans="4:5" x14ac:dyDescent="0.25">
      <c r="D1282" s="138">
        <v>43894</v>
      </c>
      <c r="E1282">
        <v>15805.53</v>
      </c>
    </row>
    <row r="1283" spans="4:5" x14ac:dyDescent="0.25">
      <c r="D1283" s="138">
        <v>43893</v>
      </c>
      <c r="E1283">
        <v>15878.98</v>
      </c>
    </row>
    <row r="1284" spans="4:5" x14ac:dyDescent="0.25">
      <c r="D1284" s="138">
        <v>43892</v>
      </c>
      <c r="E1284">
        <v>15632.14</v>
      </c>
    </row>
    <row r="1285" spans="4:5" x14ac:dyDescent="0.25">
      <c r="D1285" s="138">
        <v>43889</v>
      </c>
      <c r="E1285">
        <v>15726.92</v>
      </c>
    </row>
    <row r="1286" spans="4:5" x14ac:dyDescent="0.25">
      <c r="D1286" s="138">
        <v>43888</v>
      </c>
      <c r="E1286">
        <v>16332.81</v>
      </c>
    </row>
    <row r="1287" spans="4:5" x14ac:dyDescent="0.25">
      <c r="D1287" s="138">
        <v>43887</v>
      </c>
      <c r="E1287">
        <v>16396.23</v>
      </c>
    </row>
    <row r="1288" spans="4:5" x14ac:dyDescent="0.25">
      <c r="D1288" s="138">
        <v>43886</v>
      </c>
      <c r="E1288">
        <v>16563.91</v>
      </c>
    </row>
    <row r="1289" spans="4:5" x14ac:dyDescent="0.25">
      <c r="D1289" s="138">
        <v>43885</v>
      </c>
      <c r="E1289">
        <v>16608.12</v>
      </c>
    </row>
    <row r="1290" spans="4:5" x14ac:dyDescent="0.25">
      <c r="D1290" s="138">
        <v>43881</v>
      </c>
      <c r="E1290">
        <v>16961.16</v>
      </c>
    </row>
    <row r="1291" spans="4:5" x14ac:dyDescent="0.25">
      <c r="D1291" s="138">
        <v>43880</v>
      </c>
      <c r="E1291">
        <v>17024.41</v>
      </c>
    </row>
    <row r="1292" spans="4:5" x14ac:dyDescent="0.25">
      <c r="D1292" s="138">
        <v>43879</v>
      </c>
      <c r="E1292">
        <v>16837.080000000002</v>
      </c>
    </row>
    <row r="1293" spans="4:5" x14ac:dyDescent="0.25">
      <c r="D1293" s="138">
        <v>43878</v>
      </c>
      <c r="E1293">
        <v>16911.919999999998</v>
      </c>
    </row>
    <row r="1294" spans="4:5" x14ac:dyDescent="0.25">
      <c r="D1294" s="138">
        <v>43875</v>
      </c>
      <c r="E1294">
        <v>17002.89</v>
      </c>
    </row>
    <row r="1295" spans="4:5" x14ac:dyDescent="0.25">
      <c r="D1295" s="138">
        <v>43874</v>
      </c>
      <c r="E1295">
        <v>17088.84</v>
      </c>
    </row>
    <row r="1296" spans="4:5" x14ac:dyDescent="0.25">
      <c r="D1296" s="138">
        <v>43873</v>
      </c>
      <c r="E1296">
        <v>17126.07</v>
      </c>
    </row>
    <row r="1297" spans="4:5" x14ac:dyDescent="0.25">
      <c r="D1297" s="138">
        <v>43872</v>
      </c>
      <c r="E1297">
        <v>16995.099999999999</v>
      </c>
    </row>
    <row r="1298" spans="4:5" x14ac:dyDescent="0.25">
      <c r="D1298" s="138">
        <v>43871</v>
      </c>
      <c r="E1298">
        <v>16887.86</v>
      </c>
    </row>
    <row r="1299" spans="4:5" x14ac:dyDescent="0.25">
      <c r="D1299" s="138">
        <v>43868</v>
      </c>
      <c r="E1299">
        <v>16981.75</v>
      </c>
    </row>
    <row r="1300" spans="4:5" x14ac:dyDescent="0.25">
      <c r="D1300" s="138">
        <v>43867</v>
      </c>
      <c r="E1300">
        <v>17037.28</v>
      </c>
    </row>
    <row r="1301" spans="4:5" x14ac:dyDescent="0.25">
      <c r="D1301" s="138">
        <v>43866</v>
      </c>
      <c r="E1301">
        <v>16968.830000000002</v>
      </c>
    </row>
    <row r="1302" spans="4:5" x14ac:dyDescent="0.25">
      <c r="D1302" s="138">
        <v>43865</v>
      </c>
      <c r="E1302">
        <v>16815.12</v>
      </c>
    </row>
    <row r="1303" spans="4:5" x14ac:dyDescent="0.25">
      <c r="D1303" s="138">
        <v>43864</v>
      </c>
      <c r="E1303">
        <v>16433.650000000001</v>
      </c>
    </row>
    <row r="1304" spans="4:5" x14ac:dyDescent="0.25">
      <c r="D1304" s="138">
        <v>43862</v>
      </c>
      <c r="E1304">
        <v>16369</v>
      </c>
    </row>
    <row r="1305" spans="4:5" x14ac:dyDescent="0.25">
      <c r="D1305" s="138">
        <v>43861</v>
      </c>
      <c r="E1305">
        <v>16790.45</v>
      </c>
    </row>
    <row r="1306" spans="4:5" x14ac:dyDescent="0.25">
      <c r="D1306" s="138">
        <v>43860</v>
      </c>
      <c r="E1306">
        <v>16893.91</v>
      </c>
    </row>
    <row r="1307" spans="4:5" x14ac:dyDescent="0.25">
      <c r="D1307" s="138">
        <v>43859</v>
      </c>
      <c r="E1307">
        <v>17025.46</v>
      </c>
    </row>
    <row r="1308" spans="4:5" x14ac:dyDescent="0.25">
      <c r="D1308" s="138">
        <v>43858</v>
      </c>
      <c r="E1308">
        <v>16922.009999999998</v>
      </c>
    </row>
    <row r="1309" spans="4:5" x14ac:dyDescent="0.25">
      <c r="D1309" s="138">
        <v>43857</v>
      </c>
      <c r="E1309">
        <v>17010.7</v>
      </c>
    </row>
    <row r="1310" spans="4:5" x14ac:dyDescent="0.25">
      <c r="D1310" s="138">
        <v>43854</v>
      </c>
      <c r="E1310">
        <v>17192.150000000001</v>
      </c>
    </row>
    <row r="1311" spans="4:5" x14ac:dyDescent="0.25">
      <c r="D1311" s="138">
        <v>43853</v>
      </c>
      <c r="E1311">
        <v>17095.61</v>
      </c>
    </row>
    <row r="1312" spans="4:5" x14ac:dyDescent="0.25">
      <c r="D1312" s="138">
        <v>43852</v>
      </c>
      <c r="E1312">
        <v>16990.68</v>
      </c>
    </row>
    <row r="1313" spans="4:5" x14ac:dyDescent="0.25">
      <c r="D1313" s="138">
        <v>43851</v>
      </c>
      <c r="E1313">
        <v>17079.07</v>
      </c>
    </row>
    <row r="1314" spans="4:5" x14ac:dyDescent="0.25">
      <c r="D1314" s="138">
        <v>43850</v>
      </c>
      <c r="E1314">
        <v>17155.830000000002</v>
      </c>
    </row>
    <row r="1315" spans="4:5" x14ac:dyDescent="0.25">
      <c r="D1315" s="138">
        <v>43847</v>
      </c>
      <c r="E1315">
        <v>17335.2</v>
      </c>
    </row>
    <row r="1316" spans="4:5" x14ac:dyDescent="0.25">
      <c r="D1316" s="138">
        <v>43846</v>
      </c>
      <c r="E1316">
        <v>17339.57</v>
      </c>
    </row>
    <row r="1317" spans="4:5" x14ac:dyDescent="0.25">
      <c r="D1317" s="138">
        <v>43845</v>
      </c>
      <c r="E1317">
        <v>17322.5</v>
      </c>
    </row>
    <row r="1318" spans="4:5" x14ac:dyDescent="0.25">
      <c r="D1318" s="138">
        <v>43844</v>
      </c>
      <c r="E1318">
        <v>17349.12</v>
      </c>
    </row>
    <row r="1319" spans="4:5" x14ac:dyDescent="0.25">
      <c r="D1319" s="138">
        <v>43843</v>
      </c>
      <c r="E1319">
        <v>17303.2</v>
      </c>
    </row>
    <row r="1320" spans="4:5" x14ac:dyDescent="0.25">
      <c r="D1320" s="138">
        <v>43840</v>
      </c>
      <c r="E1320">
        <v>17201.080000000002</v>
      </c>
    </row>
    <row r="1321" spans="4:5" x14ac:dyDescent="0.25">
      <c r="D1321" s="138">
        <v>43839</v>
      </c>
      <c r="E1321">
        <v>17143.650000000001</v>
      </c>
    </row>
    <row r="1322" spans="4:5" x14ac:dyDescent="0.25">
      <c r="D1322" s="138">
        <v>43838</v>
      </c>
      <c r="E1322">
        <v>16876.240000000002</v>
      </c>
    </row>
    <row r="1323" spans="4:5" x14ac:dyDescent="0.25">
      <c r="D1323" s="138">
        <v>43837</v>
      </c>
      <c r="E1323">
        <v>16915.03</v>
      </c>
    </row>
    <row r="1324" spans="4:5" x14ac:dyDescent="0.25">
      <c r="D1324" s="138">
        <v>43836</v>
      </c>
      <c r="E1324">
        <v>16830.93</v>
      </c>
    </row>
    <row r="1325" spans="4:5" x14ac:dyDescent="0.25">
      <c r="D1325" s="138">
        <v>43833</v>
      </c>
      <c r="E1325">
        <v>17158.75</v>
      </c>
    </row>
    <row r="1326" spans="4:5" x14ac:dyDescent="0.25">
      <c r="D1326" s="138">
        <v>43832</v>
      </c>
      <c r="E1326">
        <v>17236.7</v>
      </c>
    </row>
    <row r="1327" spans="4:5" x14ac:dyDescent="0.25">
      <c r="D1327" s="138">
        <v>43831</v>
      </c>
      <c r="E1327">
        <v>17096.830000000002</v>
      </c>
    </row>
    <row r="1328" spans="4:5" x14ac:dyDescent="0.25">
      <c r="D1328" s="138">
        <v>43830</v>
      </c>
      <c r="E1328">
        <v>17077.060000000001</v>
      </c>
    </row>
    <row r="1329" spans="4:5" x14ac:dyDescent="0.25">
      <c r="D1329" s="138">
        <v>43829</v>
      </c>
      <c r="E1329">
        <v>17199.73</v>
      </c>
    </row>
    <row r="1330" spans="4:5" x14ac:dyDescent="0.25">
      <c r="D1330" s="138">
        <v>43826</v>
      </c>
      <c r="E1330">
        <v>17185.66</v>
      </c>
    </row>
    <row r="1331" spans="4:5" x14ac:dyDescent="0.25">
      <c r="D1331" s="138">
        <v>43825</v>
      </c>
      <c r="E1331">
        <v>17018.259999999998</v>
      </c>
    </row>
    <row r="1332" spans="4:5" x14ac:dyDescent="0.25">
      <c r="D1332" s="138">
        <v>43823</v>
      </c>
      <c r="E1332">
        <v>17141.8</v>
      </c>
    </row>
    <row r="1333" spans="4:5" x14ac:dyDescent="0.25">
      <c r="D1333" s="138">
        <v>43822</v>
      </c>
      <c r="E1333">
        <v>17209.400000000001</v>
      </c>
    </row>
    <row r="1334" spans="4:5" x14ac:dyDescent="0.25">
      <c r="D1334" s="138">
        <v>43819</v>
      </c>
      <c r="E1334">
        <v>17222.14</v>
      </c>
    </row>
    <row r="1335" spans="4:5" x14ac:dyDescent="0.25">
      <c r="D1335" s="138">
        <v>43818</v>
      </c>
      <c r="E1335">
        <v>17205.12</v>
      </c>
    </row>
    <row r="1336" spans="4:5" x14ac:dyDescent="0.25">
      <c r="D1336" s="138">
        <v>43817</v>
      </c>
      <c r="E1336">
        <v>17150.93</v>
      </c>
    </row>
    <row r="1337" spans="4:5" x14ac:dyDescent="0.25">
      <c r="D1337" s="138">
        <v>43816</v>
      </c>
      <c r="E1337">
        <v>17071.490000000002</v>
      </c>
    </row>
    <row r="1338" spans="4:5" x14ac:dyDescent="0.25">
      <c r="D1338" s="138">
        <v>43815</v>
      </c>
      <c r="E1338">
        <v>16915.650000000001</v>
      </c>
    </row>
    <row r="1339" spans="4:5" x14ac:dyDescent="0.25">
      <c r="D1339" s="138">
        <v>43812</v>
      </c>
      <c r="E1339">
        <v>16961.560000000001</v>
      </c>
    </row>
    <row r="1340" spans="4:5" x14ac:dyDescent="0.25">
      <c r="D1340" s="138">
        <v>43811</v>
      </c>
      <c r="E1340">
        <v>16800.36</v>
      </c>
    </row>
    <row r="1341" spans="4:5" x14ac:dyDescent="0.25">
      <c r="D1341" s="138">
        <v>43810</v>
      </c>
      <c r="E1341">
        <v>16713.79</v>
      </c>
    </row>
    <row r="1342" spans="4:5" x14ac:dyDescent="0.25">
      <c r="D1342" s="138">
        <v>43809</v>
      </c>
      <c r="E1342">
        <v>16638.939999999999</v>
      </c>
    </row>
    <row r="1343" spans="4:5" x14ac:dyDescent="0.25">
      <c r="D1343" s="138">
        <v>43808</v>
      </c>
      <c r="E1343">
        <v>16751.53</v>
      </c>
    </row>
    <row r="1344" spans="4:5" x14ac:dyDescent="0.25">
      <c r="D1344" s="138">
        <v>43805</v>
      </c>
      <c r="E1344">
        <v>16729.080000000002</v>
      </c>
    </row>
    <row r="1345" spans="4:5" x14ac:dyDescent="0.25">
      <c r="D1345" s="138">
        <v>43804</v>
      </c>
      <c r="E1345">
        <v>16865.04</v>
      </c>
    </row>
    <row r="1346" spans="4:5" x14ac:dyDescent="0.25">
      <c r="D1346" s="138">
        <v>43803</v>
      </c>
      <c r="E1346">
        <v>16899.88</v>
      </c>
    </row>
    <row r="1347" spans="4:5" x14ac:dyDescent="0.25">
      <c r="D1347" s="138">
        <v>43802</v>
      </c>
      <c r="E1347">
        <v>16831.11</v>
      </c>
    </row>
    <row r="1348" spans="4:5" x14ac:dyDescent="0.25">
      <c r="D1348" s="138">
        <v>43801</v>
      </c>
      <c r="E1348">
        <v>16906.88</v>
      </c>
    </row>
    <row r="1349" spans="4:5" x14ac:dyDescent="0.25">
      <c r="D1349" s="138">
        <v>43798</v>
      </c>
      <c r="E1349">
        <v>16917.89</v>
      </c>
    </row>
    <row r="1350" spans="4:5" x14ac:dyDescent="0.25">
      <c r="D1350" s="138">
        <v>43797</v>
      </c>
      <c r="E1350">
        <v>17051.310000000001</v>
      </c>
    </row>
    <row r="1351" spans="4:5" x14ac:dyDescent="0.25">
      <c r="D1351" s="138">
        <v>43796</v>
      </c>
      <c r="E1351">
        <v>16980.54</v>
      </c>
    </row>
    <row r="1352" spans="4:5" x14ac:dyDescent="0.25">
      <c r="D1352" s="138">
        <v>43795</v>
      </c>
      <c r="E1352">
        <v>16892.150000000001</v>
      </c>
    </row>
    <row r="1353" spans="4:5" x14ac:dyDescent="0.25">
      <c r="D1353" s="138">
        <v>43794</v>
      </c>
      <c r="E1353">
        <v>16942.7</v>
      </c>
    </row>
    <row r="1354" spans="4:5" x14ac:dyDescent="0.25">
      <c r="D1354" s="138">
        <v>43791</v>
      </c>
      <c r="E1354">
        <v>16719.11</v>
      </c>
    </row>
    <row r="1355" spans="4:5" x14ac:dyDescent="0.25">
      <c r="D1355" s="138">
        <v>43790</v>
      </c>
      <c r="E1355">
        <v>16794.86</v>
      </c>
    </row>
    <row r="1356" spans="4:5" x14ac:dyDescent="0.25">
      <c r="D1356" s="138">
        <v>43789</v>
      </c>
      <c r="E1356">
        <v>16837.96</v>
      </c>
    </row>
    <row r="1357" spans="4:5" x14ac:dyDescent="0.25">
      <c r="D1357" s="138">
        <v>43788</v>
      </c>
      <c r="E1357">
        <v>16755.150000000001</v>
      </c>
    </row>
    <row r="1358" spans="4:5" x14ac:dyDescent="0.25">
      <c r="D1358" s="138">
        <v>43787</v>
      </c>
      <c r="E1358">
        <v>16677.14</v>
      </c>
    </row>
    <row r="1359" spans="4:5" x14ac:dyDescent="0.25">
      <c r="D1359" s="138">
        <v>43784</v>
      </c>
      <c r="E1359">
        <v>16692.52</v>
      </c>
    </row>
    <row r="1360" spans="4:5" x14ac:dyDescent="0.25">
      <c r="D1360" s="138">
        <v>43783</v>
      </c>
      <c r="E1360">
        <v>16659.78</v>
      </c>
    </row>
    <row r="1361" spans="4:5" x14ac:dyDescent="0.25">
      <c r="D1361" s="138">
        <v>43782</v>
      </c>
      <c r="E1361">
        <v>16615.37</v>
      </c>
    </row>
    <row r="1362" spans="4:5" x14ac:dyDescent="0.25">
      <c r="D1362" s="138">
        <v>43780</v>
      </c>
      <c r="E1362">
        <v>16717.75</v>
      </c>
    </row>
    <row r="1363" spans="4:5" x14ac:dyDescent="0.25">
      <c r="D1363" s="138">
        <v>43777</v>
      </c>
      <c r="E1363">
        <v>16710.37</v>
      </c>
    </row>
    <row r="1364" spans="4:5" x14ac:dyDescent="0.25">
      <c r="D1364" s="138">
        <v>43776</v>
      </c>
      <c r="E1364">
        <v>16856.169999999998</v>
      </c>
    </row>
    <row r="1365" spans="4:5" x14ac:dyDescent="0.25">
      <c r="D1365" s="138">
        <v>43775</v>
      </c>
      <c r="E1365">
        <v>16791.61</v>
      </c>
    </row>
    <row r="1366" spans="4:5" x14ac:dyDescent="0.25">
      <c r="D1366" s="138">
        <v>43774</v>
      </c>
      <c r="E1366">
        <v>16723.060000000001</v>
      </c>
    </row>
    <row r="1367" spans="4:5" x14ac:dyDescent="0.25">
      <c r="D1367" s="138">
        <v>43773</v>
      </c>
      <c r="E1367">
        <v>16756.87</v>
      </c>
    </row>
    <row r="1368" spans="4:5" x14ac:dyDescent="0.25">
      <c r="D1368" s="138">
        <v>43770</v>
      </c>
      <c r="E1368">
        <v>16685.73</v>
      </c>
    </row>
    <row r="1369" spans="4:5" x14ac:dyDescent="0.25">
      <c r="D1369" s="138">
        <v>43769</v>
      </c>
      <c r="E1369">
        <v>16667.29</v>
      </c>
    </row>
    <row r="1370" spans="4:5" x14ac:dyDescent="0.25">
      <c r="D1370" s="138">
        <v>43768</v>
      </c>
      <c r="E1370">
        <v>16620.07</v>
      </c>
    </row>
    <row r="1371" spans="4:5" x14ac:dyDescent="0.25">
      <c r="D1371" s="138">
        <v>43767</v>
      </c>
      <c r="E1371">
        <v>16539.23</v>
      </c>
    </row>
    <row r="1372" spans="4:5" x14ac:dyDescent="0.25">
      <c r="D1372" s="138">
        <v>43765</v>
      </c>
      <c r="E1372">
        <v>16315.17</v>
      </c>
    </row>
    <row r="1373" spans="4:5" x14ac:dyDescent="0.25">
      <c r="D1373" s="138">
        <v>43763</v>
      </c>
      <c r="E1373">
        <v>16254.45</v>
      </c>
    </row>
    <row r="1374" spans="4:5" x14ac:dyDescent="0.25">
      <c r="D1374" s="138">
        <v>43762</v>
      </c>
      <c r="E1374">
        <v>16252.63</v>
      </c>
    </row>
    <row r="1375" spans="4:5" x14ac:dyDescent="0.25">
      <c r="D1375" s="138">
        <v>43761</v>
      </c>
      <c r="E1375">
        <v>16282.84</v>
      </c>
    </row>
    <row r="1376" spans="4:5" x14ac:dyDescent="0.25">
      <c r="D1376" s="138">
        <v>43760</v>
      </c>
      <c r="E1376">
        <v>16248.11</v>
      </c>
    </row>
    <row r="1377" spans="4:5" x14ac:dyDescent="0.25">
      <c r="D1377" s="138">
        <v>43756</v>
      </c>
      <c r="E1377">
        <v>16351.16</v>
      </c>
    </row>
    <row r="1378" spans="4:5" x14ac:dyDescent="0.25">
      <c r="D1378" s="138">
        <v>43755</v>
      </c>
      <c r="E1378">
        <v>16245.31</v>
      </c>
    </row>
    <row r="1379" spans="4:5" x14ac:dyDescent="0.25">
      <c r="D1379" s="138">
        <v>43754</v>
      </c>
      <c r="E1379">
        <v>16057.85</v>
      </c>
    </row>
    <row r="1380" spans="4:5" x14ac:dyDescent="0.25">
      <c r="D1380" s="138">
        <v>43753</v>
      </c>
      <c r="E1380">
        <v>16007.83</v>
      </c>
    </row>
    <row r="1381" spans="4:5" x14ac:dyDescent="0.25">
      <c r="D1381" s="138">
        <v>43752</v>
      </c>
      <c r="E1381">
        <v>15885.74</v>
      </c>
    </row>
    <row r="1382" spans="4:5" x14ac:dyDescent="0.25">
      <c r="D1382" s="138">
        <v>43749</v>
      </c>
      <c r="E1382">
        <v>15835.17</v>
      </c>
    </row>
    <row r="1383" spans="4:5" x14ac:dyDescent="0.25">
      <c r="D1383" s="138">
        <v>43748</v>
      </c>
      <c r="E1383">
        <v>15736.44</v>
      </c>
    </row>
    <row r="1384" spans="4:5" x14ac:dyDescent="0.25">
      <c r="D1384" s="138">
        <v>43747</v>
      </c>
      <c r="E1384">
        <v>15846.77</v>
      </c>
    </row>
    <row r="1385" spans="4:5" x14ac:dyDescent="0.25">
      <c r="D1385" s="138">
        <v>43745</v>
      </c>
      <c r="E1385">
        <v>15584.94</v>
      </c>
    </row>
    <row r="1386" spans="4:5" x14ac:dyDescent="0.25">
      <c r="D1386" s="138">
        <v>43742</v>
      </c>
      <c r="E1386">
        <v>15652.7</v>
      </c>
    </row>
    <row r="1387" spans="4:5" x14ac:dyDescent="0.25">
      <c r="D1387" s="138">
        <v>43741</v>
      </c>
      <c r="E1387">
        <v>15847.7</v>
      </c>
    </row>
    <row r="1388" spans="4:5" x14ac:dyDescent="0.25">
      <c r="D1388" s="138">
        <v>43739</v>
      </c>
      <c r="E1388">
        <v>15912.03</v>
      </c>
    </row>
    <row r="1389" spans="4:5" x14ac:dyDescent="0.25">
      <c r="D1389" s="138">
        <v>43738</v>
      </c>
      <c r="E1389">
        <v>16072.5</v>
      </c>
    </row>
    <row r="1390" spans="4:5" x14ac:dyDescent="0.25">
      <c r="D1390" s="138">
        <v>43735</v>
      </c>
      <c r="E1390">
        <v>16125.65</v>
      </c>
    </row>
    <row r="1391" spans="4:5" x14ac:dyDescent="0.25">
      <c r="D1391" s="138">
        <v>43734</v>
      </c>
      <c r="E1391">
        <v>16207.96</v>
      </c>
    </row>
    <row r="1392" spans="4:5" x14ac:dyDescent="0.25">
      <c r="D1392" s="138">
        <v>43733</v>
      </c>
      <c r="E1392">
        <v>16024.49</v>
      </c>
    </row>
    <row r="1393" spans="4:5" x14ac:dyDescent="0.25">
      <c r="D1393" s="138">
        <v>43732</v>
      </c>
      <c r="E1393">
        <v>16231.83</v>
      </c>
    </row>
    <row r="1394" spans="4:5" x14ac:dyDescent="0.25">
      <c r="D1394" s="138">
        <v>43731</v>
      </c>
      <c r="E1394">
        <v>16248.62</v>
      </c>
    </row>
    <row r="1395" spans="4:5" x14ac:dyDescent="0.25">
      <c r="D1395" s="138">
        <v>43728</v>
      </c>
      <c r="E1395">
        <v>15791.99</v>
      </c>
    </row>
    <row r="1396" spans="4:5" x14ac:dyDescent="0.25">
      <c r="D1396" s="138">
        <v>43727</v>
      </c>
      <c r="E1396">
        <v>14994.39</v>
      </c>
    </row>
    <row r="1397" spans="4:5" x14ac:dyDescent="0.25">
      <c r="D1397" s="138">
        <v>43726</v>
      </c>
      <c r="E1397">
        <v>15184.69</v>
      </c>
    </row>
    <row r="1398" spans="4:5" x14ac:dyDescent="0.25">
      <c r="D1398" s="138">
        <v>43725</v>
      </c>
      <c r="E1398">
        <v>15152.39</v>
      </c>
    </row>
    <row r="1399" spans="4:5" x14ac:dyDescent="0.25">
      <c r="D1399" s="138">
        <v>43724</v>
      </c>
      <c r="E1399">
        <v>15412.83</v>
      </c>
    </row>
    <row r="1400" spans="4:5" x14ac:dyDescent="0.25">
      <c r="D1400" s="138">
        <v>43721</v>
      </c>
      <c r="E1400">
        <v>15514.2</v>
      </c>
    </row>
    <row r="1401" spans="4:5" x14ac:dyDescent="0.25">
      <c r="D1401" s="138">
        <v>43720</v>
      </c>
      <c r="E1401">
        <v>15383.82</v>
      </c>
    </row>
    <row r="1402" spans="4:5" x14ac:dyDescent="0.25">
      <c r="D1402" s="138">
        <v>43719</v>
      </c>
      <c r="E1402">
        <v>15457.9</v>
      </c>
    </row>
    <row r="1403" spans="4:5" x14ac:dyDescent="0.25">
      <c r="D1403" s="138">
        <v>43717</v>
      </c>
      <c r="E1403">
        <v>15412.14</v>
      </c>
    </row>
    <row r="1404" spans="4:5" x14ac:dyDescent="0.25">
      <c r="D1404" s="138">
        <v>43714</v>
      </c>
      <c r="E1404">
        <v>15332.57</v>
      </c>
    </row>
    <row r="1405" spans="4:5" x14ac:dyDescent="0.25">
      <c r="D1405" s="138">
        <v>43713</v>
      </c>
      <c r="E1405">
        <v>15194.86</v>
      </c>
    </row>
    <row r="1406" spans="4:5" x14ac:dyDescent="0.25">
      <c r="D1406" s="138">
        <v>43712</v>
      </c>
      <c r="E1406">
        <v>15190.3</v>
      </c>
    </row>
    <row r="1407" spans="4:5" x14ac:dyDescent="0.25">
      <c r="D1407" s="138">
        <v>43711</v>
      </c>
      <c r="E1407">
        <v>15124.8</v>
      </c>
    </row>
    <row r="1408" spans="4:5" x14ac:dyDescent="0.25">
      <c r="D1408" s="138">
        <v>43707</v>
      </c>
      <c r="E1408">
        <v>15440.47</v>
      </c>
    </row>
    <row r="1409" spans="4:5" x14ac:dyDescent="0.25">
      <c r="D1409" s="138">
        <v>43706</v>
      </c>
      <c r="E1409">
        <v>15335.45</v>
      </c>
    </row>
    <row r="1410" spans="4:5" x14ac:dyDescent="0.25">
      <c r="D1410" s="138">
        <v>43705</v>
      </c>
      <c r="E1410">
        <v>15472.44</v>
      </c>
    </row>
    <row r="1411" spans="4:5" x14ac:dyDescent="0.25">
      <c r="D1411" s="138">
        <v>43704</v>
      </c>
      <c r="E1411">
        <v>15555.44</v>
      </c>
    </row>
    <row r="1412" spans="4:5" x14ac:dyDescent="0.25">
      <c r="D1412" s="138">
        <v>43703</v>
      </c>
      <c r="E1412">
        <v>15488.96</v>
      </c>
    </row>
    <row r="1413" spans="4:5" x14ac:dyDescent="0.25">
      <c r="D1413" s="138">
        <v>43700</v>
      </c>
      <c r="E1413">
        <v>15168.88</v>
      </c>
    </row>
    <row r="1414" spans="4:5" x14ac:dyDescent="0.25">
      <c r="D1414" s="138">
        <v>43699</v>
      </c>
      <c r="E1414">
        <v>15045.62</v>
      </c>
    </row>
    <row r="1415" spans="4:5" x14ac:dyDescent="0.25">
      <c r="D1415" s="138">
        <v>43698</v>
      </c>
      <c r="E1415">
        <v>15290.85</v>
      </c>
    </row>
    <row r="1416" spans="4:5" x14ac:dyDescent="0.25">
      <c r="D1416" s="138">
        <v>43697</v>
      </c>
      <c r="E1416">
        <v>15425.45</v>
      </c>
    </row>
    <row r="1417" spans="4:5" x14ac:dyDescent="0.25">
      <c r="D1417" s="138">
        <v>43696</v>
      </c>
      <c r="E1417">
        <v>15476.07</v>
      </c>
    </row>
    <row r="1418" spans="4:5" x14ac:dyDescent="0.25">
      <c r="D1418" s="138">
        <v>43693</v>
      </c>
      <c r="E1418">
        <v>15464.58</v>
      </c>
    </row>
    <row r="1419" spans="4:5" x14ac:dyDescent="0.25">
      <c r="D1419" s="138">
        <v>43691</v>
      </c>
      <c r="E1419">
        <v>15438.86</v>
      </c>
    </row>
    <row r="1420" spans="4:5" x14ac:dyDescent="0.25">
      <c r="D1420" s="138">
        <v>43690</v>
      </c>
      <c r="E1420">
        <v>15289.35</v>
      </c>
    </row>
    <row r="1421" spans="4:5" x14ac:dyDescent="0.25">
      <c r="D1421" s="138">
        <v>43686</v>
      </c>
      <c r="E1421">
        <v>15542.72</v>
      </c>
    </row>
    <row r="1422" spans="4:5" x14ac:dyDescent="0.25">
      <c r="D1422" s="138">
        <v>43685</v>
      </c>
      <c r="E1422">
        <v>15434.73</v>
      </c>
    </row>
    <row r="1423" spans="4:5" x14ac:dyDescent="0.25">
      <c r="D1423" s="138">
        <v>43684</v>
      </c>
      <c r="E1423">
        <v>15184.34</v>
      </c>
    </row>
    <row r="1424" spans="4:5" x14ac:dyDescent="0.25">
      <c r="D1424" s="138">
        <v>43683</v>
      </c>
      <c r="E1424">
        <v>15314.03</v>
      </c>
    </row>
    <row r="1425" spans="4:5" x14ac:dyDescent="0.25">
      <c r="D1425" s="138">
        <v>43682</v>
      </c>
      <c r="E1425">
        <v>15194.27</v>
      </c>
    </row>
    <row r="1426" spans="4:5" x14ac:dyDescent="0.25">
      <c r="D1426" s="138">
        <v>43679</v>
      </c>
      <c r="E1426">
        <v>15382.73</v>
      </c>
    </row>
    <row r="1427" spans="4:5" x14ac:dyDescent="0.25">
      <c r="D1427" s="138">
        <v>43678</v>
      </c>
      <c r="E1427">
        <v>15350.83</v>
      </c>
    </row>
    <row r="1428" spans="4:5" x14ac:dyDescent="0.25">
      <c r="D1428" s="138">
        <v>43677</v>
      </c>
      <c r="E1428">
        <v>15539.43</v>
      </c>
    </row>
    <row r="1429" spans="4:5" x14ac:dyDescent="0.25">
      <c r="D1429" s="138">
        <v>43676</v>
      </c>
      <c r="E1429">
        <v>15493.33</v>
      </c>
    </row>
    <row r="1430" spans="4:5" x14ac:dyDescent="0.25">
      <c r="D1430" s="138">
        <v>43675</v>
      </c>
      <c r="E1430">
        <v>15638.42</v>
      </c>
    </row>
    <row r="1431" spans="4:5" x14ac:dyDescent="0.25">
      <c r="D1431" s="138">
        <v>43672</v>
      </c>
      <c r="E1431">
        <v>15770.63</v>
      </c>
    </row>
    <row r="1432" spans="4:5" x14ac:dyDescent="0.25">
      <c r="D1432" s="138">
        <v>43671</v>
      </c>
      <c r="E1432">
        <v>15725.6</v>
      </c>
    </row>
    <row r="1433" spans="4:5" x14ac:dyDescent="0.25">
      <c r="D1433" s="138">
        <v>43670</v>
      </c>
      <c r="E1433">
        <v>15749.37</v>
      </c>
    </row>
    <row r="1434" spans="4:5" x14ac:dyDescent="0.25">
      <c r="D1434" s="138">
        <v>43669</v>
      </c>
      <c r="E1434">
        <v>15824.55</v>
      </c>
    </row>
    <row r="1435" spans="4:5" x14ac:dyDescent="0.25">
      <c r="D1435" s="138">
        <v>43668</v>
      </c>
      <c r="E1435">
        <v>15845.74</v>
      </c>
    </row>
    <row r="1436" spans="4:5" x14ac:dyDescent="0.25">
      <c r="D1436" s="138">
        <v>43665</v>
      </c>
      <c r="E1436">
        <v>15945.55</v>
      </c>
    </row>
    <row r="1437" spans="4:5" x14ac:dyDescent="0.25">
      <c r="D1437" s="138">
        <v>43664</v>
      </c>
      <c r="E1437">
        <v>16183.16</v>
      </c>
    </row>
    <row r="1438" spans="4:5" x14ac:dyDescent="0.25">
      <c r="D1438" s="138">
        <v>43663</v>
      </c>
      <c r="E1438">
        <v>16306.82</v>
      </c>
    </row>
    <row r="1439" spans="4:5" x14ac:dyDescent="0.25">
      <c r="D1439" s="138">
        <v>43662</v>
      </c>
      <c r="E1439">
        <v>16272.08</v>
      </c>
    </row>
    <row r="1440" spans="4:5" x14ac:dyDescent="0.25">
      <c r="D1440" s="138">
        <v>43661</v>
      </c>
      <c r="E1440">
        <v>16165.28</v>
      </c>
    </row>
    <row r="1441" spans="4:5" x14ac:dyDescent="0.25">
      <c r="D1441" s="138">
        <v>43658</v>
      </c>
      <c r="E1441">
        <v>16113.75</v>
      </c>
    </row>
    <row r="1442" spans="4:5" x14ac:dyDescent="0.25">
      <c r="D1442" s="138">
        <v>43657</v>
      </c>
      <c r="E1442">
        <v>16155.78</v>
      </c>
    </row>
    <row r="1443" spans="4:5" x14ac:dyDescent="0.25">
      <c r="D1443" s="138">
        <v>43656</v>
      </c>
      <c r="E1443">
        <v>16035.44</v>
      </c>
    </row>
    <row r="1444" spans="4:5" x14ac:dyDescent="0.25">
      <c r="D1444" s="138">
        <v>43655</v>
      </c>
      <c r="E1444">
        <v>16114.46</v>
      </c>
    </row>
    <row r="1445" spans="4:5" x14ac:dyDescent="0.25">
      <c r="D1445" s="138">
        <v>43654</v>
      </c>
      <c r="E1445">
        <v>16118.27</v>
      </c>
    </row>
    <row r="1446" spans="4:5" x14ac:dyDescent="0.25">
      <c r="D1446" s="138">
        <v>43651</v>
      </c>
      <c r="E1446">
        <v>16468.990000000002</v>
      </c>
    </row>
    <row r="1447" spans="4:5" x14ac:dyDescent="0.25">
      <c r="D1447" s="138">
        <v>43650</v>
      </c>
      <c r="E1447">
        <v>16658.04</v>
      </c>
    </row>
    <row r="1448" spans="4:5" x14ac:dyDescent="0.25">
      <c r="D1448" s="138">
        <v>43649</v>
      </c>
      <c r="E1448">
        <v>16612.16</v>
      </c>
    </row>
    <row r="1449" spans="4:5" x14ac:dyDescent="0.25">
      <c r="D1449" s="138">
        <v>43648</v>
      </c>
      <c r="E1449">
        <v>16603.169999999998</v>
      </c>
    </row>
    <row r="1450" spans="4:5" x14ac:dyDescent="0.25">
      <c r="D1450" s="138">
        <v>43647</v>
      </c>
      <c r="E1450">
        <v>16540.88</v>
      </c>
    </row>
    <row r="1451" spans="4:5" x14ac:dyDescent="0.25">
      <c r="D1451" s="138">
        <v>43644</v>
      </c>
      <c r="E1451">
        <v>16433.849999999999</v>
      </c>
    </row>
    <row r="1452" spans="4:5" x14ac:dyDescent="0.25">
      <c r="D1452" s="138">
        <v>43643</v>
      </c>
      <c r="E1452">
        <v>16507.34</v>
      </c>
    </row>
    <row r="1453" spans="4:5" x14ac:dyDescent="0.25">
      <c r="D1453" s="138">
        <v>43642</v>
      </c>
      <c r="E1453">
        <v>16515.68</v>
      </c>
    </row>
    <row r="1454" spans="4:5" x14ac:dyDescent="0.25">
      <c r="D1454" s="138">
        <v>43641</v>
      </c>
      <c r="E1454">
        <v>16444.46</v>
      </c>
    </row>
    <row r="1455" spans="4:5" x14ac:dyDescent="0.25">
      <c r="D1455" s="138">
        <v>43640</v>
      </c>
      <c r="E1455">
        <v>16309.52</v>
      </c>
    </row>
    <row r="1456" spans="4:5" x14ac:dyDescent="0.25">
      <c r="D1456" s="138">
        <v>43637</v>
      </c>
      <c r="E1456">
        <v>16343.59</v>
      </c>
    </row>
    <row r="1457" spans="4:5" x14ac:dyDescent="0.25">
      <c r="D1457" s="138">
        <v>43636</v>
      </c>
      <c r="E1457">
        <v>16493.650000000001</v>
      </c>
    </row>
    <row r="1458" spans="4:5" x14ac:dyDescent="0.25">
      <c r="D1458" s="138">
        <v>43635</v>
      </c>
      <c r="E1458">
        <v>16283.94</v>
      </c>
    </row>
    <row r="1459" spans="4:5" x14ac:dyDescent="0.25">
      <c r="D1459" s="138">
        <v>43634</v>
      </c>
      <c r="E1459">
        <v>16283.98</v>
      </c>
    </row>
    <row r="1460" spans="4:5" x14ac:dyDescent="0.25">
      <c r="D1460" s="138">
        <v>43633</v>
      </c>
      <c r="E1460">
        <v>16257.06</v>
      </c>
    </row>
    <row r="1461" spans="4:5" x14ac:dyDescent="0.25">
      <c r="D1461" s="138">
        <v>43630</v>
      </c>
      <c r="E1461">
        <v>16467.55</v>
      </c>
    </row>
    <row r="1462" spans="4:5" x14ac:dyDescent="0.25">
      <c r="D1462" s="138">
        <v>43629</v>
      </c>
      <c r="E1462">
        <v>16593.97</v>
      </c>
    </row>
    <row r="1463" spans="4:5" x14ac:dyDescent="0.25">
      <c r="D1463" s="138">
        <v>43628</v>
      </c>
      <c r="E1463">
        <v>16568.09</v>
      </c>
    </row>
    <row r="1464" spans="4:5" x14ac:dyDescent="0.25">
      <c r="D1464" s="138">
        <v>43627</v>
      </c>
      <c r="E1464">
        <v>16650.75</v>
      </c>
    </row>
    <row r="1465" spans="4:5" x14ac:dyDescent="0.25">
      <c r="D1465" s="138">
        <v>43626</v>
      </c>
      <c r="E1465">
        <v>16590.990000000002</v>
      </c>
    </row>
    <row r="1466" spans="4:5" x14ac:dyDescent="0.25">
      <c r="D1466" s="138">
        <v>43623</v>
      </c>
      <c r="E1466">
        <v>16518.62</v>
      </c>
    </row>
    <row r="1467" spans="4:5" x14ac:dyDescent="0.25">
      <c r="D1467" s="138">
        <v>43622</v>
      </c>
      <c r="E1467">
        <v>16481.14</v>
      </c>
    </row>
    <row r="1468" spans="4:5" x14ac:dyDescent="0.25">
      <c r="D1468" s="138">
        <v>43620</v>
      </c>
      <c r="E1468">
        <v>16728.740000000002</v>
      </c>
    </row>
    <row r="1469" spans="4:5" x14ac:dyDescent="0.25">
      <c r="D1469" s="138">
        <v>43619</v>
      </c>
      <c r="E1469">
        <v>16815.25</v>
      </c>
    </row>
    <row r="1470" spans="4:5" x14ac:dyDescent="0.25">
      <c r="D1470" s="138">
        <v>43616</v>
      </c>
      <c r="E1470">
        <v>16583.46</v>
      </c>
    </row>
    <row r="1471" spans="4:5" x14ac:dyDescent="0.25">
      <c r="D1471" s="138">
        <v>43615</v>
      </c>
      <c r="E1471">
        <v>16615.59</v>
      </c>
    </row>
    <row r="1472" spans="4:5" x14ac:dyDescent="0.25">
      <c r="D1472" s="138">
        <v>43614</v>
      </c>
      <c r="E1472">
        <v>16497.62</v>
      </c>
    </row>
    <row r="1473" spans="4:5" x14ac:dyDescent="0.25">
      <c r="D1473" s="138">
        <v>43613</v>
      </c>
      <c r="E1473">
        <v>16591.7</v>
      </c>
    </row>
    <row r="1474" spans="4:5" x14ac:dyDescent="0.25">
      <c r="D1474" s="138">
        <v>43612</v>
      </c>
      <c r="E1474">
        <v>16585.13</v>
      </c>
    </row>
    <row r="1475" spans="4:5" x14ac:dyDescent="0.25">
      <c r="D1475" s="138">
        <v>43609</v>
      </c>
      <c r="E1475">
        <v>16472.95</v>
      </c>
    </row>
    <row r="1476" spans="4:5" x14ac:dyDescent="0.25">
      <c r="D1476" s="138">
        <v>43608</v>
      </c>
      <c r="E1476">
        <v>16212.78</v>
      </c>
    </row>
    <row r="1477" spans="4:5" x14ac:dyDescent="0.25">
      <c r="D1477" s="138">
        <v>43607</v>
      </c>
      <c r="E1477">
        <v>16325.28</v>
      </c>
    </row>
    <row r="1478" spans="4:5" x14ac:dyDescent="0.25">
      <c r="D1478" s="138">
        <v>43606</v>
      </c>
      <c r="E1478">
        <v>16268.26</v>
      </c>
    </row>
    <row r="1479" spans="4:5" x14ac:dyDescent="0.25">
      <c r="D1479" s="138">
        <v>43605</v>
      </c>
      <c r="E1479">
        <v>16433.77</v>
      </c>
    </row>
    <row r="1480" spans="4:5" x14ac:dyDescent="0.25">
      <c r="D1480" s="138">
        <v>43602</v>
      </c>
      <c r="E1480">
        <v>15848.71</v>
      </c>
    </row>
    <row r="1481" spans="4:5" x14ac:dyDescent="0.25">
      <c r="D1481" s="138">
        <v>43601</v>
      </c>
      <c r="E1481">
        <v>15640.22</v>
      </c>
    </row>
    <row r="1482" spans="4:5" x14ac:dyDescent="0.25">
      <c r="D1482" s="138">
        <v>43600</v>
      </c>
      <c r="E1482">
        <v>15500.82</v>
      </c>
    </row>
    <row r="1483" spans="4:5" x14ac:dyDescent="0.25">
      <c r="D1483" s="138">
        <v>43599</v>
      </c>
      <c r="E1483">
        <v>15591.19</v>
      </c>
    </row>
    <row r="1484" spans="4:5" x14ac:dyDescent="0.25">
      <c r="D1484" s="138">
        <v>43598</v>
      </c>
      <c r="E1484">
        <v>15488.6</v>
      </c>
    </row>
    <row r="1485" spans="4:5" x14ac:dyDescent="0.25">
      <c r="D1485" s="138">
        <v>43595</v>
      </c>
      <c r="E1485">
        <v>15670.18</v>
      </c>
    </row>
    <row r="1486" spans="4:5" x14ac:dyDescent="0.25">
      <c r="D1486" s="138">
        <v>43594</v>
      </c>
      <c r="E1486">
        <v>15701.95</v>
      </c>
    </row>
    <row r="1487" spans="4:5" x14ac:dyDescent="0.25">
      <c r="D1487" s="138">
        <v>43593</v>
      </c>
      <c r="E1487">
        <v>15782.09</v>
      </c>
    </row>
    <row r="1488" spans="4:5" x14ac:dyDescent="0.25">
      <c r="D1488" s="138">
        <v>43592</v>
      </c>
      <c r="E1488">
        <v>15974.41</v>
      </c>
    </row>
    <row r="1489" spans="4:5" x14ac:dyDescent="0.25">
      <c r="D1489" s="138">
        <v>43591</v>
      </c>
      <c r="E1489">
        <v>16110.44</v>
      </c>
    </row>
    <row r="1490" spans="4:5" x14ac:dyDescent="0.25">
      <c r="D1490" s="138">
        <v>43588</v>
      </c>
      <c r="E1490">
        <v>16268.79</v>
      </c>
    </row>
    <row r="1491" spans="4:5" x14ac:dyDescent="0.25">
      <c r="D1491" s="138">
        <v>43587</v>
      </c>
      <c r="E1491">
        <v>16286.18</v>
      </c>
    </row>
    <row r="1492" spans="4:5" x14ac:dyDescent="0.25">
      <c r="D1492" s="138">
        <v>43585</v>
      </c>
      <c r="E1492">
        <v>16318.66</v>
      </c>
    </row>
    <row r="1493" spans="4:5" x14ac:dyDescent="0.25">
      <c r="D1493" s="138">
        <v>43581</v>
      </c>
      <c r="E1493">
        <v>16327.7</v>
      </c>
    </row>
    <row r="1494" spans="4:5" x14ac:dyDescent="0.25">
      <c r="D1494" s="138">
        <v>43580</v>
      </c>
      <c r="E1494">
        <v>16170.98</v>
      </c>
    </row>
    <row r="1495" spans="4:5" x14ac:dyDescent="0.25">
      <c r="D1495" s="138">
        <v>43579</v>
      </c>
      <c r="E1495">
        <v>16288.16</v>
      </c>
    </row>
    <row r="1496" spans="4:5" x14ac:dyDescent="0.25">
      <c r="D1496" s="138">
        <v>43578</v>
      </c>
      <c r="E1496">
        <v>16079.51</v>
      </c>
    </row>
    <row r="1497" spans="4:5" x14ac:dyDescent="0.25">
      <c r="D1497" s="138">
        <v>43577</v>
      </c>
      <c r="E1497">
        <v>16105.19</v>
      </c>
    </row>
    <row r="1498" spans="4:5" x14ac:dyDescent="0.25">
      <c r="D1498" s="138">
        <v>43573</v>
      </c>
      <c r="E1498">
        <v>16325.13</v>
      </c>
    </row>
    <row r="1499" spans="4:5" x14ac:dyDescent="0.25">
      <c r="D1499" s="138">
        <v>43571</v>
      </c>
      <c r="E1499">
        <v>16372.86</v>
      </c>
    </row>
    <row r="1500" spans="4:5" x14ac:dyDescent="0.25">
      <c r="D1500" s="138">
        <v>43570</v>
      </c>
      <c r="E1500">
        <v>16238.41</v>
      </c>
    </row>
    <row r="1501" spans="4:5" x14ac:dyDescent="0.25">
      <c r="D1501" s="138">
        <v>43567</v>
      </c>
      <c r="E1501">
        <v>16173.27</v>
      </c>
    </row>
    <row r="1502" spans="4:5" x14ac:dyDescent="0.25">
      <c r="D1502" s="138">
        <v>43566</v>
      </c>
      <c r="E1502">
        <v>16108.32</v>
      </c>
    </row>
    <row r="1503" spans="4:5" x14ac:dyDescent="0.25">
      <c r="D1503" s="138">
        <v>43565</v>
      </c>
      <c r="E1503">
        <v>16091.08</v>
      </c>
    </row>
    <row r="1504" spans="4:5" x14ac:dyDescent="0.25">
      <c r="D1504" s="138">
        <v>43564</v>
      </c>
      <c r="E1504">
        <v>16212.81</v>
      </c>
    </row>
    <row r="1505" spans="4:5" x14ac:dyDescent="0.25">
      <c r="D1505" s="138">
        <v>43563</v>
      </c>
      <c r="E1505">
        <v>16119.14</v>
      </c>
    </row>
    <row r="1506" spans="4:5" x14ac:dyDescent="0.25">
      <c r="D1506" s="138">
        <v>43560</v>
      </c>
      <c r="E1506">
        <v>16204.48</v>
      </c>
    </row>
    <row r="1507" spans="4:5" x14ac:dyDescent="0.25">
      <c r="D1507" s="138">
        <v>43559</v>
      </c>
      <c r="E1507">
        <v>16110.09</v>
      </c>
    </row>
    <row r="1508" spans="4:5" x14ac:dyDescent="0.25">
      <c r="D1508" s="138">
        <v>43558</v>
      </c>
      <c r="E1508">
        <v>16173.92</v>
      </c>
    </row>
    <row r="1509" spans="4:5" x14ac:dyDescent="0.25">
      <c r="D1509" s="138">
        <v>43557</v>
      </c>
      <c r="E1509">
        <v>16270.13</v>
      </c>
    </row>
    <row r="1510" spans="4:5" x14ac:dyDescent="0.25">
      <c r="D1510" s="138">
        <v>43556</v>
      </c>
      <c r="E1510">
        <v>16208.94</v>
      </c>
    </row>
    <row r="1511" spans="4:5" x14ac:dyDescent="0.25">
      <c r="D1511" s="138">
        <v>43553</v>
      </c>
      <c r="E1511">
        <v>16146.11</v>
      </c>
    </row>
    <row r="1512" spans="4:5" x14ac:dyDescent="0.25">
      <c r="D1512" s="138">
        <v>43552</v>
      </c>
      <c r="E1512">
        <v>16071.26</v>
      </c>
    </row>
    <row r="1513" spans="4:5" x14ac:dyDescent="0.25">
      <c r="D1513" s="138">
        <v>43551</v>
      </c>
      <c r="E1513">
        <v>15897.65</v>
      </c>
    </row>
    <row r="1514" spans="4:5" x14ac:dyDescent="0.25">
      <c r="D1514" s="138">
        <v>43550</v>
      </c>
      <c r="E1514">
        <v>15949.46</v>
      </c>
    </row>
    <row r="1515" spans="4:5" x14ac:dyDescent="0.25">
      <c r="D1515" s="138">
        <v>43549</v>
      </c>
      <c r="E1515">
        <v>15770.26</v>
      </c>
    </row>
    <row r="1516" spans="4:5" x14ac:dyDescent="0.25">
      <c r="D1516" s="138">
        <v>43546</v>
      </c>
      <c r="E1516">
        <v>15912.88</v>
      </c>
    </row>
    <row r="1517" spans="4:5" x14ac:dyDescent="0.25">
      <c r="D1517" s="138">
        <v>43544</v>
      </c>
      <c r="E1517">
        <v>15998.51</v>
      </c>
    </row>
    <row r="1518" spans="4:5" x14ac:dyDescent="0.25">
      <c r="D1518" s="138">
        <v>43543</v>
      </c>
      <c r="E1518">
        <v>16014.33</v>
      </c>
    </row>
    <row r="1519" spans="4:5" x14ac:dyDescent="0.25">
      <c r="D1519" s="138">
        <v>43542</v>
      </c>
      <c r="E1519">
        <v>15916.8</v>
      </c>
    </row>
    <row r="1520" spans="4:5" x14ac:dyDescent="0.25">
      <c r="D1520" s="138">
        <v>43539</v>
      </c>
      <c r="E1520">
        <v>15867.74</v>
      </c>
    </row>
    <row r="1521" spans="4:5" x14ac:dyDescent="0.25">
      <c r="D1521" s="138">
        <v>43538</v>
      </c>
      <c r="E1521">
        <v>15749.67</v>
      </c>
    </row>
    <row r="1522" spans="4:5" x14ac:dyDescent="0.25">
      <c r="D1522" s="138">
        <v>43537</v>
      </c>
      <c r="E1522">
        <v>15742.86</v>
      </c>
    </row>
    <row r="1523" spans="4:5" x14ac:dyDescent="0.25">
      <c r="D1523" s="138">
        <v>43536</v>
      </c>
      <c r="E1523">
        <v>15685.41</v>
      </c>
    </row>
    <row r="1524" spans="4:5" x14ac:dyDescent="0.25">
      <c r="D1524" s="138">
        <v>43535</v>
      </c>
      <c r="E1524">
        <v>15500.61</v>
      </c>
    </row>
    <row r="1525" spans="4:5" x14ac:dyDescent="0.25">
      <c r="D1525" s="138">
        <v>43532</v>
      </c>
      <c r="E1525">
        <v>15316.51</v>
      </c>
    </row>
    <row r="1526" spans="4:5" x14ac:dyDescent="0.25">
      <c r="D1526" s="138">
        <v>43531</v>
      </c>
      <c r="E1526">
        <v>15348.14</v>
      </c>
    </row>
    <row r="1527" spans="4:5" x14ac:dyDescent="0.25">
      <c r="D1527" s="138">
        <v>43530</v>
      </c>
      <c r="E1527">
        <v>15340.93</v>
      </c>
    </row>
    <row r="1528" spans="4:5" x14ac:dyDescent="0.25">
      <c r="D1528" s="138">
        <v>43529</v>
      </c>
      <c r="E1528">
        <v>15249.97</v>
      </c>
    </row>
    <row r="1529" spans="4:5" x14ac:dyDescent="0.25">
      <c r="D1529" s="138">
        <v>43525</v>
      </c>
      <c r="E1529">
        <v>15077.91</v>
      </c>
    </row>
    <row r="1530" spans="4:5" x14ac:dyDescent="0.25">
      <c r="D1530" s="138">
        <v>43524</v>
      </c>
      <c r="E1530">
        <v>14979.39</v>
      </c>
    </row>
    <row r="1531" spans="4:5" x14ac:dyDescent="0.25">
      <c r="D1531" s="138">
        <v>43523</v>
      </c>
      <c r="E1531">
        <v>14993.45</v>
      </c>
    </row>
    <row r="1532" spans="4:5" x14ac:dyDescent="0.25">
      <c r="D1532" s="138">
        <v>43522</v>
      </c>
      <c r="E1532">
        <v>15033.15</v>
      </c>
    </row>
    <row r="1533" spans="4:5" x14ac:dyDescent="0.25">
      <c r="D1533" s="138">
        <v>43521</v>
      </c>
      <c r="E1533">
        <v>15095.33</v>
      </c>
    </row>
    <row r="1534" spans="4:5" x14ac:dyDescent="0.25">
      <c r="D1534" s="138">
        <v>43518</v>
      </c>
      <c r="E1534">
        <v>14972.58</v>
      </c>
    </row>
    <row r="1535" spans="4:5" x14ac:dyDescent="0.25">
      <c r="D1535" s="138">
        <v>43517</v>
      </c>
      <c r="E1535">
        <v>14970.12</v>
      </c>
    </row>
    <row r="1536" spans="4:5" x14ac:dyDescent="0.25">
      <c r="D1536" s="138">
        <v>43516</v>
      </c>
      <c r="E1536">
        <v>14891.6</v>
      </c>
    </row>
    <row r="1537" spans="4:5" x14ac:dyDescent="0.25">
      <c r="D1537" s="138">
        <v>43515</v>
      </c>
      <c r="E1537">
        <v>14709.75</v>
      </c>
    </row>
    <row r="1538" spans="4:5" x14ac:dyDescent="0.25">
      <c r="D1538" s="138">
        <v>43514</v>
      </c>
      <c r="E1538">
        <v>14760.48</v>
      </c>
    </row>
    <row r="1539" spans="4:5" x14ac:dyDescent="0.25">
      <c r="D1539" s="138">
        <v>43511</v>
      </c>
      <c r="E1539">
        <v>14876.27</v>
      </c>
    </row>
    <row r="1540" spans="4:5" x14ac:dyDescent="0.25">
      <c r="D1540" s="138">
        <v>43510</v>
      </c>
      <c r="E1540">
        <v>14906.26</v>
      </c>
    </row>
    <row r="1541" spans="4:5" x14ac:dyDescent="0.25">
      <c r="D1541" s="138">
        <v>43509</v>
      </c>
      <c r="E1541">
        <v>14970.62</v>
      </c>
    </row>
    <row r="1542" spans="4:5" x14ac:dyDescent="0.25">
      <c r="D1542" s="138">
        <v>43508</v>
      </c>
      <c r="E1542">
        <v>15023.02</v>
      </c>
    </row>
    <row r="1543" spans="4:5" x14ac:dyDescent="0.25">
      <c r="D1543" s="138">
        <v>43507</v>
      </c>
      <c r="E1543">
        <v>15100.61</v>
      </c>
    </row>
    <row r="1544" spans="4:5" x14ac:dyDescent="0.25">
      <c r="D1544" s="138">
        <v>43504</v>
      </c>
      <c r="E1544">
        <v>15173.02</v>
      </c>
    </row>
    <row r="1545" spans="4:5" x14ac:dyDescent="0.25">
      <c r="D1545" s="138">
        <v>43503</v>
      </c>
      <c r="E1545">
        <v>15347.41</v>
      </c>
    </row>
    <row r="1546" spans="4:5" x14ac:dyDescent="0.25">
      <c r="D1546" s="138">
        <v>43502</v>
      </c>
      <c r="E1546">
        <v>15337.8</v>
      </c>
    </row>
    <row r="1547" spans="4:5" x14ac:dyDescent="0.25">
      <c r="D1547" s="138">
        <v>43501</v>
      </c>
      <c r="E1547">
        <v>15155.99</v>
      </c>
    </row>
    <row r="1548" spans="4:5" x14ac:dyDescent="0.25">
      <c r="D1548" s="138">
        <v>43500</v>
      </c>
      <c r="E1548">
        <v>15125.02</v>
      </c>
    </row>
    <row r="1549" spans="4:5" x14ac:dyDescent="0.25">
      <c r="D1549" s="138">
        <v>43497</v>
      </c>
      <c r="E1549">
        <v>15099.21</v>
      </c>
    </row>
    <row r="1550" spans="4:5" x14ac:dyDescent="0.25">
      <c r="D1550" s="138">
        <v>43496</v>
      </c>
      <c r="E1550">
        <v>15012.34</v>
      </c>
    </row>
    <row r="1551" spans="4:5" x14ac:dyDescent="0.25">
      <c r="D1551" s="138">
        <v>43495</v>
      </c>
      <c r="E1551">
        <v>14764.02</v>
      </c>
    </row>
    <row r="1552" spans="4:5" x14ac:dyDescent="0.25">
      <c r="D1552" s="138">
        <v>43494</v>
      </c>
      <c r="E1552">
        <v>14764.59</v>
      </c>
    </row>
    <row r="1553" spans="4:5" x14ac:dyDescent="0.25">
      <c r="D1553" s="138">
        <v>43493</v>
      </c>
      <c r="E1553">
        <v>14777.11</v>
      </c>
    </row>
    <row r="1554" spans="4:5" x14ac:dyDescent="0.25">
      <c r="D1554" s="138">
        <v>43490</v>
      </c>
      <c r="E1554">
        <v>14942.09</v>
      </c>
    </row>
    <row r="1555" spans="4:5" x14ac:dyDescent="0.25">
      <c r="D1555" s="138">
        <v>43489</v>
      </c>
      <c r="E1555">
        <v>15038.07</v>
      </c>
    </row>
    <row r="1556" spans="4:5" x14ac:dyDescent="0.25">
      <c r="D1556" s="138">
        <v>43488</v>
      </c>
      <c r="E1556">
        <v>15007.4</v>
      </c>
    </row>
    <row r="1557" spans="4:5" x14ac:dyDescent="0.25">
      <c r="D1557" s="138">
        <v>43487</v>
      </c>
      <c r="E1557">
        <v>15133.83</v>
      </c>
    </row>
    <row r="1558" spans="4:5" x14ac:dyDescent="0.25">
      <c r="D1558" s="138">
        <v>43486</v>
      </c>
      <c r="E1558">
        <v>15188</v>
      </c>
    </row>
    <row r="1559" spans="4:5" x14ac:dyDescent="0.25">
      <c r="D1559" s="138">
        <v>43483</v>
      </c>
      <c r="E1559">
        <v>15111.95</v>
      </c>
    </row>
    <row r="1560" spans="4:5" x14ac:dyDescent="0.25">
      <c r="D1560" s="138">
        <v>43482</v>
      </c>
      <c r="E1560">
        <v>15109.54</v>
      </c>
    </row>
    <row r="1561" spans="4:5" x14ac:dyDescent="0.25">
      <c r="D1561" s="138">
        <v>43481</v>
      </c>
      <c r="E1561">
        <v>15087.41</v>
      </c>
    </row>
    <row r="1562" spans="4:5" x14ac:dyDescent="0.25">
      <c r="D1562" s="138">
        <v>43480</v>
      </c>
      <c r="E1562">
        <v>15082.59</v>
      </c>
    </row>
    <row r="1563" spans="4:5" x14ac:dyDescent="0.25">
      <c r="D1563" s="138">
        <v>43479</v>
      </c>
      <c r="E1563">
        <v>14875.92</v>
      </c>
    </row>
    <row r="1564" spans="4:5" x14ac:dyDescent="0.25">
      <c r="D1564" s="138">
        <v>43476</v>
      </c>
      <c r="E1564">
        <v>14955.33</v>
      </c>
    </row>
    <row r="1565" spans="4:5" x14ac:dyDescent="0.25">
      <c r="D1565" s="138">
        <v>43475</v>
      </c>
      <c r="E1565">
        <v>14992.23</v>
      </c>
    </row>
    <row r="1566" spans="4:5" x14ac:dyDescent="0.25">
      <c r="D1566" s="138">
        <v>43474</v>
      </c>
      <c r="E1566">
        <v>15038.74</v>
      </c>
    </row>
    <row r="1567" spans="4:5" x14ac:dyDescent="0.25">
      <c r="D1567" s="138">
        <v>43473</v>
      </c>
      <c r="E1567">
        <v>14965.34</v>
      </c>
    </row>
    <row r="1568" spans="4:5" x14ac:dyDescent="0.25">
      <c r="D1568" s="138">
        <v>43472</v>
      </c>
      <c r="E1568">
        <v>14923.27</v>
      </c>
    </row>
    <row r="1569" spans="4:5" x14ac:dyDescent="0.25">
      <c r="D1569" s="138">
        <v>43469</v>
      </c>
      <c r="E1569">
        <v>14861.69</v>
      </c>
    </row>
    <row r="1570" spans="4:5" x14ac:dyDescent="0.25">
      <c r="D1570" s="138">
        <v>43468</v>
      </c>
      <c r="E1570">
        <v>14785.38</v>
      </c>
    </row>
    <row r="1571" spans="4:5" x14ac:dyDescent="0.25">
      <c r="D1571" s="138">
        <v>43467</v>
      </c>
      <c r="E1571">
        <v>14951.96</v>
      </c>
    </row>
    <row r="1572" spans="4:5" x14ac:dyDescent="0.25">
      <c r="D1572" s="138">
        <v>43466</v>
      </c>
      <c r="E1572">
        <v>15114.9</v>
      </c>
    </row>
    <row r="1573" spans="4:5" x14ac:dyDescent="0.25">
      <c r="D1573" s="138">
        <v>43465</v>
      </c>
      <c r="E1573">
        <v>15048.98</v>
      </c>
    </row>
    <row r="1574" spans="4:5" x14ac:dyDescent="0.25">
      <c r="D1574" s="138">
        <v>43462</v>
      </c>
      <c r="E1574">
        <v>15045.34</v>
      </c>
    </row>
    <row r="1575" spans="4:5" x14ac:dyDescent="0.25">
      <c r="D1575" s="138">
        <v>43461</v>
      </c>
      <c r="E1575">
        <v>14930.18</v>
      </c>
    </row>
    <row r="1576" spans="4:5" x14ac:dyDescent="0.25">
      <c r="D1576" s="138">
        <v>43460</v>
      </c>
      <c r="E1576">
        <v>14860.97</v>
      </c>
    </row>
    <row r="1577" spans="4:5" x14ac:dyDescent="0.25">
      <c r="D1577" s="138">
        <v>43458</v>
      </c>
      <c r="E1577">
        <v>14769.13</v>
      </c>
    </row>
    <row r="1578" spans="4:5" x14ac:dyDescent="0.25">
      <c r="D1578" s="138">
        <v>43455</v>
      </c>
      <c r="E1578">
        <v>14894.42</v>
      </c>
    </row>
    <row r="1579" spans="4:5" x14ac:dyDescent="0.25">
      <c r="D1579" s="138">
        <v>43454</v>
      </c>
      <c r="E1579">
        <v>15163.14</v>
      </c>
    </row>
    <row r="1580" spans="4:5" x14ac:dyDescent="0.25">
      <c r="D1580" s="138">
        <v>43453</v>
      </c>
      <c r="E1580">
        <v>15184.78</v>
      </c>
    </row>
    <row r="1581" spans="4:5" x14ac:dyDescent="0.25">
      <c r="D1581" s="138">
        <v>43452</v>
      </c>
      <c r="E1581">
        <v>15103.63</v>
      </c>
    </row>
    <row r="1582" spans="4:5" x14ac:dyDescent="0.25">
      <c r="D1582" s="138">
        <v>43451</v>
      </c>
      <c r="E1582">
        <v>15075.46</v>
      </c>
    </row>
    <row r="1583" spans="4:5" x14ac:dyDescent="0.25">
      <c r="D1583" s="138">
        <v>43448</v>
      </c>
      <c r="E1583">
        <v>14960.64</v>
      </c>
    </row>
    <row r="1584" spans="4:5" x14ac:dyDescent="0.25">
      <c r="D1584" s="138">
        <v>43447</v>
      </c>
      <c r="E1584">
        <v>14941.4</v>
      </c>
    </row>
    <row r="1585" spans="4:5" x14ac:dyDescent="0.25">
      <c r="D1585" s="138">
        <v>43446</v>
      </c>
      <c r="E1585">
        <v>14866.71</v>
      </c>
    </row>
    <row r="1586" spans="4:5" x14ac:dyDescent="0.25">
      <c r="D1586" s="138">
        <v>43445</v>
      </c>
      <c r="E1586">
        <v>14605.79</v>
      </c>
    </row>
    <row r="1587" spans="4:5" x14ac:dyDescent="0.25">
      <c r="D1587" s="138">
        <v>43444</v>
      </c>
      <c r="E1587">
        <v>14521.73</v>
      </c>
    </row>
    <row r="1588" spans="4:5" x14ac:dyDescent="0.25">
      <c r="D1588" s="138">
        <v>43441</v>
      </c>
      <c r="E1588">
        <v>14805.93</v>
      </c>
    </row>
    <row r="1589" spans="4:5" x14ac:dyDescent="0.25">
      <c r="D1589" s="138">
        <v>43440</v>
      </c>
      <c r="E1589">
        <v>14677.79</v>
      </c>
    </row>
    <row r="1590" spans="4:5" x14ac:dyDescent="0.25">
      <c r="D1590" s="138">
        <v>43439</v>
      </c>
      <c r="E1590">
        <v>14929.43</v>
      </c>
    </row>
    <row r="1591" spans="4:5" x14ac:dyDescent="0.25">
      <c r="D1591" s="138">
        <v>43438</v>
      </c>
      <c r="E1591">
        <v>15049.32</v>
      </c>
    </row>
    <row r="1592" spans="4:5" x14ac:dyDescent="0.25">
      <c r="D1592" s="138">
        <v>43437</v>
      </c>
      <c r="E1592">
        <v>15069.07</v>
      </c>
    </row>
    <row r="1593" spans="4:5" x14ac:dyDescent="0.25">
      <c r="D1593" s="138">
        <v>43434</v>
      </c>
      <c r="E1593">
        <v>15059.37</v>
      </c>
    </row>
    <row r="1594" spans="4:5" x14ac:dyDescent="0.25">
      <c r="D1594" s="138">
        <v>43433</v>
      </c>
      <c r="E1594">
        <v>15034.36</v>
      </c>
    </row>
    <row r="1595" spans="4:5" x14ac:dyDescent="0.25">
      <c r="D1595" s="138">
        <v>43432</v>
      </c>
      <c r="E1595">
        <v>14854.61</v>
      </c>
    </row>
    <row r="1596" spans="4:5" x14ac:dyDescent="0.25">
      <c r="D1596" s="138">
        <v>43431</v>
      </c>
      <c r="E1596">
        <v>14794.7</v>
      </c>
    </row>
    <row r="1597" spans="4:5" x14ac:dyDescent="0.25">
      <c r="D1597" s="138">
        <v>43430</v>
      </c>
      <c r="E1597">
        <v>14715.81</v>
      </c>
    </row>
    <row r="1598" spans="4:5" x14ac:dyDescent="0.25">
      <c r="D1598" s="138">
        <v>43426</v>
      </c>
      <c r="E1598">
        <v>14574.82</v>
      </c>
    </row>
    <row r="1599" spans="4:5" x14ac:dyDescent="0.25">
      <c r="D1599" s="138">
        <v>43425</v>
      </c>
      <c r="E1599">
        <v>14676.29</v>
      </c>
    </row>
    <row r="1600" spans="4:5" x14ac:dyDescent="0.25">
      <c r="D1600" s="138">
        <v>43424</v>
      </c>
      <c r="E1600">
        <v>14754.03</v>
      </c>
    </row>
    <row r="1601" spans="4:5" x14ac:dyDescent="0.25">
      <c r="D1601" s="138">
        <v>43423</v>
      </c>
      <c r="E1601">
        <v>14902.44</v>
      </c>
    </row>
    <row r="1602" spans="4:5" x14ac:dyDescent="0.25">
      <c r="D1602" s="138">
        <v>43420</v>
      </c>
      <c r="E1602">
        <v>14790.05</v>
      </c>
    </row>
    <row r="1603" spans="4:5" x14ac:dyDescent="0.25">
      <c r="D1603" s="138">
        <v>43419</v>
      </c>
      <c r="E1603">
        <v>14699.33</v>
      </c>
    </row>
    <row r="1604" spans="4:5" x14ac:dyDescent="0.25">
      <c r="D1604" s="138">
        <v>43418</v>
      </c>
      <c r="E1604">
        <v>14643.42</v>
      </c>
    </row>
    <row r="1605" spans="4:5" x14ac:dyDescent="0.25">
      <c r="D1605" s="138">
        <v>43417</v>
      </c>
      <c r="E1605">
        <v>14651.98</v>
      </c>
    </row>
    <row r="1606" spans="4:5" x14ac:dyDescent="0.25">
      <c r="D1606" s="138">
        <v>43416</v>
      </c>
      <c r="E1606">
        <v>14513.12</v>
      </c>
    </row>
    <row r="1607" spans="4:5" x14ac:dyDescent="0.25">
      <c r="D1607" s="138">
        <v>43413</v>
      </c>
      <c r="E1607">
        <v>14655.69</v>
      </c>
    </row>
    <row r="1608" spans="4:5" x14ac:dyDescent="0.25">
      <c r="D1608" s="138">
        <v>43411</v>
      </c>
      <c r="E1608">
        <v>14673.98</v>
      </c>
    </row>
    <row r="1609" spans="4:5" x14ac:dyDescent="0.25">
      <c r="D1609" s="138">
        <v>43410</v>
      </c>
      <c r="E1609">
        <v>14579.28</v>
      </c>
    </row>
    <row r="1610" spans="4:5" x14ac:dyDescent="0.25">
      <c r="D1610" s="138">
        <v>43409</v>
      </c>
      <c r="E1610">
        <v>14570.98</v>
      </c>
    </row>
    <row r="1611" spans="4:5" x14ac:dyDescent="0.25">
      <c r="D1611" s="138">
        <v>43406</v>
      </c>
      <c r="E1611">
        <v>14609.96</v>
      </c>
    </row>
    <row r="1612" spans="4:5" x14ac:dyDescent="0.25">
      <c r="D1612" s="138">
        <v>43405</v>
      </c>
      <c r="E1612">
        <v>14371.1</v>
      </c>
    </row>
    <row r="1613" spans="4:5" x14ac:dyDescent="0.25">
      <c r="D1613" s="138">
        <v>43404</v>
      </c>
      <c r="E1613">
        <v>14377.38</v>
      </c>
    </row>
    <row r="1614" spans="4:5" x14ac:dyDescent="0.25">
      <c r="D1614" s="138">
        <v>43403</v>
      </c>
      <c r="E1614">
        <v>14116.91</v>
      </c>
    </row>
    <row r="1615" spans="4:5" x14ac:dyDescent="0.25">
      <c r="D1615" s="138">
        <v>43402</v>
      </c>
      <c r="E1615">
        <v>14189.11</v>
      </c>
    </row>
    <row r="1616" spans="4:5" x14ac:dyDescent="0.25">
      <c r="D1616" s="138">
        <v>43399</v>
      </c>
      <c r="E1616">
        <v>13882.95</v>
      </c>
    </row>
    <row r="1617" spans="4:5" x14ac:dyDescent="0.25">
      <c r="D1617" s="138">
        <v>43398</v>
      </c>
      <c r="E1617">
        <v>14014.33</v>
      </c>
    </row>
    <row r="1618" spans="4:5" x14ac:dyDescent="0.25">
      <c r="D1618" s="138">
        <v>43397</v>
      </c>
      <c r="E1618">
        <v>14139.75</v>
      </c>
    </row>
    <row r="1619" spans="4:5" x14ac:dyDescent="0.25">
      <c r="D1619" s="138">
        <v>43396</v>
      </c>
      <c r="E1619">
        <v>14031.96</v>
      </c>
    </row>
    <row r="1620" spans="4:5" x14ac:dyDescent="0.25">
      <c r="D1620" s="138">
        <v>43395</v>
      </c>
      <c r="E1620">
        <v>14166.64</v>
      </c>
    </row>
    <row r="1621" spans="4:5" x14ac:dyDescent="0.25">
      <c r="D1621" s="138">
        <v>43392</v>
      </c>
      <c r="E1621">
        <v>14247.22</v>
      </c>
    </row>
    <row r="1622" spans="4:5" x14ac:dyDescent="0.25">
      <c r="D1622" s="138">
        <v>43390</v>
      </c>
      <c r="E1622">
        <v>14453.94</v>
      </c>
    </row>
    <row r="1623" spans="4:5" x14ac:dyDescent="0.25">
      <c r="D1623" s="138">
        <v>43389</v>
      </c>
      <c r="E1623">
        <v>14636.1</v>
      </c>
    </row>
    <row r="1624" spans="4:5" x14ac:dyDescent="0.25">
      <c r="D1624" s="138">
        <v>43388</v>
      </c>
      <c r="E1624">
        <v>14536.17</v>
      </c>
    </row>
    <row r="1625" spans="4:5" x14ac:dyDescent="0.25">
      <c r="D1625" s="138">
        <v>43385</v>
      </c>
      <c r="E1625">
        <v>14480.86</v>
      </c>
    </row>
    <row r="1626" spans="4:5" x14ac:dyDescent="0.25">
      <c r="D1626" s="138">
        <v>43384</v>
      </c>
      <c r="E1626">
        <v>14152</v>
      </c>
    </row>
    <row r="1627" spans="4:5" x14ac:dyDescent="0.25">
      <c r="D1627" s="138">
        <v>43383</v>
      </c>
      <c r="E1627">
        <v>14463.71</v>
      </c>
    </row>
    <row r="1628" spans="4:5" x14ac:dyDescent="0.25">
      <c r="D1628" s="138">
        <v>43382</v>
      </c>
      <c r="E1628">
        <v>14243.79</v>
      </c>
    </row>
    <row r="1629" spans="4:5" x14ac:dyDescent="0.25">
      <c r="D1629" s="138">
        <v>43381</v>
      </c>
      <c r="E1629">
        <v>14308.79</v>
      </c>
    </row>
    <row r="1630" spans="4:5" x14ac:dyDescent="0.25">
      <c r="D1630" s="138">
        <v>43378</v>
      </c>
      <c r="E1630">
        <v>14265.08</v>
      </c>
    </row>
    <row r="1631" spans="4:5" x14ac:dyDescent="0.25">
      <c r="D1631" s="138">
        <v>43377</v>
      </c>
      <c r="E1631">
        <v>14656.09</v>
      </c>
    </row>
    <row r="1632" spans="4:5" x14ac:dyDescent="0.25">
      <c r="D1632" s="138">
        <v>43376</v>
      </c>
      <c r="E1632">
        <v>15014.23</v>
      </c>
    </row>
    <row r="1633" spans="4:5" x14ac:dyDescent="0.25">
      <c r="D1633" s="138">
        <v>43374</v>
      </c>
      <c r="E1633">
        <v>15221.75</v>
      </c>
    </row>
    <row r="1634" spans="4:5" x14ac:dyDescent="0.25">
      <c r="D1634" s="138">
        <v>43371</v>
      </c>
      <c r="E1634">
        <v>15114.08</v>
      </c>
    </row>
    <row r="1635" spans="4:5" x14ac:dyDescent="0.25">
      <c r="D1635" s="138">
        <v>43370</v>
      </c>
      <c r="E1635">
        <v>15179.24</v>
      </c>
    </row>
    <row r="1636" spans="4:5" x14ac:dyDescent="0.25">
      <c r="D1636" s="138">
        <v>43369</v>
      </c>
      <c r="E1636">
        <v>15284.67</v>
      </c>
    </row>
    <row r="1637" spans="4:5" x14ac:dyDescent="0.25">
      <c r="D1637" s="138">
        <v>43368</v>
      </c>
      <c r="E1637">
        <v>15303.55</v>
      </c>
    </row>
    <row r="1638" spans="4:5" x14ac:dyDescent="0.25">
      <c r="D1638" s="138">
        <v>43367</v>
      </c>
      <c r="E1638">
        <v>15165.18</v>
      </c>
    </row>
    <row r="1639" spans="4:5" x14ac:dyDescent="0.25">
      <c r="D1639" s="138">
        <v>43364</v>
      </c>
      <c r="E1639">
        <v>15408.16</v>
      </c>
    </row>
    <row r="1640" spans="4:5" x14ac:dyDescent="0.25">
      <c r="D1640" s="138">
        <v>43362</v>
      </c>
      <c r="E1640">
        <v>15534.28</v>
      </c>
    </row>
    <row r="1641" spans="4:5" x14ac:dyDescent="0.25">
      <c r="D1641" s="138">
        <v>43361</v>
      </c>
      <c r="E1641">
        <v>15594.57</v>
      </c>
    </row>
    <row r="1642" spans="4:5" x14ac:dyDescent="0.25">
      <c r="D1642" s="138">
        <v>43360</v>
      </c>
      <c r="E1642">
        <v>15731.26</v>
      </c>
    </row>
    <row r="1643" spans="4:5" x14ac:dyDescent="0.25">
      <c r="D1643" s="138">
        <v>43357</v>
      </c>
      <c r="E1643">
        <v>15920.48</v>
      </c>
    </row>
    <row r="1644" spans="4:5" x14ac:dyDescent="0.25">
      <c r="D1644" s="138">
        <v>43355</v>
      </c>
      <c r="E1644">
        <v>15719.62</v>
      </c>
    </row>
    <row r="1645" spans="4:5" x14ac:dyDescent="0.25">
      <c r="D1645" s="138">
        <v>43354</v>
      </c>
      <c r="E1645">
        <v>15605.11</v>
      </c>
    </row>
    <row r="1646" spans="4:5" x14ac:dyDescent="0.25">
      <c r="D1646" s="138">
        <v>43353</v>
      </c>
      <c r="E1646">
        <v>15813.26</v>
      </c>
    </row>
    <row r="1647" spans="4:5" x14ac:dyDescent="0.25">
      <c r="D1647" s="138">
        <v>43350</v>
      </c>
      <c r="E1647">
        <v>16019.84</v>
      </c>
    </row>
    <row r="1648" spans="4:5" x14ac:dyDescent="0.25">
      <c r="D1648" s="138">
        <v>43349</v>
      </c>
      <c r="E1648">
        <v>15947.67</v>
      </c>
    </row>
    <row r="1649" spans="4:5" x14ac:dyDescent="0.25">
      <c r="D1649" s="138">
        <v>43348</v>
      </c>
      <c r="E1649">
        <v>15862.15</v>
      </c>
    </row>
    <row r="1650" spans="4:5" x14ac:dyDescent="0.25">
      <c r="D1650" s="138">
        <v>43347</v>
      </c>
      <c r="E1650">
        <v>15922.09</v>
      </c>
    </row>
    <row r="1651" spans="4:5" x14ac:dyDescent="0.25">
      <c r="D1651" s="138">
        <v>43346</v>
      </c>
      <c r="E1651">
        <v>16007.84</v>
      </c>
    </row>
    <row r="1652" spans="4:5" x14ac:dyDescent="0.25">
      <c r="D1652" s="138">
        <v>43343</v>
      </c>
      <c r="E1652">
        <v>16143.51</v>
      </c>
    </row>
    <row r="1653" spans="4:5" x14ac:dyDescent="0.25">
      <c r="D1653" s="138">
        <v>43342</v>
      </c>
      <c r="E1653">
        <v>16135.61</v>
      </c>
    </row>
    <row r="1654" spans="4:5" x14ac:dyDescent="0.25">
      <c r="D1654" s="138">
        <v>43341</v>
      </c>
      <c r="E1654">
        <v>16156.02</v>
      </c>
    </row>
    <row r="1655" spans="4:5" x14ac:dyDescent="0.25">
      <c r="D1655" s="138">
        <v>43340</v>
      </c>
      <c r="E1655">
        <v>16220.45</v>
      </c>
    </row>
    <row r="1656" spans="4:5" x14ac:dyDescent="0.25">
      <c r="D1656" s="138">
        <v>43339</v>
      </c>
      <c r="E1656">
        <v>16156.09</v>
      </c>
    </row>
    <row r="1657" spans="4:5" x14ac:dyDescent="0.25">
      <c r="D1657" s="138">
        <v>43336</v>
      </c>
      <c r="E1657">
        <v>15969.8</v>
      </c>
    </row>
    <row r="1658" spans="4:5" x14ac:dyDescent="0.25">
      <c r="D1658" s="138">
        <v>43335</v>
      </c>
      <c r="E1658">
        <v>16001.85</v>
      </c>
    </row>
    <row r="1659" spans="4:5" x14ac:dyDescent="0.25">
      <c r="D1659" s="138">
        <v>43333</v>
      </c>
      <c r="E1659">
        <v>15985.48</v>
      </c>
    </row>
    <row r="1660" spans="4:5" x14ac:dyDescent="0.25">
      <c r="D1660" s="138">
        <v>43332</v>
      </c>
      <c r="E1660">
        <v>15959.04</v>
      </c>
    </row>
    <row r="1661" spans="4:5" x14ac:dyDescent="0.25">
      <c r="D1661" s="138">
        <v>43329</v>
      </c>
      <c r="E1661">
        <v>15845.64</v>
      </c>
    </row>
    <row r="1662" spans="4:5" x14ac:dyDescent="0.25">
      <c r="D1662" s="138">
        <v>43328</v>
      </c>
      <c r="E1662">
        <v>15727.25</v>
      </c>
    </row>
    <row r="1663" spans="4:5" x14ac:dyDescent="0.25">
      <c r="D1663" s="138">
        <v>43326</v>
      </c>
      <c r="E1663">
        <v>15796.36</v>
      </c>
    </row>
    <row r="1664" spans="4:5" x14ac:dyDescent="0.25">
      <c r="D1664" s="138">
        <v>43325</v>
      </c>
      <c r="E1664">
        <v>15676.23</v>
      </c>
    </row>
    <row r="1665" spans="4:5" x14ac:dyDescent="0.25">
      <c r="D1665" s="138">
        <v>43322</v>
      </c>
      <c r="E1665">
        <v>15776.32</v>
      </c>
    </row>
    <row r="1666" spans="4:5" x14ac:dyDescent="0.25">
      <c r="D1666" s="138">
        <v>43321</v>
      </c>
      <c r="E1666">
        <v>15833.23</v>
      </c>
    </row>
    <row r="1667" spans="4:5" x14ac:dyDescent="0.25">
      <c r="D1667" s="138">
        <v>43320</v>
      </c>
      <c r="E1667">
        <v>15803.64</v>
      </c>
    </row>
    <row r="1668" spans="4:5" x14ac:dyDescent="0.25">
      <c r="D1668" s="138">
        <v>43319</v>
      </c>
      <c r="E1668">
        <v>15720.05</v>
      </c>
    </row>
    <row r="1669" spans="4:5" x14ac:dyDescent="0.25">
      <c r="D1669" s="138">
        <v>43318</v>
      </c>
      <c r="E1669">
        <v>15716.78</v>
      </c>
    </row>
    <row r="1670" spans="4:5" x14ac:dyDescent="0.25">
      <c r="D1670" s="138">
        <v>43315</v>
      </c>
      <c r="E1670">
        <v>15680.51</v>
      </c>
    </row>
    <row r="1671" spans="4:5" x14ac:dyDescent="0.25">
      <c r="D1671" s="138">
        <v>43314</v>
      </c>
      <c r="E1671">
        <v>15520.25</v>
      </c>
    </row>
    <row r="1672" spans="4:5" x14ac:dyDescent="0.25">
      <c r="D1672" s="138">
        <v>43313</v>
      </c>
      <c r="E1672">
        <v>15658.27</v>
      </c>
    </row>
    <row r="1673" spans="4:5" x14ac:dyDescent="0.25">
      <c r="D1673" s="138">
        <v>43312</v>
      </c>
      <c r="E1673">
        <v>15672.47</v>
      </c>
    </row>
    <row r="1674" spans="4:5" x14ac:dyDescent="0.25">
      <c r="D1674" s="138">
        <v>43311</v>
      </c>
      <c r="E1674">
        <v>15621.47</v>
      </c>
    </row>
    <row r="1675" spans="4:5" x14ac:dyDescent="0.25">
      <c r="D1675" s="138">
        <v>43308</v>
      </c>
      <c r="E1675">
        <v>15564.19</v>
      </c>
    </row>
    <row r="1676" spans="4:5" x14ac:dyDescent="0.25">
      <c r="D1676" s="138">
        <v>43307</v>
      </c>
      <c r="E1676">
        <v>15410.93</v>
      </c>
    </row>
    <row r="1677" spans="4:5" x14ac:dyDescent="0.25">
      <c r="D1677" s="138">
        <v>43306</v>
      </c>
      <c r="E1677">
        <v>15358.72</v>
      </c>
    </row>
    <row r="1678" spans="4:5" x14ac:dyDescent="0.25">
      <c r="D1678" s="138">
        <v>43305</v>
      </c>
      <c r="E1678">
        <v>15361.88</v>
      </c>
    </row>
    <row r="1679" spans="4:5" x14ac:dyDescent="0.25">
      <c r="D1679" s="138">
        <v>43304</v>
      </c>
      <c r="E1679">
        <v>15293.5</v>
      </c>
    </row>
    <row r="1680" spans="4:5" x14ac:dyDescent="0.25">
      <c r="D1680" s="138">
        <v>43301</v>
      </c>
      <c r="E1680">
        <v>15190.13</v>
      </c>
    </row>
    <row r="1681" spans="4:5" x14ac:dyDescent="0.25">
      <c r="D1681" s="138">
        <v>43300</v>
      </c>
      <c r="E1681">
        <v>15116.83</v>
      </c>
    </row>
    <row r="1682" spans="4:5" x14ac:dyDescent="0.25">
      <c r="D1682" s="138">
        <v>43299</v>
      </c>
      <c r="E1682">
        <v>15135.57</v>
      </c>
    </row>
    <row r="1683" spans="4:5" x14ac:dyDescent="0.25">
      <c r="D1683" s="138">
        <v>43298</v>
      </c>
      <c r="E1683">
        <v>15172.31</v>
      </c>
    </row>
    <row r="1684" spans="4:5" x14ac:dyDescent="0.25">
      <c r="D1684" s="138">
        <v>43297</v>
      </c>
      <c r="E1684">
        <v>15072.66</v>
      </c>
    </row>
    <row r="1685" spans="4:5" x14ac:dyDescent="0.25">
      <c r="D1685" s="138">
        <v>43294</v>
      </c>
      <c r="E1685">
        <v>15184.88</v>
      </c>
    </row>
    <row r="1686" spans="4:5" x14ac:dyDescent="0.25">
      <c r="D1686" s="138">
        <v>43293</v>
      </c>
      <c r="E1686">
        <v>15190.82</v>
      </c>
    </row>
    <row r="1687" spans="4:5" x14ac:dyDescent="0.25">
      <c r="D1687" s="138">
        <v>43292</v>
      </c>
      <c r="E1687">
        <v>15085.15</v>
      </c>
    </row>
    <row r="1688" spans="4:5" x14ac:dyDescent="0.25">
      <c r="D1688" s="138">
        <v>43291</v>
      </c>
      <c r="E1688">
        <v>15081.6</v>
      </c>
    </row>
    <row r="1689" spans="4:5" x14ac:dyDescent="0.25">
      <c r="D1689" s="138">
        <v>43290</v>
      </c>
      <c r="E1689">
        <v>14951.2</v>
      </c>
    </row>
    <row r="1690" spans="4:5" x14ac:dyDescent="0.25">
      <c r="D1690" s="138">
        <v>43287</v>
      </c>
      <c r="E1690">
        <v>14840.13</v>
      </c>
    </row>
    <row r="1691" spans="4:5" x14ac:dyDescent="0.25">
      <c r="D1691" s="138">
        <v>43286</v>
      </c>
      <c r="E1691">
        <v>14808.54</v>
      </c>
    </row>
    <row r="1692" spans="4:5" x14ac:dyDescent="0.25">
      <c r="D1692" s="138">
        <v>43285</v>
      </c>
      <c r="E1692">
        <v>14830.5</v>
      </c>
    </row>
    <row r="1693" spans="4:5" x14ac:dyDescent="0.25">
      <c r="D1693" s="138">
        <v>43284</v>
      </c>
      <c r="E1693">
        <v>14734.11</v>
      </c>
    </row>
    <row r="1694" spans="4:5" x14ac:dyDescent="0.25">
      <c r="D1694" s="138">
        <v>43283</v>
      </c>
      <c r="E1694">
        <v>14675.42</v>
      </c>
    </row>
    <row r="1695" spans="4:5" x14ac:dyDescent="0.25">
      <c r="D1695" s="138">
        <v>43280</v>
      </c>
      <c r="E1695">
        <v>14753.91</v>
      </c>
    </row>
    <row r="1696" spans="4:5" x14ac:dyDescent="0.25">
      <c r="D1696" s="138">
        <v>43279</v>
      </c>
      <c r="E1696">
        <v>14581.53</v>
      </c>
    </row>
    <row r="1697" spans="4:5" x14ac:dyDescent="0.25">
      <c r="D1697" s="138">
        <v>43278</v>
      </c>
      <c r="E1697">
        <v>14694.16</v>
      </c>
    </row>
    <row r="1698" spans="4:5" x14ac:dyDescent="0.25">
      <c r="D1698" s="138">
        <v>43277</v>
      </c>
      <c r="E1698">
        <v>14821.45</v>
      </c>
    </row>
    <row r="1699" spans="4:5" x14ac:dyDescent="0.25">
      <c r="D1699" s="138">
        <v>43276</v>
      </c>
      <c r="E1699">
        <v>14812.28</v>
      </c>
    </row>
    <row r="1700" spans="4:5" x14ac:dyDescent="0.25">
      <c r="D1700" s="138">
        <v>43273</v>
      </c>
      <c r="E1700">
        <v>14894.02</v>
      </c>
    </row>
    <row r="1701" spans="4:5" x14ac:dyDescent="0.25">
      <c r="D1701" s="138">
        <v>43272</v>
      </c>
      <c r="E1701">
        <v>14782.87</v>
      </c>
    </row>
    <row r="1702" spans="4:5" x14ac:dyDescent="0.25">
      <c r="D1702" s="138">
        <v>43271</v>
      </c>
      <c r="E1702">
        <v>14822.46</v>
      </c>
    </row>
    <row r="1703" spans="4:5" x14ac:dyDescent="0.25">
      <c r="D1703" s="138">
        <v>43270</v>
      </c>
      <c r="E1703">
        <v>14737.7</v>
      </c>
    </row>
    <row r="1704" spans="4:5" x14ac:dyDescent="0.25">
      <c r="D1704" s="138">
        <v>43269</v>
      </c>
      <c r="E1704">
        <v>14860.73</v>
      </c>
    </row>
    <row r="1705" spans="4:5" x14ac:dyDescent="0.25">
      <c r="D1705" s="138">
        <v>43266</v>
      </c>
      <c r="E1705">
        <v>14885.3</v>
      </c>
    </row>
    <row r="1706" spans="4:5" x14ac:dyDescent="0.25">
      <c r="D1706" s="138">
        <v>43265</v>
      </c>
      <c r="E1706">
        <v>14871.97</v>
      </c>
    </row>
    <row r="1707" spans="4:5" x14ac:dyDescent="0.25">
      <c r="D1707" s="138">
        <v>43264</v>
      </c>
      <c r="E1707">
        <v>14917.68</v>
      </c>
    </row>
    <row r="1708" spans="4:5" x14ac:dyDescent="0.25">
      <c r="D1708" s="138">
        <v>43263</v>
      </c>
      <c r="E1708">
        <v>14898.66</v>
      </c>
    </row>
    <row r="1709" spans="4:5" x14ac:dyDescent="0.25">
      <c r="D1709" s="138">
        <v>43262</v>
      </c>
      <c r="E1709">
        <v>14821.8</v>
      </c>
    </row>
    <row r="1710" spans="4:5" x14ac:dyDescent="0.25">
      <c r="D1710" s="138">
        <v>43259</v>
      </c>
      <c r="E1710">
        <v>14795.31</v>
      </c>
    </row>
    <row r="1711" spans="4:5" x14ac:dyDescent="0.25">
      <c r="D1711" s="138">
        <v>43258</v>
      </c>
      <c r="E1711">
        <v>14796.24</v>
      </c>
    </row>
    <row r="1712" spans="4:5" x14ac:dyDescent="0.25">
      <c r="D1712" s="138">
        <v>43257</v>
      </c>
      <c r="E1712">
        <v>14681.25</v>
      </c>
    </row>
    <row r="1713" spans="4:5" x14ac:dyDescent="0.25">
      <c r="D1713" s="138">
        <v>43256</v>
      </c>
      <c r="E1713">
        <v>14555.52</v>
      </c>
    </row>
    <row r="1714" spans="4:5" x14ac:dyDescent="0.25">
      <c r="D1714" s="138">
        <v>43255</v>
      </c>
      <c r="E1714">
        <v>14604.11</v>
      </c>
    </row>
    <row r="1715" spans="4:5" x14ac:dyDescent="0.25">
      <c r="D1715" s="138">
        <v>43252</v>
      </c>
      <c r="E1715">
        <v>14695.4</v>
      </c>
    </row>
    <row r="1716" spans="4:5" x14ac:dyDescent="0.25">
      <c r="D1716" s="138">
        <v>43251</v>
      </c>
      <c r="E1716">
        <v>14750.26</v>
      </c>
    </row>
    <row r="1717" spans="4:5" x14ac:dyDescent="0.25">
      <c r="D1717" s="138">
        <v>43250</v>
      </c>
      <c r="E1717">
        <v>14568.75</v>
      </c>
    </row>
    <row r="1718" spans="4:5" x14ac:dyDescent="0.25">
      <c r="D1718" s="138">
        <v>43249</v>
      </c>
      <c r="E1718">
        <v>14594.78</v>
      </c>
    </row>
    <row r="1719" spans="4:5" x14ac:dyDescent="0.25">
      <c r="D1719" s="138">
        <v>43248</v>
      </c>
      <c r="E1719">
        <v>14670.76</v>
      </c>
    </row>
    <row r="1720" spans="4:5" x14ac:dyDescent="0.25">
      <c r="D1720" s="138">
        <v>43245</v>
      </c>
      <c r="E1720">
        <v>14556.18</v>
      </c>
    </row>
    <row r="1721" spans="4:5" x14ac:dyDescent="0.25">
      <c r="D1721" s="138">
        <v>43244</v>
      </c>
      <c r="E1721">
        <v>14415.65</v>
      </c>
    </row>
    <row r="1722" spans="4:5" x14ac:dyDescent="0.25">
      <c r="D1722" s="138">
        <v>43243</v>
      </c>
      <c r="E1722">
        <v>14301.15</v>
      </c>
    </row>
    <row r="1723" spans="4:5" x14ac:dyDescent="0.25">
      <c r="D1723" s="138">
        <v>43242</v>
      </c>
      <c r="E1723">
        <v>14446.97</v>
      </c>
    </row>
    <row r="1724" spans="4:5" x14ac:dyDescent="0.25">
      <c r="D1724" s="138">
        <v>43241</v>
      </c>
      <c r="E1724">
        <v>14419.57</v>
      </c>
    </row>
    <row r="1725" spans="4:5" x14ac:dyDescent="0.25">
      <c r="D1725" s="138">
        <v>43238</v>
      </c>
      <c r="E1725">
        <v>14528.82</v>
      </c>
    </row>
    <row r="1726" spans="4:5" x14ac:dyDescent="0.25">
      <c r="D1726" s="138">
        <v>43237</v>
      </c>
      <c r="E1726">
        <v>14647.15</v>
      </c>
    </row>
    <row r="1727" spans="4:5" x14ac:dyDescent="0.25">
      <c r="D1727" s="138">
        <v>43236</v>
      </c>
      <c r="E1727">
        <v>14727.26</v>
      </c>
    </row>
    <row r="1728" spans="4:5" x14ac:dyDescent="0.25">
      <c r="D1728" s="138">
        <v>43235</v>
      </c>
      <c r="E1728">
        <v>14810.54</v>
      </c>
    </row>
    <row r="1729" spans="4:5" x14ac:dyDescent="0.25">
      <c r="D1729" s="138">
        <v>43234</v>
      </c>
      <c r="E1729">
        <v>14817.01</v>
      </c>
    </row>
    <row r="1730" spans="4:5" x14ac:dyDescent="0.25">
      <c r="D1730" s="138">
        <v>43231</v>
      </c>
      <c r="E1730">
        <v>14816.93</v>
      </c>
    </row>
    <row r="1731" spans="4:5" x14ac:dyDescent="0.25">
      <c r="D1731" s="138">
        <v>43230</v>
      </c>
      <c r="E1731">
        <v>14693.55</v>
      </c>
    </row>
    <row r="1732" spans="4:5" x14ac:dyDescent="0.25">
      <c r="D1732" s="138">
        <v>43229</v>
      </c>
      <c r="E1732">
        <v>14728.03</v>
      </c>
    </row>
    <row r="1733" spans="4:5" x14ac:dyDescent="0.25">
      <c r="D1733" s="138">
        <v>43228</v>
      </c>
      <c r="E1733">
        <v>14694.93</v>
      </c>
    </row>
    <row r="1734" spans="4:5" x14ac:dyDescent="0.25">
      <c r="D1734" s="138">
        <v>43227</v>
      </c>
      <c r="E1734">
        <v>14691.72</v>
      </c>
    </row>
    <row r="1735" spans="4:5" x14ac:dyDescent="0.25">
      <c r="D1735" s="138">
        <v>43224</v>
      </c>
      <c r="E1735">
        <v>14558.42</v>
      </c>
    </row>
    <row r="1736" spans="4:5" x14ac:dyDescent="0.25">
      <c r="D1736" s="138">
        <v>43223</v>
      </c>
      <c r="E1736">
        <v>14642.62</v>
      </c>
    </row>
    <row r="1737" spans="4:5" x14ac:dyDescent="0.25">
      <c r="D1737" s="138">
        <v>43222</v>
      </c>
      <c r="E1737">
        <v>14695.26</v>
      </c>
    </row>
    <row r="1738" spans="4:5" x14ac:dyDescent="0.25">
      <c r="D1738" s="138">
        <v>43220</v>
      </c>
      <c r="E1738">
        <v>14723.32</v>
      </c>
    </row>
    <row r="1739" spans="4:5" x14ac:dyDescent="0.25">
      <c r="D1739" s="138">
        <v>43217</v>
      </c>
      <c r="E1739">
        <v>14658.83</v>
      </c>
    </row>
    <row r="1740" spans="4:5" x14ac:dyDescent="0.25">
      <c r="D1740" s="138">
        <v>43216</v>
      </c>
      <c r="E1740">
        <v>14556.65</v>
      </c>
    </row>
    <row r="1741" spans="4:5" x14ac:dyDescent="0.25">
      <c r="D1741" s="138">
        <v>43215</v>
      </c>
      <c r="E1741">
        <v>14491.88</v>
      </c>
    </row>
    <row r="1742" spans="4:5" x14ac:dyDescent="0.25">
      <c r="D1742" s="138">
        <v>43214</v>
      </c>
      <c r="E1742">
        <v>14551.96</v>
      </c>
    </row>
    <row r="1743" spans="4:5" x14ac:dyDescent="0.25">
      <c r="D1743" s="138">
        <v>43213</v>
      </c>
      <c r="E1743">
        <v>14511.28</v>
      </c>
    </row>
    <row r="1744" spans="4:5" x14ac:dyDescent="0.25">
      <c r="D1744" s="138">
        <v>43210</v>
      </c>
      <c r="E1744">
        <v>14482.97</v>
      </c>
    </row>
    <row r="1745" spans="4:5" x14ac:dyDescent="0.25">
      <c r="D1745" s="138">
        <v>43209</v>
      </c>
      <c r="E1745">
        <v>14484.7</v>
      </c>
    </row>
    <row r="1746" spans="4:5" x14ac:dyDescent="0.25">
      <c r="D1746" s="138">
        <v>43208</v>
      </c>
      <c r="E1746">
        <v>14431.07</v>
      </c>
    </row>
    <row r="1747" spans="4:5" x14ac:dyDescent="0.25">
      <c r="D1747" s="138">
        <v>43207</v>
      </c>
      <c r="E1747">
        <v>14461.97</v>
      </c>
    </row>
    <row r="1748" spans="4:5" x14ac:dyDescent="0.25">
      <c r="D1748" s="138">
        <v>43206</v>
      </c>
      <c r="E1748">
        <v>14434.05</v>
      </c>
    </row>
    <row r="1749" spans="4:5" x14ac:dyDescent="0.25">
      <c r="D1749" s="138">
        <v>43203</v>
      </c>
      <c r="E1749">
        <v>14368.56</v>
      </c>
    </row>
    <row r="1750" spans="4:5" x14ac:dyDescent="0.25">
      <c r="D1750" s="138">
        <v>43202</v>
      </c>
      <c r="E1750">
        <v>14338.46</v>
      </c>
    </row>
    <row r="1751" spans="4:5" x14ac:dyDescent="0.25">
      <c r="D1751" s="138">
        <v>43201</v>
      </c>
      <c r="E1751">
        <v>14281.6</v>
      </c>
    </row>
    <row r="1752" spans="4:5" x14ac:dyDescent="0.25">
      <c r="D1752" s="138">
        <v>43200</v>
      </c>
      <c r="E1752">
        <v>14261.15</v>
      </c>
    </row>
    <row r="1753" spans="4:5" x14ac:dyDescent="0.25">
      <c r="D1753" s="138">
        <v>43199</v>
      </c>
      <c r="E1753">
        <v>14229.77</v>
      </c>
    </row>
    <row r="1754" spans="4:5" x14ac:dyDescent="0.25">
      <c r="D1754" s="138">
        <v>43196</v>
      </c>
      <c r="E1754">
        <v>14164.28</v>
      </c>
    </row>
    <row r="1755" spans="4:5" x14ac:dyDescent="0.25">
      <c r="D1755" s="138">
        <v>43195</v>
      </c>
      <c r="E1755">
        <v>14155.47</v>
      </c>
    </row>
    <row r="1756" spans="4:5" x14ac:dyDescent="0.25">
      <c r="D1756" s="138">
        <v>43194</v>
      </c>
      <c r="E1756">
        <v>13885.72</v>
      </c>
    </row>
    <row r="1757" spans="4:5" x14ac:dyDescent="0.25">
      <c r="D1757" s="138">
        <v>43193</v>
      </c>
      <c r="E1757">
        <v>14045.55</v>
      </c>
    </row>
    <row r="1758" spans="4:5" x14ac:dyDescent="0.25">
      <c r="D1758" s="138">
        <v>43192</v>
      </c>
      <c r="E1758">
        <v>14000.07</v>
      </c>
    </row>
    <row r="1759" spans="4:5" x14ac:dyDescent="0.25">
      <c r="D1759" s="138">
        <v>43187</v>
      </c>
      <c r="E1759">
        <v>13865.57</v>
      </c>
    </row>
    <row r="1760" spans="4:5" x14ac:dyDescent="0.25">
      <c r="D1760" s="138">
        <v>43186</v>
      </c>
      <c r="E1760">
        <v>13962.15</v>
      </c>
    </row>
    <row r="1761" spans="4:5" x14ac:dyDescent="0.25">
      <c r="D1761" s="138">
        <v>43185</v>
      </c>
      <c r="E1761">
        <v>13888.82</v>
      </c>
    </row>
    <row r="1762" spans="4:5" x14ac:dyDescent="0.25">
      <c r="D1762" s="138">
        <v>43182</v>
      </c>
      <c r="E1762">
        <v>13706.99</v>
      </c>
    </row>
    <row r="1763" spans="4:5" x14ac:dyDescent="0.25">
      <c r="D1763" s="138">
        <v>43181</v>
      </c>
      <c r="E1763">
        <v>13867.01</v>
      </c>
    </row>
    <row r="1764" spans="4:5" x14ac:dyDescent="0.25">
      <c r="D1764" s="138">
        <v>43180</v>
      </c>
      <c r="E1764">
        <v>13920.51</v>
      </c>
    </row>
    <row r="1765" spans="4:5" x14ac:dyDescent="0.25">
      <c r="D1765" s="138">
        <v>43179</v>
      </c>
      <c r="E1765">
        <v>13878.17</v>
      </c>
    </row>
    <row r="1766" spans="4:5" x14ac:dyDescent="0.25">
      <c r="D1766" s="138">
        <v>43178</v>
      </c>
      <c r="E1766">
        <v>13822.99</v>
      </c>
    </row>
    <row r="1767" spans="4:5" x14ac:dyDescent="0.25">
      <c r="D1767" s="138">
        <v>43175</v>
      </c>
      <c r="E1767">
        <v>13961.14</v>
      </c>
    </row>
    <row r="1768" spans="4:5" x14ac:dyDescent="0.25">
      <c r="D1768" s="138">
        <v>43174</v>
      </c>
      <c r="E1768">
        <v>14179.36</v>
      </c>
    </row>
    <row r="1769" spans="4:5" x14ac:dyDescent="0.25">
      <c r="D1769" s="138">
        <v>43173</v>
      </c>
      <c r="E1769">
        <v>14248.81</v>
      </c>
    </row>
    <row r="1770" spans="4:5" x14ac:dyDescent="0.25">
      <c r="D1770" s="138">
        <v>43172</v>
      </c>
      <c r="E1770">
        <v>14270.64</v>
      </c>
    </row>
    <row r="1771" spans="4:5" x14ac:dyDescent="0.25">
      <c r="D1771" s="138">
        <v>43171</v>
      </c>
      <c r="E1771">
        <v>14260.92</v>
      </c>
    </row>
    <row r="1772" spans="4:5" x14ac:dyDescent="0.25">
      <c r="D1772" s="138">
        <v>43168</v>
      </c>
      <c r="E1772">
        <v>13994.68</v>
      </c>
    </row>
    <row r="1773" spans="4:5" x14ac:dyDescent="0.25">
      <c r="D1773" s="138">
        <v>43167</v>
      </c>
      <c r="E1773">
        <v>14016.3</v>
      </c>
    </row>
    <row r="1774" spans="4:5" x14ac:dyDescent="0.25">
      <c r="D1774" s="138">
        <v>43166</v>
      </c>
      <c r="E1774">
        <v>13895.27</v>
      </c>
    </row>
    <row r="1775" spans="4:5" x14ac:dyDescent="0.25">
      <c r="D1775" s="138">
        <v>43165</v>
      </c>
      <c r="E1775">
        <v>14025.34</v>
      </c>
    </row>
    <row r="1776" spans="4:5" x14ac:dyDescent="0.25">
      <c r="D1776" s="138">
        <v>43164</v>
      </c>
      <c r="E1776">
        <v>14175.32</v>
      </c>
    </row>
    <row r="1777" spans="4:5" x14ac:dyDescent="0.25">
      <c r="D1777" s="138">
        <v>43160</v>
      </c>
      <c r="E1777">
        <v>14311.52</v>
      </c>
    </row>
    <row r="1778" spans="4:5" x14ac:dyDescent="0.25">
      <c r="D1778" s="138">
        <v>43159</v>
      </c>
      <c r="E1778">
        <v>14358.71</v>
      </c>
    </row>
    <row r="1779" spans="4:5" x14ac:dyDescent="0.25">
      <c r="D1779" s="138">
        <v>43158</v>
      </c>
      <c r="E1779">
        <v>14438.9</v>
      </c>
    </row>
    <row r="1780" spans="4:5" x14ac:dyDescent="0.25">
      <c r="D1780" s="138">
        <v>43157</v>
      </c>
      <c r="E1780">
        <v>14477.62</v>
      </c>
    </row>
    <row r="1781" spans="4:5" x14ac:dyDescent="0.25">
      <c r="D1781" s="138">
        <v>43154</v>
      </c>
      <c r="E1781">
        <v>14352.4</v>
      </c>
    </row>
    <row r="1782" spans="4:5" x14ac:dyDescent="0.25">
      <c r="D1782" s="138">
        <v>43153</v>
      </c>
      <c r="E1782">
        <v>14204.17</v>
      </c>
    </row>
    <row r="1783" spans="4:5" x14ac:dyDescent="0.25">
      <c r="D1783" s="138">
        <v>43152</v>
      </c>
      <c r="E1783">
        <v>14220.48</v>
      </c>
    </row>
    <row r="1784" spans="4:5" x14ac:dyDescent="0.25">
      <c r="D1784" s="138">
        <v>43151</v>
      </c>
      <c r="E1784">
        <v>14169.77</v>
      </c>
    </row>
    <row r="1785" spans="4:5" x14ac:dyDescent="0.25">
      <c r="D1785" s="138">
        <v>43150</v>
      </c>
      <c r="E1785">
        <v>14194.28</v>
      </c>
    </row>
    <row r="1786" spans="4:5" x14ac:dyDescent="0.25">
      <c r="D1786" s="138">
        <v>43147</v>
      </c>
      <c r="E1786">
        <v>14295.41</v>
      </c>
    </row>
    <row r="1787" spans="4:5" x14ac:dyDescent="0.25">
      <c r="D1787" s="138">
        <v>43146</v>
      </c>
      <c r="E1787">
        <v>14422.85</v>
      </c>
    </row>
    <row r="1788" spans="4:5" x14ac:dyDescent="0.25">
      <c r="D1788" s="138">
        <v>43145</v>
      </c>
      <c r="E1788">
        <v>14359.35</v>
      </c>
    </row>
    <row r="1789" spans="4:5" x14ac:dyDescent="0.25">
      <c r="D1789" s="138">
        <v>43143</v>
      </c>
      <c r="E1789">
        <v>14412.46</v>
      </c>
    </row>
    <row r="1790" spans="4:5" x14ac:dyDescent="0.25">
      <c r="D1790" s="138">
        <v>43140</v>
      </c>
      <c r="E1790">
        <v>14296.5</v>
      </c>
    </row>
    <row r="1791" spans="4:5" x14ac:dyDescent="0.25">
      <c r="D1791" s="138">
        <v>43139</v>
      </c>
      <c r="E1791">
        <v>14463.16</v>
      </c>
    </row>
    <row r="1792" spans="4:5" x14ac:dyDescent="0.25">
      <c r="D1792" s="138">
        <v>43138</v>
      </c>
      <c r="E1792">
        <v>14317.57</v>
      </c>
    </row>
    <row r="1793" spans="4:5" x14ac:dyDescent="0.25">
      <c r="D1793" s="138">
        <v>43137</v>
      </c>
      <c r="E1793">
        <v>14344.02</v>
      </c>
    </row>
    <row r="1794" spans="4:5" x14ac:dyDescent="0.25">
      <c r="D1794" s="138">
        <v>43136</v>
      </c>
      <c r="E1794">
        <v>14574</v>
      </c>
    </row>
    <row r="1795" spans="4:5" x14ac:dyDescent="0.25">
      <c r="D1795" s="138">
        <v>43133</v>
      </c>
      <c r="E1795">
        <v>14702.49</v>
      </c>
    </row>
    <row r="1796" spans="4:5" x14ac:dyDescent="0.25">
      <c r="D1796" s="138">
        <v>43132</v>
      </c>
      <c r="E1796">
        <v>15052.72</v>
      </c>
    </row>
    <row r="1797" spans="4:5" x14ac:dyDescent="0.25">
      <c r="D1797" s="138">
        <v>43131</v>
      </c>
      <c r="E1797">
        <v>15065.82</v>
      </c>
    </row>
    <row r="1798" spans="4:5" x14ac:dyDescent="0.25">
      <c r="D1798" s="138">
        <v>43130</v>
      </c>
      <c r="E1798">
        <v>15095.42</v>
      </c>
    </row>
    <row r="1799" spans="4:5" x14ac:dyDescent="0.25">
      <c r="D1799" s="138">
        <v>43129</v>
      </c>
      <c r="E1799">
        <v>15204.42</v>
      </c>
    </row>
    <row r="1800" spans="4:5" x14ac:dyDescent="0.25">
      <c r="D1800" s="138">
        <v>43125</v>
      </c>
      <c r="E1800">
        <v>15121</v>
      </c>
    </row>
    <row r="1801" spans="4:5" x14ac:dyDescent="0.25">
      <c r="D1801" s="138">
        <v>43124</v>
      </c>
      <c r="E1801">
        <v>15143.35</v>
      </c>
    </row>
    <row r="1802" spans="4:5" x14ac:dyDescent="0.25">
      <c r="D1802" s="138">
        <v>43123</v>
      </c>
      <c r="E1802">
        <v>15140.24</v>
      </c>
    </row>
    <row r="1803" spans="4:5" x14ac:dyDescent="0.25">
      <c r="D1803" s="138">
        <v>43122</v>
      </c>
      <c r="E1803">
        <v>14979.72</v>
      </c>
    </row>
    <row r="1804" spans="4:5" x14ac:dyDescent="0.25">
      <c r="D1804" s="138">
        <v>43119</v>
      </c>
      <c r="E1804">
        <v>14880.8</v>
      </c>
    </row>
    <row r="1805" spans="4:5" x14ac:dyDescent="0.25">
      <c r="D1805" s="138">
        <v>43118</v>
      </c>
      <c r="E1805">
        <v>14774.67</v>
      </c>
    </row>
    <row r="1806" spans="4:5" x14ac:dyDescent="0.25">
      <c r="D1806" s="138">
        <v>43117</v>
      </c>
      <c r="E1806">
        <v>14734.07</v>
      </c>
    </row>
    <row r="1807" spans="4:5" x14ac:dyDescent="0.25">
      <c r="D1807" s="138">
        <v>43116</v>
      </c>
      <c r="E1807">
        <v>14613.79</v>
      </c>
    </row>
    <row r="1808" spans="4:5" x14ac:dyDescent="0.25">
      <c r="D1808" s="138">
        <v>43115</v>
      </c>
      <c r="E1808">
        <v>14669.9</v>
      </c>
    </row>
    <row r="1809" spans="4:5" x14ac:dyDescent="0.25">
      <c r="D1809" s="138">
        <v>43112</v>
      </c>
      <c r="E1809">
        <v>14587.54</v>
      </c>
    </row>
    <row r="1810" spans="4:5" x14ac:dyDescent="0.25">
      <c r="D1810" s="138">
        <v>43111</v>
      </c>
      <c r="E1810">
        <v>14546.49</v>
      </c>
    </row>
    <row r="1811" spans="4:5" x14ac:dyDescent="0.25">
      <c r="D1811" s="138">
        <v>43110</v>
      </c>
      <c r="E1811">
        <v>14520.56</v>
      </c>
    </row>
    <row r="1812" spans="4:5" x14ac:dyDescent="0.25">
      <c r="D1812" s="138">
        <v>43109</v>
      </c>
      <c r="E1812">
        <v>14527.15</v>
      </c>
    </row>
    <row r="1813" spans="4:5" x14ac:dyDescent="0.25">
      <c r="D1813" s="138">
        <v>43108</v>
      </c>
      <c r="E1813">
        <v>14508.81</v>
      </c>
    </row>
    <row r="1814" spans="4:5" x14ac:dyDescent="0.25">
      <c r="D1814" s="138">
        <v>43105</v>
      </c>
      <c r="E1814">
        <v>14420.42</v>
      </c>
    </row>
    <row r="1815" spans="4:5" x14ac:dyDescent="0.25">
      <c r="D1815" s="138">
        <v>43104</v>
      </c>
      <c r="E1815">
        <v>14346.59</v>
      </c>
    </row>
    <row r="1816" spans="4:5" x14ac:dyDescent="0.25">
      <c r="D1816" s="138">
        <v>43103</v>
      </c>
      <c r="E1816">
        <v>14262.48</v>
      </c>
    </row>
    <row r="1817" spans="4:5" x14ac:dyDescent="0.25">
      <c r="D1817" s="138">
        <v>43102</v>
      </c>
      <c r="E1817">
        <v>14261.1</v>
      </c>
    </row>
    <row r="1818" spans="4:5" x14ac:dyDescent="0.25">
      <c r="D1818" s="138">
        <v>43101</v>
      </c>
      <c r="E1818">
        <v>14252.02</v>
      </c>
    </row>
    <row r="1819" spans="4:5" x14ac:dyDescent="0.25">
      <c r="D1819" s="138">
        <v>43098</v>
      </c>
      <c r="E1819">
        <v>14381.92</v>
      </c>
    </row>
    <row r="1820" spans="4:5" x14ac:dyDescent="0.25">
      <c r="D1820" s="138">
        <v>43097</v>
      </c>
      <c r="E1820">
        <v>14309.85</v>
      </c>
    </row>
    <row r="1821" spans="4:5" x14ac:dyDescent="0.25">
      <c r="D1821" s="138">
        <v>43096</v>
      </c>
      <c r="E1821">
        <v>14327.42</v>
      </c>
    </row>
    <row r="1822" spans="4:5" x14ac:dyDescent="0.25">
      <c r="D1822" s="138">
        <v>43095</v>
      </c>
      <c r="E1822">
        <v>14383.04</v>
      </c>
    </row>
    <row r="1823" spans="4:5" x14ac:dyDescent="0.25">
      <c r="D1823" s="138">
        <v>43091</v>
      </c>
      <c r="E1823">
        <v>14330.49</v>
      </c>
    </row>
    <row r="1824" spans="4:5" x14ac:dyDescent="0.25">
      <c r="D1824" s="138">
        <v>43090</v>
      </c>
      <c r="E1824">
        <v>14258.49</v>
      </c>
    </row>
    <row r="1825" spans="4:5" x14ac:dyDescent="0.25">
      <c r="D1825" s="138">
        <v>43089</v>
      </c>
      <c r="E1825">
        <v>14263.81</v>
      </c>
    </row>
    <row r="1826" spans="4:5" x14ac:dyDescent="0.25">
      <c r="D1826" s="138">
        <v>43088</v>
      </c>
      <c r="E1826">
        <v>14289.76</v>
      </c>
    </row>
    <row r="1827" spans="4:5" x14ac:dyDescent="0.25">
      <c r="D1827" s="138">
        <v>43087</v>
      </c>
      <c r="E1827">
        <v>14188.11</v>
      </c>
    </row>
    <row r="1828" spans="4:5" x14ac:dyDescent="0.25">
      <c r="D1828" s="138">
        <v>43084</v>
      </c>
      <c r="E1828">
        <v>14112.3</v>
      </c>
    </row>
    <row r="1829" spans="4:5" x14ac:dyDescent="0.25">
      <c r="D1829" s="138">
        <v>43083</v>
      </c>
      <c r="E1829">
        <v>14001.49</v>
      </c>
    </row>
    <row r="1830" spans="4:5" x14ac:dyDescent="0.25">
      <c r="D1830" s="138">
        <v>43082</v>
      </c>
      <c r="E1830">
        <v>13920.69</v>
      </c>
    </row>
    <row r="1831" spans="4:5" x14ac:dyDescent="0.25">
      <c r="D1831" s="138">
        <v>43081</v>
      </c>
      <c r="E1831">
        <v>13985.11</v>
      </c>
    </row>
    <row r="1832" spans="4:5" x14ac:dyDescent="0.25">
      <c r="D1832" s="138">
        <v>43080</v>
      </c>
      <c r="E1832">
        <v>14097.29</v>
      </c>
    </row>
    <row r="1833" spans="4:5" x14ac:dyDescent="0.25">
      <c r="D1833" s="138">
        <v>43077</v>
      </c>
      <c r="E1833">
        <v>14019.95</v>
      </c>
    </row>
    <row r="1834" spans="4:5" x14ac:dyDescent="0.25">
      <c r="D1834" s="138">
        <v>43076</v>
      </c>
      <c r="E1834">
        <v>13884.82</v>
      </c>
    </row>
    <row r="1835" spans="4:5" x14ac:dyDescent="0.25">
      <c r="D1835" s="138">
        <v>43075</v>
      </c>
      <c r="E1835">
        <v>13717.36</v>
      </c>
    </row>
    <row r="1836" spans="4:5" x14ac:dyDescent="0.25">
      <c r="D1836" s="138">
        <v>43074</v>
      </c>
      <c r="E1836">
        <v>13818.67</v>
      </c>
    </row>
    <row r="1837" spans="4:5" x14ac:dyDescent="0.25">
      <c r="D1837" s="138">
        <v>43073</v>
      </c>
      <c r="E1837">
        <v>13831.66</v>
      </c>
    </row>
    <row r="1838" spans="4:5" x14ac:dyDescent="0.25">
      <c r="D1838" s="138">
        <v>43070</v>
      </c>
      <c r="E1838">
        <v>13823.52</v>
      </c>
    </row>
    <row r="1839" spans="4:5" x14ac:dyDescent="0.25">
      <c r="D1839" s="138">
        <v>43069</v>
      </c>
      <c r="E1839">
        <v>13966.58</v>
      </c>
    </row>
    <row r="1840" spans="4:5" x14ac:dyDescent="0.25">
      <c r="D1840" s="138">
        <v>43068</v>
      </c>
      <c r="E1840">
        <v>14150.6</v>
      </c>
    </row>
    <row r="1841" spans="4:5" x14ac:dyDescent="0.25">
      <c r="D1841" s="138">
        <v>43067</v>
      </c>
      <c r="E1841">
        <v>14162.79</v>
      </c>
    </row>
    <row r="1842" spans="4:5" x14ac:dyDescent="0.25">
      <c r="D1842" s="138">
        <v>43066</v>
      </c>
      <c r="E1842">
        <v>14202.82</v>
      </c>
    </row>
    <row r="1843" spans="4:5" x14ac:dyDescent="0.25">
      <c r="D1843" s="138">
        <v>43063</v>
      </c>
      <c r="E1843">
        <v>14189.41</v>
      </c>
    </row>
    <row r="1844" spans="4:5" x14ac:dyDescent="0.25">
      <c r="D1844" s="138">
        <v>43062</v>
      </c>
      <c r="E1844">
        <v>14133.47</v>
      </c>
    </row>
    <row r="1845" spans="4:5" x14ac:dyDescent="0.25">
      <c r="D1845" s="138">
        <v>43061</v>
      </c>
      <c r="E1845">
        <v>14124.68</v>
      </c>
    </row>
    <row r="1846" spans="4:5" x14ac:dyDescent="0.25">
      <c r="D1846" s="138">
        <v>43060</v>
      </c>
      <c r="E1846">
        <v>14103.64</v>
      </c>
    </row>
    <row r="1847" spans="4:5" x14ac:dyDescent="0.25">
      <c r="D1847" s="138">
        <v>43059</v>
      </c>
      <c r="E1847">
        <v>14065.05</v>
      </c>
    </row>
    <row r="1848" spans="4:5" x14ac:dyDescent="0.25">
      <c r="D1848" s="138">
        <v>43056</v>
      </c>
      <c r="E1848">
        <v>14044.32</v>
      </c>
    </row>
    <row r="1849" spans="4:5" x14ac:dyDescent="0.25">
      <c r="D1849" s="138">
        <v>43055</v>
      </c>
      <c r="E1849">
        <v>13950.33</v>
      </c>
    </row>
    <row r="1850" spans="4:5" x14ac:dyDescent="0.25">
      <c r="D1850" s="138">
        <v>43054</v>
      </c>
      <c r="E1850">
        <v>13818.25</v>
      </c>
    </row>
    <row r="1851" spans="4:5" x14ac:dyDescent="0.25">
      <c r="D1851" s="138">
        <v>43053</v>
      </c>
      <c r="E1851">
        <v>13911.87</v>
      </c>
    </row>
    <row r="1852" spans="4:5" x14ac:dyDescent="0.25">
      <c r="D1852" s="138">
        <v>43052</v>
      </c>
      <c r="E1852">
        <v>13964.26</v>
      </c>
    </row>
    <row r="1853" spans="4:5" x14ac:dyDescent="0.25">
      <c r="D1853" s="138">
        <v>43049</v>
      </c>
      <c r="E1853">
        <v>14096.45</v>
      </c>
    </row>
    <row r="1854" spans="4:5" x14ac:dyDescent="0.25">
      <c r="D1854" s="138">
        <v>43048</v>
      </c>
      <c r="E1854">
        <v>14078.98</v>
      </c>
    </row>
    <row r="1855" spans="4:5" x14ac:dyDescent="0.25">
      <c r="D1855" s="138">
        <v>43047</v>
      </c>
      <c r="E1855">
        <v>14071.02</v>
      </c>
    </row>
    <row r="1856" spans="4:5" x14ac:dyDescent="0.25">
      <c r="D1856" s="138">
        <v>43046</v>
      </c>
      <c r="E1856">
        <v>14135.23</v>
      </c>
    </row>
    <row r="1857" spans="4:5" x14ac:dyDescent="0.25">
      <c r="D1857" s="138">
        <v>43045</v>
      </c>
      <c r="E1857">
        <v>14274.03</v>
      </c>
    </row>
    <row r="1858" spans="4:5" x14ac:dyDescent="0.25">
      <c r="D1858" s="138">
        <v>43042</v>
      </c>
      <c r="E1858">
        <v>14274.97</v>
      </c>
    </row>
    <row r="1859" spans="4:5" x14ac:dyDescent="0.25">
      <c r="D1859" s="138">
        <v>43041</v>
      </c>
      <c r="E1859">
        <v>14232.79</v>
      </c>
    </row>
    <row r="1860" spans="4:5" x14ac:dyDescent="0.25">
      <c r="D1860" s="138">
        <v>43040</v>
      </c>
      <c r="E1860">
        <v>14255.58</v>
      </c>
    </row>
    <row r="1861" spans="4:5" x14ac:dyDescent="0.25">
      <c r="D1861" s="138">
        <v>43039</v>
      </c>
      <c r="E1861">
        <v>14108.55</v>
      </c>
    </row>
    <row r="1862" spans="4:5" x14ac:dyDescent="0.25">
      <c r="D1862" s="138">
        <v>43038</v>
      </c>
      <c r="E1862">
        <v>14137.62</v>
      </c>
    </row>
    <row r="1863" spans="4:5" x14ac:dyDescent="0.25">
      <c r="D1863" s="138">
        <v>43035</v>
      </c>
      <c r="E1863">
        <v>14082.21</v>
      </c>
    </row>
    <row r="1864" spans="4:5" x14ac:dyDescent="0.25">
      <c r="D1864" s="138">
        <v>43034</v>
      </c>
      <c r="E1864">
        <v>14110.5</v>
      </c>
    </row>
    <row r="1865" spans="4:5" x14ac:dyDescent="0.25">
      <c r="D1865" s="138">
        <v>43033</v>
      </c>
      <c r="E1865">
        <v>14044.44</v>
      </c>
    </row>
    <row r="1866" spans="4:5" x14ac:dyDescent="0.25">
      <c r="D1866" s="138">
        <v>43032</v>
      </c>
      <c r="E1866">
        <v>13923.61</v>
      </c>
    </row>
    <row r="1867" spans="4:5" x14ac:dyDescent="0.25">
      <c r="D1867" s="138">
        <v>43031</v>
      </c>
      <c r="E1867">
        <v>13892.48</v>
      </c>
    </row>
    <row r="1868" spans="4:5" x14ac:dyDescent="0.25">
      <c r="D1868" s="138">
        <v>43027</v>
      </c>
      <c r="E1868">
        <v>13840.24</v>
      </c>
    </row>
    <row r="1869" spans="4:5" x14ac:dyDescent="0.25">
      <c r="D1869" s="138">
        <v>43026</v>
      </c>
      <c r="E1869">
        <v>13927.92</v>
      </c>
    </row>
    <row r="1870" spans="4:5" x14ac:dyDescent="0.25">
      <c r="D1870" s="138">
        <v>43025</v>
      </c>
      <c r="E1870">
        <v>13960.09</v>
      </c>
    </row>
    <row r="1871" spans="4:5" x14ac:dyDescent="0.25">
      <c r="D1871" s="138">
        <v>43024</v>
      </c>
      <c r="E1871">
        <v>13955.22</v>
      </c>
    </row>
    <row r="1872" spans="4:5" x14ac:dyDescent="0.25">
      <c r="D1872" s="138">
        <v>43021</v>
      </c>
      <c r="E1872">
        <v>13868.7</v>
      </c>
    </row>
    <row r="1873" spans="4:5" x14ac:dyDescent="0.25">
      <c r="D1873" s="138">
        <v>43020</v>
      </c>
      <c r="E1873">
        <v>13771.84</v>
      </c>
    </row>
    <row r="1874" spans="4:5" x14ac:dyDescent="0.25">
      <c r="D1874" s="138">
        <v>43019</v>
      </c>
      <c r="E1874">
        <v>13619.62</v>
      </c>
    </row>
    <row r="1875" spans="4:5" x14ac:dyDescent="0.25">
      <c r="D1875" s="138">
        <v>43018</v>
      </c>
      <c r="E1875">
        <v>13663.44</v>
      </c>
    </row>
    <row r="1876" spans="4:5" x14ac:dyDescent="0.25">
      <c r="D1876" s="138">
        <v>43017</v>
      </c>
      <c r="E1876">
        <v>13625</v>
      </c>
    </row>
    <row r="1877" spans="4:5" x14ac:dyDescent="0.25">
      <c r="D1877" s="138">
        <v>43014</v>
      </c>
      <c r="E1877">
        <v>13612.63</v>
      </c>
    </row>
    <row r="1878" spans="4:5" x14ac:dyDescent="0.25">
      <c r="D1878" s="138">
        <v>43013</v>
      </c>
      <c r="E1878">
        <v>13488.48</v>
      </c>
    </row>
    <row r="1879" spans="4:5" x14ac:dyDescent="0.25">
      <c r="D1879" s="138">
        <v>43012</v>
      </c>
      <c r="E1879">
        <v>13524.27</v>
      </c>
    </row>
    <row r="1880" spans="4:5" x14ac:dyDescent="0.25">
      <c r="D1880" s="138">
        <v>43011</v>
      </c>
      <c r="E1880">
        <v>13448.66</v>
      </c>
    </row>
    <row r="1881" spans="4:5" x14ac:dyDescent="0.25">
      <c r="D1881" s="138">
        <v>43007</v>
      </c>
      <c r="E1881">
        <v>13351.99</v>
      </c>
    </row>
    <row r="1882" spans="4:5" x14ac:dyDescent="0.25">
      <c r="D1882" s="138">
        <v>43006</v>
      </c>
      <c r="E1882">
        <v>13325.16</v>
      </c>
    </row>
    <row r="1883" spans="4:5" x14ac:dyDescent="0.25">
      <c r="D1883" s="138">
        <v>43005</v>
      </c>
      <c r="E1883">
        <v>13279.85</v>
      </c>
    </row>
    <row r="1884" spans="4:5" x14ac:dyDescent="0.25">
      <c r="D1884" s="138">
        <v>43004</v>
      </c>
      <c r="E1884">
        <v>13465.07</v>
      </c>
    </row>
    <row r="1885" spans="4:5" x14ac:dyDescent="0.25">
      <c r="D1885" s="138">
        <v>43003</v>
      </c>
      <c r="E1885">
        <v>13466.53</v>
      </c>
    </row>
    <row r="1886" spans="4:5" x14ac:dyDescent="0.25">
      <c r="D1886" s="138">
        <v>43000</v>
      </c>
      <c r="E1886">
        <v>13591.79</v>
      </c>
    </row>
    <row r="1887" spans="4:5" x14ac:dyDescent="0.25">
      <c r="D1887" s="138">
        <v>42999</v>
      </c>
      <c r="E1887">
        <v>13806.6</v>
      </c>
    </row>
    <row r="1888" spans="4:5" x14ac:dyDescent="0.25">
      <c r="D1888" s="138">
        <v>42998</v>
      </c>
      <c r="E1888">
        <v>13832.04</v>
      </c>
    </row>
    <row r="1889" spans="4:5" x14ac:dyDescent="0.25">
      <c r="D1889" s="138">
        <v>42997</v>
      </c>
      <c r="E1889">
        <v>13840.78</v>
      </c>
    </row>
    <row r="1890" spans="4:5" x14ac:dyDescent="0.25">
      <c r="D1890" s="138">
        <v>42996</v>
      </c>
      <c r="E1890">
        <v>13848.34</v>
      </c>
    </row>
    <row r="1891" spans="4:5" x14ac:dyDescent="0.25">
      <c r="D1891" s="138">
        <v>42993</v>
      </c>
      <c r="E1891">
        <v>13754.62</v>
      </c>
    </row>
    <row r="1892" spans="4:5" x14ac:dyDescent="0.25">
      <c r="D1892" s="138">
        <v>42992</v>
      </c>
      <c r="E1892">
        <v>13756.28</v>
      </c>
    </row>
    <row r="1893" spans="4:5" x14ac:dyDescent="0.25">
      <c r="D1893" s="138">
        <v>42991</v>
      </c>
      <c r="E1893">
        <v>13746.3</v>
      </c>
    </row>
    <row r="1894" spans="4:5" x14ac:dyDescent="0.25">
      <c r="D1894" s="138">
        <v>42990</v>
      </c>
      <c r="E1894">
        <v>13765.03</v>
      </c>
    </row>
    <row r="1895" spans="4:5" x14ac:dyDescent="0.25">
      <c r="D1895" s="138">
        <v>42989</v>
      </c>
      <c r="E1895">
        <v>13646.37</v>
      </c>
    </row>
    <row r="1896" spans="4:5" x14ac:dyDescent="0.25">
      <c r="D1896" s="138">
        <v>42986</v>
      </c>
      <c r="E1896">
        <v>13546.57</v>
      </c>
    </row>
    <row r="1897" spans="4:5" x14ac:dyDescent="0.25">
      <c r="D1897" s="138">
        <v>42985</v>
      </c>
      <c r="E1897">
        <v>13539.91</v>
      </c>
    </row>
    <row r="1898" spans="4:5" x14ac:dyDescent="0.25">
      <c r="D1898" s="138">
        <v>42984</v>
      </c>
      <c r="E1898">
        <v>13519.3</v>
      </c>
    </row>
    <row r="1899" spans="4:5" x14ac:dyDescent="0.25">
      <c r="D1899" s="138">
        <v>42983</v>
      </c>
      <c r="E1899">
        <v>13568.38</v>
      </c>
    </row>
    <row r="1900" spans="4:5" x14ac:dyDescent="0.25">
      <c r="D1900" s="138">
        <v>42982</v>
      </c>
      <c r="E1900">
        <v>13514.16</v>
      </c>
    </row>
    <row r="1901" spans="4:5" x14ac:dyDescent="0.25">
      <c r="D1901" s="138">
        <v>42979</v>
      </c>
      <c r="E1901">
        <v>13598.09</v>
      </c>
    </row>
    <row r="1902" spans="4:5" x14ac:dyDescent="0.25">
      <c r="D1902" s="138">
        <v>42978</v>
      </c>
      <c r="E1902">
        <v>13521.03</v>
      </c>
    </row>
    <row r="1903" spans="4:5" x14ac:dyDescent="0.25">
      <c r="D1903" s="138">
        <v>42977</v>
      </c>
      <c r="E1903">
        <v>13474.73</v>
      </c>
    </row>
    <row r="1904" spans="4:5" x14ac:dyDescent="0.25">
      <c r="D1904" s="138">
        <v>42976</v>
      </c>
      <c r="E1904">
        <v>13354.29</v>
      </c>
    </row>
    <row r="1905" spans="4:5" x14ac:dyDescent="0.25">
      <c r="D1905" s="138">
        <v>42975</v>
      </c>
      <c r="E1905">
        <v>13513.48</v>
      </c>
    </row>
    <row r="1906" spans="4:5" x14ac:dyDescent="0.25">
      <c r="D1906" s="138">
        <v>42971</v>
      </c>
      <c r="E1906">
        <v>13437.45</v>
      </c>
    </row>
    <row r="1907" spans="4:5" x14ac:dyDescent="0.25">
      <c r="D1907" s="138">
        <v>42970</v>
      </c>
      <c r="E1907">
        <v>13427.67</v>
      </c>
    </row>
    <row r="1908" spans="4:5" x14ac:dyDescent="0.25">
      <c r="D1908" s="138">
        <v>42969</v>
      </c>
      <c r="E1908">
        <v>13309.14</v>
      </c>
    </row>
    <row r="1909" spans="4:5" x14ac:dyDescent="0.25">
      <c r="D1909" s="138">
        <v>42968</v>
      </c>
      <c r="E1909">
        <v>13293.88</v>
      </c>
    </row>
    <row r="1910" spans="4:5" x14ac:dyDescent="0.25">
      <c r="D1910" s="138">
        <v>42965</v>
      </c>
      <c r="E1910">
        <v>13407.07</v>
      </c>
    </row>
    <row r="1911" spans="4:5" x14ac:dyDescent="0.25">
      <c r="D1911" s="138">
        <v>42964</v>
      </c>
      <c r="E1911">
        <v>13497.69</v>
      </c>
    </row>
    <row r="1912" spans="4:5" x14ac:dyDescent="0.25">
      <c r="D1912" s="138">
        <v>42963</v>
      </c>
      <c r="E1912">
        <v>13488.33</v>
      </c>
    </row>
    <row r="1913" spans="4:5" x14ac:dyDescent="0.25">
      <c r="D1913" s="138">
        <v>42961</v>
      </c>
      <c r="E1913">
        <v>13347.75</v>
      </c>
    </row>
    <row r="1914" spans="4:5" x14ac:dyDescent="0.25">
      <c r="D1914" s="138">
        <v>42958</v>
      </c>
      <c r="E1914">
        <v>13234.2</v>
      </c>
    </row>
    <row r="1915" spans="4:5" x14ac:dyDescent="0.25">
      <c r="D1915" s="138">
        <v>42957</v>
      </c>
      <c r="E1915">
        <v>13377.05</v>
      </c>
    </row>
    <row r="1916" spans="4:5" x14ac:dyDescent="0.25">
      <c r="D1916" s="138">
        <v>42956</v>
      </c>
      <c r="E1916">
        <v>13495.81</v>
      </c>
    </row>
    <row r="1917" spans="4:5" x14ac:dyDescent="0.25">
      <c r="D1917" s="138">
        <v>42955</v>
      </c>
      <c r="E1917">
        <v>13591.81</v>
      </c>
    </row>
    <row r="1918" spans="4:5" x14ac:dyDescent="0.25">
      <c r="D1918" s="138">
        <v>42954</v>
      </c>
      <c r="E1918">
        <v>13699.21</v>
      </c>
    </row>
    <row r="1919" spans="4:5" x14ac:dyDescent="0.25">
      <c r="D1919" s="138">
        <v>42951</v>
      </c>
      <c r="E1919">
        <v>13711.47</v>
      </c>
    </row>
    <row r="1920" spans="4:5" x14ac:dyDescent="0.25">
      <c r="D1920" s="138">
        <v>42950</v>
      </c>
      <c r="E1920">
        <v>13639.66</v>
      </c>
    </row>
    <row r="1921" spans="4:5" x14ac:dyDescent="0.25">
      <c r="D1921" s="138">
        <v>42949</v>
      </c>
      <c r="E1921">
        <v>13731.63</v>
      </c>
    </row>
    <row r="1922" spans="4:5" x14ac:dyDescent="0.25">
      <c r="D1922" s="138">
        <v>42948</v>
      </c>
      <c r="E1922">
        <v>13775.33</v>
      </c>
    </row>
    <row r="1923" spans="4:5" x14ac:dyDescent="0.25">
      <c r="D1923" s="138">
        <v>42947</v>
      </c>
      <c r="E1923">
        <v>13724.19</v>
      </c>
    </row>
    <row r="1924" spans="4:5" x14ac:dyDescent="0.25">
      <c r="D1924" s="138">
        <v>42944</v>
      </c>
      <c r="E1924">
        <v>13638.1</v>
      </c>
    </row>
    <row r="1925" spans="4:5" x14ac:dyDescent="0.25">
      <c r="D1925" s="138">
        <v>42943</v>
      </c>
      <c r="E1925">
        <v>13646.34</v>
      </c>
    </row>
    <row r="1926" spans="4:5" x14ac:dyDescent="0.25">
      <c r="D1926" s="138">
        <v>42942</v>
      </c>
      <c r="E1926">
        <v>13644.46</v>
      </c>
    </row>
    <row r="1927" spans="4:5" x14ac:dyDescent="0.25">
      <c r="D1927" s="138">
        <v>42941</v>
      </c>
      <c r="E1927">
        <v>13567.66</v>
      </c>
    </row>
    <row r="1928" spans="4:5" x14ac:dyDescent="0.25">
      <c r="D1928" s="138">
        <v>42940</v>
      </c>
      <c r="E1928">
        <v>13569.88</v>
      </c>
    </row>
    <row r="1929" spans="4:5" x14ac:dyDescent="0.25">
      <c r="D1929" s="138">
        <v>42937</v>
      </c>
      <c r="E1929">
        <v>13498.25</v>
      </c>
    </row>
    <row r="1930" spans="4:5" x14ac:dyDescent="0.25">
      <c r="D1930" s="138">
        <v>42936</v>
      </c>
      <c r="E1930">
        <v>13441.11</v>
      </c>
    </row>
    <row r="1931" spans="4:5" x14ac:dyDescent="0.25">
      <c r="D1931" s="138">
        <v>42935</v>
      </c>
      <c r="E1931">
        <v>13473.52</v>
      </c>
    </row>
    <row r="1932" spans="4:5" x14ac:dyDescent="0.25">
      <c r="D1932" s="138">
        <v>42934</v>
      </c>
      <c r="E1932">
        <v>13374.92</v>
      </c>
    </row>
    <row r="1933" spans="4:5" x14ac:dyDescent="0.25">
      <c r="D1933" s="138">
        <v>42933</v>
      </c>
      <c r="E1933">
        <v>13494.64</v>
      </c>
    </row>
    <row r="1934" spans="4:5" x14ac:dyDescent="0.25">
      <c r="D1934" s="138">
        <v>42930</v>
      </c>
      <c r="E1934">
        <v>13453.49</v>
      </c>
    </row>
    <row r="1935" spans="4:5" x14ac:dyDescent="0.25">
      <c r="D1935" s="138">
        <v>42929</v>
      </c>
      <c r="E1935">
        <v>13452.22</v>
      </c>
    </row>
    <row r="1936" spans="4:5" x14ac:dyDescent="0.25">
      <c r="D1936" s="138">
        <v>42928</v>
      </c>
      <c r="E1936">
        <v>13340.24</v>
      </c>
    </row>
    <row r="1937" spans="4:5" x14ac:dyDescent="0.25">
      <c r="D1937" s="138">
        <v>42927</v>
      </c>
      <c r="E1937">
        <v>13299.17</v>
      </c>
    </row>
    <row r="1938" spans="4:5" x14ac:dyDescent="0.25">
      <c r="D1938" s="138">
        <v>42926</v>
      </c>
      <c r="E1938">
        <v>13278.81</v>
      </c>
    </row>
    <row r="1939" spans="4:5" x14ac:dyDescent="0.25">
      <c r="D1939" s="138">
        <v>42923</v>
      </c>
      <c r="E1939">
        <v>13135.35</v>
      </c>
    </row>
    <row r="1940" spans="4:5" x14ac:dyDescent="0.25">
      <c r="D1940" s="138">
        <v>42922</v>
      </c>
      <c r="E1940">
        <v>13147.27</v>
      </c>
    </row>
    <row r="1941" spans="4:5" x14ac:dyDescent="0.25">
      <c r="D1941" s="138">
        <v>42921</v>
      </c>
      <c r="E1941">
        <v>13091.36</v>
      </c>
    </row>
    <row r="1942" spans="4:5" x14ac:dyDescent="0.25">
      <c r="D1942" s="138">
        <v>42920</v>
      </c>
      <c r="E1942">
        <v>13057.86</v>
      </c>
    </row>
    <row r="1943" spans="4:5" x14ac:dyDescent="0.25">
      <c r="D1943" s="138">
        <v>42919</v>
      </c>
      <c r="E1943">
        <v>13060.15</v>
      </c>
    </row>
    <row r="1944" spans="4:5" x14ac:dyDescent="0.25">
      <c r="D1944" s="138">
        <v>42916</v>
      </c>
      <c r="E1944">
        <v>12932.33</v>
      </c>
    </row>
    <row r="1945" spans="4:5" x14ac:dyDescent="0.25">
      <c r="D1945" s="138">
        <v>42915</v>
      </c>
      <c r="E1945">
        <v>12908.13</v>
      </c>
    </row>
    <row r="1946" spans="4:5" x14ac:dyDescent="0.25">
      <c r="D1946" s="138">
        <v>42914</v>
      </c>
      <c r="E1946">
        <v>12882.7</v>
      </c>
    </row>
    <row r="1947" spans="4:5" x14ac:dyDescent="0.25">
      <c r="D1947" s="138">
        <v>42913</v>
      </c>
      <c r="E1947">
        <v>12910.01</v>
      </c>
    </row>
    <row r="1948" spans="4:5" x14ac:dyDescent="0.25">
      <c r="D1948" s="138">
        <v>42909</v>
      </c>
      <c r="E1948">
        <v>12996.3</v>
      </c>
    </row>
    <row r="1949" spans="4:5" x14ac:dyDescent="0.25">
      <c r="D1949" s="138">
        <v>42908</v>
      </c>
      <c r="E1949">
        <v>13070.98</v>
      </c>
    </row>
    <row r="1950" spans="4:5" x14ac:dyDescent="0.25">
      <c r="D1950" s="138">
        <v>42907</v>
      </c>
      <c r="E1950">
        <v>13072.91</v>
      </c>
    </row>
    <row r="1951" spans="4:5" x14ac:dyDescent="0.25">
      <c r="D1951" s="138">
        <v>42906</v>
      </c>
      <c r="E1951">
        <v>13099.92</v>
      </c>
    </row>
    <row r="1952" spans="4:5" x14ac:dyDescent="0.25">
      <c r="D1952" s="138">
        <v>42905</v>
      </c>
      <c r="E1952">
        <v>13100.15</v>
      </c>
    </row>
    <row r="1953" spans="4:5" x14ac:dyDescent="0.25">
      <c r="D1953" s="138">
        <v>42902</v>
      </c>
      <c r="E1953">
        <v>13005.86</v>
      </c>
    </row>
    <row r="1954" spans="4:5" x14ac:dyDescent="0.25">
      <c r="D1954" s="138">
        <v>42901</v>
      </c>
      <c r="E1954">
        <v>12992.34</v>
      </c>
    </row>
    <row r="1955" spans="4:5" x14ac:dyDescent="0.25">
      <c r="D1955" s="138">
        <v>42900</v>
      </c>
      <c r="E1955">
        <v>13045.44</v>
      </c>
    </row>
    <row r="1956" spans="4:5" x14ac:dyDescent="0.25">
      <c r="D1956" s="138">
        <v>42899</v>
      </c>
      <c r="E1956">
        <v>13030.22</v>
      </c>
    </row>
    <row r="1957" spans="4:5" x14ac:dyDescent="0.25">
      <c r="D1957" s="138">
        <v>42898</v>
      </c>
      <c r="E1957">
        <v>13037.83</v>
      </c>
    </row>
    <row r="1958" spans="4:5" x14ac:dyDescent="0.25">
      <c r="D1958" s="138">
        <v>42895</v>
      </c>
      <c r="E1958">
        <v>13108.12</v>
      </c>
    </row>
    <row r="1959" spans="4:5" x14ac:dyDescent="0.25">
      <c r="D1959" s="138">
        <v>42894</v>
      </c>
      <c r="E1959">
        <v>13079.63</v>
      </c>
    </row>
    <row r="1960" spans="4:5" x14ac:dyDescent="0.25">
      <c r="D1960" s="138">
        <v>42893</v>
      </c>
      <c r="E1960">
        <v>13101.62</v>
      </c>
    </row>
    <row r="1961" spans="4:5" x14ac:dyDescent="0.25">
      <c r="D1961" s="138">
        <v>42892</v>
      </c>
      <c r="E1961">
        <v>13065.33</v>
      </c>
    </row>
    <row r="1962" spans="4:5" x14ac:dyDescent="0.25">
      <c r="D1962" s="138">
        <v>42891</v>
      </c>
      <c r="E1962">
        <v>13116.78</v>
      </c>
    </row>
    <row r="1963" spans="4:5" x14ac:dyDescent="0.25">
      <c r="D1963" s="138">
        <v>42888</v>
      </c>
      <c r="E1963">
        <v>13072.98</v>
      </c>
    </row>
    <row r="1964" spans="4:5" x14ac:dyDescent="0.25">
      <c r="D1964" s="138">
        <v>42887</v>
      </c>
      <c r="E1964">
        <v>13022.35</v>
      </c>
    </row>
    <row r="1965" spans="4:5" x14ac:dyDescent="0.25">
      <c r="D1965" s="138">
        <v>42886</v>
      </c>
      <c r="E1965">
        <v>13018.69</v>
      </c>
    </row>
    <row r="1966" spans="4:5" x14ac:dyDescent="0.25">
      <c r="D1966" s="138">
        <v>42885</v>
      </c>
      <c r="E1966">
        <v>13023.19</v>
      </c>
    </row>
    <row r="1967" spans="4:5" x14ac:dyDescent="0.25">
      <c r="D1967" s="138">
        <v>42884</v>
      </c>
      <c r="E1967">
        <v>12996.61</v>
      </c>
    </row>
    <row r="1968" spans="4:5" x14ac:dyDescent="0.25">
      <c r="D1968" s="138">
        <v>42881</v>
      </c>
      <c r="E1968">
        <v>12981.79</v>
      </c>
    </row>
    <row r="1969" spans="4:5" x14ac:dyDescent="0.25">
      <c r="D1969" s="138">
        <v>42880</v>
      </c>
      <c r="E1969">
        <v>12863.38</v>
      </c>
    </row>
    <row r="1970" spans="4:5" x14ac:dyDescent="0.25">
      <c r="D1970" s="138">
        <v>42879</v>
      </c>
      <c r="E1970">
        <v>12661.62</v>
      </c>
    </row>
    <row r="1971" spans="4:5" x14ac:dyDescent="0.25">
      <c r="D1971" s="138">
        <v>42878</v>
      </c>
      <c r="E1971">
        <v>12695.02</v>
      </c>
    </row>
    <row r="1972" spans="4:5" x14ac:dyDescent="0.25">
      <c r="D1972" s="138">
        <v>42877</v>
      </c>
      <c r="E1972">
        <v>12765.48</v>
      </c>
    </row>
    <row r="1973" spans="4:5" x14ac:dyDescent="0.25">
      <c r="D1973" s="138">
        <v>42874</v>
      </c>
      <c r="E1973">
        <v>12751.43</v>
      </c>
    </row>
    <row r="1974" spans="4:5" x14ac:dyDescent="0.25">
      <c r="D1974" s="138">
        <v>42873</v>
      </c>
      <c r="E1974">
        <v>12753.55</v>
      </c>
    </row>
    <row r="1975" spans="4:5" x14ac:dyDescent="0.25">
      <c r="D1975" s="138">
        <v>42872</v>
      </c>
      <c r="E1975">
        <v>12883.83</v>
      </c>
    </row>
    <row r="1976" spans="4:5" x14ac:dyDescent="0.25">
      <c r="D1976" s="138">
        <v>42871</v>
      </c>
      <c r="E1976">
        <v>12865.56</v>
      </c>
    </row>
    <row r="1977" spans="4:5" x14ac:dyDescent="0.25">
      <c r="D1977" s="138">
        <v>42870</v>
      </c>
      <c r="E1977">
        <v>12775.11</v>
      </c>
    </row>
    <row r="1978" spans="4:5" x14ac:dyDescent="0.25">
      <c r="D1978" s="138">
        <v>42867</v>
      </c>
      <c r="E1978">
        <v>12714.97</v>
      </c>
    </row>
    <row r="1979" spans="4:5" x14ac:dyDescent="0.25">
      <c r="D1979" s="138">
        <v>42866</v>
      </c>
      <c r="E1979">
        <v>12743.99</v>
      </c>
    </row>
    <row r="1980" spans="4:5" x14ac:dyDescent="0.25">
      <c r="D1980" s="138">
        <v>42865</v>
      </c>
      <c r="E1980">
        <v>12723.6</v>
      </c>
    </row>
    <row r="1981" spans="4:5" x14ac:dyDescent="0.25">
      <c r="D1981" s="138">
        <v>42864</v>
      </c>
      <c r="E1981">
        <v>12601.23</v>
      </c>
    </row>
    <row r="1982" spans="4:5" x14ac:dyDescent="0.25">
      <c r="D1982" s="138">
        <v>42863</v>
      </c>
      <c r="E1982">
        <v>12597.5</v>
      </c>
    </row>
    <row r="1983" spans="4:5" x14ac:dyDescent="0.25">
      <c r="D1983" s="138">
        <v>42860</v>
      </c>
      <c r="E1983">
        <v>12558.6</v>
      </c>
    </row>
    <row r="1984" spans="4:5" x14ac:dyDescent="0.25">
      <c r="D1984" s="138">
        <v>42859</v>
      </c>
      <c r="E1984">
        <v>12659.51</v>
      </c>
    </row>
    <row r="1985" spans="4:5" x14ac:dyDescent="0.25">
      <c r="D1985" s="138">
        <v>42858</v>
      </c>
      <c r="E1985">
        <v>12593.58</v>
      </c>
    </row>
    <row r="1986" spans="4:5" x14ac:dyDescent="0.25">
      <c r="D1986" s="138">
        <v>42857</v>
      </c>
      <c r="E1986">
        <v>12596.08</v>
      </c>
    </row>
    <row r="1987" spans="4:5" x14ac:dyDescent="0.25">
      <c r="D1987" s="138">
        <v>42853</v>
      </c>
      <c r="E1987">
        <v>12582.88</v>
      </c>
    </row>
    <row r="1988" spans="4:5" x14ac:dyDescent="0.25">
      <c r="D1988" s="138">
        <v>42852</v>
      </c>
      <c r="E1988">
        <v>12634.41</v>
      </c>
    </row>
    <row r="1989" spans="4:5" x14ac:dyDescent="0.25">
      <c r="D1989" s="138">
        <v>42851</v>
      </c>
      <c r="E1989">
        <v>12647.53</v>
      </c>
    </row>
    <row r="1990" spans="4:5" x14ac:dyDescent="0.25">
      <c r="D1990" s="138">
        <v>42850</v>
      </c>
      <c r="E1990">
        <v>12586.34</v>
      </c>
    </row>
    <row r="1991" spans="4:5" x14ac:dyDescent="0.25">
      <c r="D1991" s="138">
        <v>42849</v>
      </c>
      <c r="E1991">
        <v>12466.46</v>
      </c>
    </row>
    <row r="1992" spans="4:5" x14ac:dyDescent="0.25">
      <c r="D1992" s="138">
        <v>42846</v>
      </c>
      <c r="E1992">
        <v>12333.17</v>
      </c>
    </row>
    <row r="1993" spans="4:5" x14ac:dyDescent="0.25">
      <c r="D1993" s="138">
        <v>42845</v>
      </c>
      <c r="E1993">
        <v>12356.2</v>
      </c>
    </row>
    <row r="1994" spans="4:5" x14ac:dyDescent="0.25">
      <c r="D1994" s="138">
        <v>42844</v>
      </c>
      <c r="E1994">
        <v>12311.67</v>
      </c>
    </row>
    <row r="1995" spans="4:5" x14ac:dyDescent="0.25">
      <c r="D1995" s="138">
        <v>42843</v>
      </c>
      <c r="E1995">
        <v>12313.9</v>
      </c>
    </row>
    <row r="1996" spans="4:5" x14ac:dyDescent="0.25">
      <c r="D1996" s="138">
        <v>42842</v>
      </c>
      <c r="E1996">
        <v>12360.11</v>
      </c>
    </row>
    <row r="1997" spans="4:5" x14ac:dyDescent="0.25">
      <c r="D1997" s="138">
        <v>42838</v>
      </c>
      <c r="E1997">
        <v>12375.68</v>
      </c>
    </row>
    <row r="1998" spans="4:5" x14ac:dyDescent="0.25">
      <c r="D1998" s="138">
        <v>42837</v>
      </c>
      <c r="E1998">
        <v>12446.84</v>
      </c>
    </row>
    <row r="1999" spans="4:5" x14ac:dyDescent="0.25">
      <c r="D1999" s="138">
        <v>42836</v>
      </c>
      <c r="E1999">
        <v>12492.24</v>
      </c>
    </row>
    <row r="2000" spans="4:5" x14ac:dyDescent="0.25">
      <c r="D2000" s="138">
        <v>42835</v>
      </c>
      <c r="E2000">
        <v>12417.07</v>
      </c>
    </row>
    <row r="2001" spans="4:5" x14ac:dyDescent="0.25">
      <c r="D2001" s="138">
        <v>42832</v>
      </c>
      <c r="E2001">
        <v>12439.9</v>
      </c>
    </row>
    <row r="2002" spans="4:5" x14ac:dyDescent="0.25">
      <c r="D2002" s="138">
        <v>42831</v>
      </c>
      <c r="E2002">
        <v>12525.97</v>
      </c>
    </row>
    <row r="2003" spans="4:5" x14ac:dyDescent="0.25">
      <c r="D2003" s="138">
        <v>42830</v>
      </c>
      <c r="E2003">
        <v>12530.31</v>
      </c>
    </row>
    <row r="2004" spans="4:5" x14ac:dyDescent="0.25">
      <c r="D2004" s="138">
        <v>42828</v>
      </c>
      <c r="E2004">
        <v>12493.39</v>
      </c>
    </row>
    <row r="2005" spans="4:5" x14ac:dyDescent="0.25">
      <c r="D2005" s="138">
        <v>42825</v>
      </c>
      <c r="E2005">
        <v>12406.69</v>
      </c>
    </row>
    <row r="2006" spans="4:5" x14ac:dyDescent="0.25">
      <c r="D2006" s="138">
        <v>42824</v>
      </c>
      <c r="E2006">
        <v>12404.41</v>
      </c>
    </row>
    <row r="2007" spans="4:5" x14ac:dyDescent="0.25">
      <c r="D2007" s="138">
        <v>42823</v>
      </c>
      <c r="E2007">
        <v>12363.95</v>
      </c>
    </row>
    <row r="2008" spans="4:5" x14ac:dyDescent="0.25">
      <c r="D2008" s="138">
        <v>42822</v>
      </c>
      <c r="E2008">
        <v>12305.77</v>
      </c>
    </row>
    <row r="2009" spans="4:5" x14ac:dyDescent="0.25">
      <c r="D2009" s="138">
        <v>42821</v>
      </c>
      <c r="E2009">
        <v>12230.63</v>
      </c>
    </row>
    <row r="2010" spans="4:5" x14ac:dyDescent="0.25">
      <c r="D2010" s="138">
        <v>42818</v>
      </c>
      <c r="E2010">
        <v>12314.98</v>
      </c>
    </row>
    <row r="2011" spans="4:5" x14ac:dyDescent="0.25">
      <c r="D2011" s="138">
        <v>42817</v>
      </c>
      <c r="E2011">
        <v>12283.35</v>
      </c>
    </row>
    <row r="2012" spans="4:5" x14ac:dyDescent="0.25">
      <c r="D2012" s="138">
        <v>42816</v>
      </c>
      <c r="E2012">
        <v>12207.85</v>
      </c>
    </row>
    <row r="2013" spans="4:5" x14ac:dyDescent="0.25">
      <c r="D2013" s="138">
        <v>42815</v>
      </c>
      <c r="E2013">
        <v>12330.92</v>
      </c>
    </row>
    <row r="2014" spans="4:5" x14ac:dyDescent="0.25">
      <c r="D2014" s="138">
        <v>42814</v>
      </c>
      <c r="E2014">
        <v>12338.14</v>
      </c>
    </row>
    <row r="2015" spans="4:5" x14ac:dyDescent="0.25">
      <c r="D2015" s="138">
        <v>42811</v>
      </c>
      <c r="E2015">
        <v>12383.04</v>
      </c>
    </row>
    <row r="2016" spans="4:5" x14ac:dyDescent="0.25">
      <c r="D2016" s="138">
        <v>42810</v>
      </c>
      <c r="E2016">
        <v>12374.48</v>
      </c>
    </row>
    <row r="2017" spans="4:5" x14ac:dyDescent="0.25">
      <c r="D2017" s="138">
        <v>42809</v>
      </c>
      <c r="E2017">
        <v>12278.23</v>
      </c>
    </row>
    <row r="2018" spans="4:5" x14ac:dyDescent="0.25">
      <c r="D2018" s="138">
        <v>42808</v>
      </c>
      <c r="E2018">
        <v>12281.22</v>
      </c>
    </row>
    <row r="2019" spans="4:5" x14ac:dyDescent="0.25">
      <c r="D2019" s="138">
        <v>42804</v>
      </c>
      <c r="E2019">
        <v>12066.4</v>
      </c>
    </row>
    <row r="2020" spans="4:5" x14ac:dyDescent="0.25">
      <c r="D2020" s="138">
        <v>42803</v>
      </c>
      <c r="E2020">
        <v>12056.17</v>
      </c>
    </row>
    <row r="2021" spans="4:5" x14ac:dyDescent="0.25">
      <c r="D2021" s="138">
        <v>42802</v>
      </c>
      <c r="E2021">
        <v>12050.77</v>
      </c>
    </row>
    <row r="2022" spans="4:5" x14ac:dyDescent="0.25">
      <c r="D2022" s="138">
        <v>42801</v>
      </c>
      <c r="E2022">
        <v>12081.34</v>
      </c>
    </row>
    <row r="2023" spans="4:5" x14ac:dyDescent="0.25">
      <c r="D2023" s="138">
        <v>42800</v>
      </c>
      <c r="E2023">
        <v>12103.68</v>
      </c>
    </row>
    <row r="2024" spans="4:5" x14ac:dyDescent="0.25">
      <c r="D2024" s="138">
        <v>42797</v>
      </c>
      <c r="E2024">
        <v>12014.7</v>
      </c>
    </row>
    <row r="2025" spans="4:5" x14ac:dyDescent="0.25">
      <c r="D2025" s="138">
        <v>42796</v>
      </c>
      <c r="E2025">
        <v>12017.63</v>
      </c>
    </row>
    <row r="2026" spans="4:5" x14ac:dyDescent="0.25">
      <c r="D2026" s="138">
        <v>42795</v>
      </c>
      <c r="E2026">
        <v>12079.8</v>
      </c>
    </row>
    <row r="2027" spans="4:5" x14ac:dyDescent="0.25">
      <c r="D2027" s="138">
        <v>42794</v>
      </c>
      <c r="E2027">
        <v>11990.44</v>
      </c>
    </row>
    <row r="2028" spans="4:5" x14ac:dyDescent="0.25">
      <c r="D2028" s="138">
        <v>42793</v>
      </c>
      <c r="E2028">
        <v>12009.8</v>
      </c>
    </row>
    <row r="2029" spans="4:5" x14ac:dyDescent="0.25">
      <c r="D2029" s="138">
        <v>42789</v>
      </c>
      <c r="E2029">
        <v>12067.61</v>
      </c>
    </row>
    <row r="2030" spans="4:5" x14ac:dyDescent="0.25">
      <c r="D2030" s="138">
        <v>42788</v>
      </c>
      <c r="E2030">
        <v>12050.54</v>
      </c>
    </row>
    <row r="2031" spans="4:5" x14ac:dyDescent="0.25">
      <c r="D2031" s="138">
        <v>42787</v>
      </c>
      <c r="E2031">
        <v>12024.88</v>
      </c>
    </row>
    <row r="2032" spans="4:5" x14ac:dyDescent="0.25">
      <c r="D2032" s="138">
        <v>42786</v>
      </c>
      <c r="E2032">
        <v>11986.21</v>
      </c>
    </row>
    <row r="2033" spans="4:5" x14ac:dyDescent="0.25">
      <c r="D2033" s="138">
        <v>42783</v>
      </c>
      <c r="E2033">
        <v>11908.56</v>
      </c>
    </row>
    <row r="2034" spans="4:5" x14ac:dyDescent="0.25">
      <c r="D2034" s="138">
        <v>42782</v>
      </c>
      <c r="E2034">
        <v>11849.55</v>
      </c>
    </row>
    <row r="2035" spans="4:5" x14ac:dyDescent="0.25">
      <c r="D2035" s="138">
        <v>42781</v>
      </c>
      <c r="E2035">
        <v>11776.57</v>
      </c>
    </row>
    <row r="2036" spans="4:5" x14ac:dyDescent="0.25">
      <c r="D2036" s="138">
        <v>42780</v>
      </c>
      <c r="E2036">
        <v>11865.43</v>
      </c>
    </row>
    <row r="2037" spans="4:5" x14ac:dyDescent="0.25">
      <c r="D2037" s="138">
        <v>42779</v>
      </c>
      <c r="E2037">
        <v>11882.38</v>
      </c>
    </row>
    <row r="2038" spans="4:5" x14ac:dyDescent="0.25">
      <c r="D2038" s="138">
        <v>42776</v>
      </c>
      <c r="E2038">
        <v>11866.82</v>
      </c>
    </row>
    <row r="2039" spans="4:5" x14ac:dyDescent="0.25">
      <c r="D2039" s="138">
        <v>42775</v>
      </c>
      <c r="E2039">
        <v>11846.42</v>
      </c>
    </row>
    <row r="2040" spans="4:5" x14ac:dyDescent="0.25">
      <c r="D2040" s="138">
        <v>42774</v>
      </c>
      <c r="E2040">
        <v>11833.8</v>
      </c>
    </row>
    <row r="2041" spans="4:5" x14ac:dyDescent="0.25">
      <c r="D2041" s="138">
        <v>42773</v>
      </c>
      <c r="E2041">
        <v>11832.78</v>
      </c>
    </row>
    <row r="2042" spans="4:5" x14ac:dyDescent="0.25">
      <c r="D2042" s="138">
        <v>42772</v>
      </c>
      <c r="E2042">
        <v>11874.73</v>
      </c>
    </row>
    <row r="2043" spans="4:5" x14ac:dyDescent="0.25">
      <c r="D2043" s="138">
        <v>42769</v>
      </c>
      <c r="E2043">
        <v>11793.62</v>
      </c>
    </row>
    <row r="2044" spans="4:5" x14ac:dyDescent="0.25">
      <c r="D2044" s="138">
        <v>42768</v>
      </c>
      <c r="E2044">
        <v>11784.61</v>
      </c>
    </row>
    <row r="2045" spans="4:5" x14ac:dyDescent="0.25">
      <c r="D2045" s="138">
        <v>42767</v>
      </c>
      <c r="E2045">
        <v>11758.63</v>
      </c>
    </row>
    <row r="2046" spans="4:5" x14ac:dyDescent="0.25">
      <c r="D2046" s="138">
        <v>42766</v>
      </c>
      <c r="E2046">
        <v>11548.15</v>
      </c>
    </row>
    <row r="2047" spans="4:5" x14ac:dyDescent="0.25">
      <c r="D2047" s="138">
        <v>42765</v>
      </c>
      <c r="E2047">
        <v>11644.53</v>
      </c>
    </row>
    <row r="2048" spans="4:5" x14ac:dyDescent="0.25">
      <c r="D2048" s="138">
        <v>42762</v>
      </c>
      <c r="E2048">
        <v>11656</v>
      </c>
    </row>
    <row r="2049" spans="4:5" x14ac:dyDescent="0.25">
      <c r="D2049" s="138">
        <v>42760</v>
      </c>
      <c r="E2049">
        <v>11604.09</v>
      </c>
    </row>
    <row r="2050" spans="4:5" x14ac:dyDescent="0.25">
      <c r="D2050" s="138">
        <v>42759</v>
      </c>
      <c r="E2050">
        <v>11432.83</v>
      </c>
    </row>
    <row r="2051" spans="4:5" x14ac:dyDescent="0.25">
      <c r="D2051" s="138">
        <v>42758</v>
      </c>
      <c r="E2051">
        <v>11319.09</v>
      </c>
    </row>
    <row r="2052" spans="4:5" x14ac:dyDescent="0.25">
      <c r="D2052" s="138">
        <v>42755</v>
      </c>
      <c r="E2052">
        <v>11260.99</v>
      </c>
    </row>
    <row r="2053" spans="4:5" x14ac:dyDescent="0.25">
      <c r="D2053" s="138">
        <v>42754</v>
      </c>
      <c r="E2053">
        <v>11376.62</v>
      </c>
    </row>
    <row r="2054" spans="4:5" x14ac:dyDescent="0.25">
      <c r="D2054" s="138">
        <v>42753</v>
      </c>
      <c r="E2054">
        <v>11352.22</v>
      </c>
    </row>
    <row r="2055" spans="4:5" x14ac:dyDescent="0.25">
      <c r="D2055" s="138">
        <v>42752</v>
      </c>
      <c r="E2055">
        <v>11326.62</v>
      </c>
    </row>
    <row r="2056" spans="4:5" x14ac:dyDescent="0.25">
      <c r="D2056" s="138">
        <v>42751</v>
      </c>
      <c r="E2056">
        <v>11346.57</v>
      </c>
    </row>
    <row r="2057" spans="4:5" x14ac:dyDescent="0.25">
      <c r="D2057" s="138">
        <v>42748</v>
      </c>
      <c r="E2057">
        <v>11329.78</v>
      </c>
    </row>
    <row r="2058" spans="4:5" x14ac:dyDescent="0.25">
      <c r="D2058" s="138">
        <v>42747</v>
      </c>
      <c r="E2058">
        <v>11339.04</v>
      </c>
    </row>
    <row r="2059" spans="4:5" x14ac:dyDescent="0.25">
      <c r="D2059" s="138">
        <v>42746</v>
      </c>
      <c r="E2059">
        <v>11303.19</v>
      </c>
    </row>
    <row r="2060" spans="4:5" x14ac:dyDescent="0.25">
      <c r="D2060" s="138">
        <v>42745</v>
      </c>
      <c r="E2060">
        <v>11179.04</v>
      </c>
    </row>
    <row r="2061" spans="4:5" x14ac:dyDescent="0.25">
      <c r="D2061" s="138">
        <v>42744</v>
      </c>
      <c r="E2061">
        <v>11108.2</v>
      </c>
    </row>
    <row r="2062" spans="4:5" x14ac:dyDescent="0.25">
      <c r="D2062" s="138">
        <v>42741</v>
      </c>
      <c r="E2062">
        <v>11118.62</v>
      </c>
    </row>
    <row r="2063" spans="4:5" x14ac:dyDescent="0.25">
      <c r="D2063" s="138">
        <v>42740</v>
      </c>
      <c r="E2063">
        <v>11159.12</v>
      </c>
    </row>
    <row r="2064" spans="4:5" x14ac:dyDescent="0.25">
      <c r="D2064" s="138">
        <v>42739</v>
      </c>
      <c r="E2064">
        <v>11046.76</v>
      </c>
    </row>
    <row r="2065" spans="4:5" x14ac:dyDescent="0.25">
      <c r="D2065" s="138">
        <v>42738</v>
      </c>
      <c r="E2065">
        <v>11049.08</v>
      </c>
    </row>
    <row r="2066" spans="4:5" x14ac:dyDescent="0.25">
      <c r="D2066" s="138">
        <v>42737</v>
      </c>
      <c r="E2066">
        <v>11031.91</v>
      </c>
    </row>
    <row r="2067" spans="4:5" x14ac:dyDescent="0.25">
      <c r="D2067" s="138">
        <v>42734</v>
      </c>
      <c r="E2067">
        <v>11040.41</v>
      </c>
    </row>
    <row r="2068" spans="4:5" x14ac:dyDescent="0.25">
      <c r="D2068" s="138">
        <v>42733</v>
      </c>
      <c r="E2068">
        <v>10929.53</v>
      </c>
    </row>
    <row r="2069" spans="4:5" x14ac:dyDescent="0.25">
      <c r="D2069" s="138">
        <v>42732</v>
      </c>
      <c r="E2069">
        <v>10836.85</v>
      </c>
    </row>
    <row r="2070" spans="4:5" x14ac:dyDescent="0.25">
      <c r="D2070" s="138">
        <v>42731</v>
      </c>
      <c r="E2070">
        <v>10834.12</v>
      </c>
    </row>
    <row r="2071" spans="4:5" x14ac:dyDescent="0.25">
      <c r="D2071" s="138">
        <v>42730</v>
      </c>
      <c r="E2071">
        <v>10666.06</v>
      </c>
    </row>
    <row r="2072" spans="4:5" x14ac:dyDescent="0.25">
      <c r="D2072" s="138">
        <v>42727</v>
      </c>
      <c r="E2072">
        <v>10770.6</v>
      </c>
    </row>
    <row r="2073" spans="4:5" x14ac:dyDescent="0.25">
      <c r="D2073" s="138">
        <v>42726</v>
      </c>
      <c r="E2073">
        <v>10761.65</v>
      </c>
    </row>
    <row r="2074" spans="4:5" x14ac:dyDescent="0.25">
      <c r="D2074" s="138">
        <v>42725</v>
      </c>
      <c r="E2074">
        <v>10872.49</v>
      </c>
    </row>
    <row r="2075" spans="4:5" x14ac:dyDescent="0.25">
      <c r="D2075" s="138">
        <v>42724</v>
      </c>
      <c r="E2075">
        <v>10900.96</v>
      </c>
    </row>
    <row r="2076" spans="4:5" x14ac:dyDescent="0.25">
      <c r="D2076" s="138">
        <v>42723</v>
      </c>
      <c r="E2076">
        <v>10930.55</v>
      </c>
    </row>
    <row r="2077" spans="4:5" x14ac:dyDescent="0.25">
      <c r="D2077" s="138">
        <v>42720</v>
      </c>
      <c r="E2077">
        <v>10977.91</v>
      </c>
    </row>
    <row r="2078" spans="4:5" x14ac:dyDescent="0.25">
      <c r="D2078" s="138">
        <v>42719</v>
      </c>
      <c r="E2078">
        <v>10997.01</v>
      </c>
    </row>
    <row r="2079" spans="4:5" x14ac:dyDescent="0.25">
      <c r="D2079" s="138">
        <v>42718</v>
      </c>
      <c r="E2079">
        <v>11035.88</v>
      </c>
    </row>
    <row r="2080" spans="4:5" x14ac:dyDescent="0.25">
      <c r="D2080" s="138">
        <v>42717</v>
      </c>
      <c r="E2080">
        <v>11088.99</v>
      </c>
    </row>
    <row r="2081" spans="4:5" x14ac:dyDescent="0.25">
      <c r="D2081" s="138">
        <v>42716</v>
      </c>
      <c r="E2081">
        <v>11020.15</v>
      </c>
    </row>
    <row r="2082" spans="4:5" x14ac:dyDescent="0.25">
      <c r="D2082" s="138">
        <v>42713</v>
      </c>
      <c r="E2082">
        <v>11142.82</v>
      </c>
    </row>
    <row r="2083" spans="4:5" x14ac:dyDescent="0.25">
      <c r="D2083" s="138">
        <v>42712</v>
      </c>
      <c r="E2083">
        <v>11122.75</v>
      </c>
    </row>
    <row r="2084" spans="4:5" x14ac:dyDescent="0.25">
      <c r="D2084" s="138">
        <v>42711</v>
      </c>
      <c r="E2084">
        <v>10927.43</v>
      </c>
    </row>
    <row r="2085" spans="4:5" x14ac:dyDescent="0.25">
      <c r="D2085" s="138">
        <v>42710</v>
      </c>
      <c r="E2085">
        <v>10982.89</v>
      </c>
    </row>
    <row r="2086" spans="4:5" x14ac:dyDescent="0.25">
      <c r="D2086" s="138">
        <v>42709</v>
      </c>
      <c r="E2086">
        <v>10963.49</v>
      </c>
    </row>
    <row r="2087" spans="4:5" x14ac:dyDescent="0.25">
      <c r="D2087" s="138">
        <v>42706</v>
      </c>
      <c r="E2087">
        <v>10906.86</v>
      </c>
    </row>
    <row r="2088" spans="4:5" x14ac:dyDescent="0.25">
      <c r="D2088" s="138">
        <v>42705</v>
      </c>
      <c r="E2088">
        <v>11050</v>
      </c>
    </row>
    <row r="2089" spans="4:5" x14ac:dyDescent="0.25">
      <c r="D2089" s="138">
        <v>42704</v>
      </c>
      <c r="E2089">
        <v>11092.59</v>
      </c>
    </row>
    <row r="2090" spans="4:5" x14ac:dyDescent="0.25">
      <c r="D2090" s="138">
        <v>42703</v>
      </c>
      <c r="E2090">
        <v>10981.54</v>
      </c>
    </row>
    <row r="2091" spans="4:5" x14ac:dyDescent="0.25">
      <c r="D2091" s="138">
        <v>42702</v>
      </c>
      <c r="E2091">
        <v>10960.97</v>
      </c>
    </row>
    <row r="2092" spans="4:5" x14ac:dyDescent="0.25">
      <c r="D2092" s="138">
        <v>42699</v>
      </c>
      <c r="E2092">
        <v>10943.99</v>
      </c>
    </row>
    <row r="2093" spans="4:5" x14ac:dyDescent="0.25">
      <c r="D2093" s="138">
        <v>42698</v>
      </c>
      <c r="E2093">
        <v>10743.28</v>
      </c>
    </row>
    <row r="2094" spans="4:5" x14ac:dyDescent="0.25">
      <c r="D2094" s="138">
        <v>42697</v>
      </c>
      <c r="E2094">
        <v>10834.59</v>
      </c>
    </row>
    <row r="2095" spans="4:5" x14ac:dyDescent="0.25">
      <c r="D2095" s="138">
        <v>42696</v>
      </c>
      <c r="E2095">
        <v>10792.82</v>
      </c>
    </row>
    <row r="2096" spans="4:5" x14ac:dyDescent="0.25">
      <c r="D2096" s="138">
        <v>42695</v>
      </c>
      <c r="E2096">
        <v>10694.09</v>
      </c>
    </row>
    <row r="2097" spans="4:5" x14ac:dyDescent="0.25">
      <c r="D2097" s="138">
        <v>42692</v>
      </c>
      <c r="E2097">
        <v>10889.64</v>
      </c>
    </row>
    <row r="2098" spans="4:5" x14ac:dyDescent="0.25">
      <c r="D2098" s="138">
        <v>42691</v>
      </c>
      <c r="E2098">
        <v>10897.55</v>
      </c>
    </row>
    <row r="2099" spans="4:5" x14ac:dyDescent="0.25">
      <c r="D2099" s="138">
        <v>42690</v>
      </c>
      <c r="E2099">
        <v>10940.23</v>
      </c>
    </row>
    <row r="2100" spans="4:5" x14ac:dyDescent="0.25">
      <c r="D2100" s="138">
        <v>42689</v>
      </c>
      <c r="E2100">
        <v>10935.99</v>
      </c>
    </row>
    <row r="2101" spans="4:5" x14ac:dyDescent="0.25">
      <c r="D2101" s="138">
        <v>42685</v>
      </c>
      <c r="E2101">
        <v>11189.3</v>
      </c>
    </row>
    <row r="2102" spans="4:5" x14ac:dyDescent="0.25">
      <c r="D2102" s="138">
        <v>42684</v>
      </c>
      <c r="E2102">
        <v>11498.79</v>
      </c>
    </row>
    <row r="2103" spans="4:5" x14ac:dyDescent="0.25">
      <c r="D2103" s="138">
        <v>42683</v>
      </c>
      <c r="E2103">
        <v>11372.35</v>
      </c>
    </row>
    <row r="2104" spans="4:5" x14ac:dyDescent="0.25">
      <c r="D2104" s="138">
        <v>42682</v>
      </c>
      <c r="E2104">
        <v>11522.76</v>
      </c>
    </row>
    <row r="2105" spans="4:5" x14ac:dyDescent="0.25">
      <c r="D2105" s="138">
        <v>42681</v>
      </c>
      <c r="E2105">
        <v>11460.08</v>
      </c>
    </row>
    <row r="2106" spans="4:5" x14ac:dyDescent="0.25">
      <c r="D2106" s="138">
        <v>42678</v>
      </c>
      <c r="E2106">
        <v>11374.71</v>
      </c>
    </row>
    <row r="2107" spans="4:5" x14ac:dyDescent="0.25">
      <c r="D2107" s="138">
        <v>42677</v>
      </c>
      <c r="E2107">
        <v>11443.72</v>
      </c>
    </row>
    <row r="2108" spans="4:5" x14ac:dyDescent="0.25">
      <c r="D2108" s="138">
        <v>42676</v>
      </c>
      <c r="E2108">
        <v>11479.94</v>
      </c>
    </row>
    <row r="2109" spans="4:5" x14ac:dyDescent="0.25">
      <c r="D2109" s="138">
        <v>42675</v>
      </c>
      <c r="E2109">
        <v>11631.33</v>
      </c>
    </row>
    <row r="2110" spans="4:5" x14ac:dyDescent="0.25">
      <c r="D2110" s="138">
        <v>42673</v>
      </c>
      <c r="E2110">
        <v>11628.32</v>
      </c>
    </row>
    <row r="2111" spans="4:5" x14ac:dyDescent="0.25">
      <c r="D2111" s="138">
        <v>42671</v>
      </c>
      <c r="E2111">
        <v>11644.89</v>
      </c>
    </row>
    <row r="2112" spans="4:5" x14ac:dyDescent="0.25">
      <c r="D2112" s="138">
        <v>42670</v>
      </c>
      <c r="E2112">
        <v>11614.18</v>
      </c>
    </row>
    <row r="2113" spans="4:5" x14ac:dyDescent="0.25">
      <c r="D2113" s="138">
        <v>42669</v>
      </c>
      <c r="E2113">
        <v>11612.99</v>
      </c>
    </row>
    <row r="2114" spans="4:5" x14ac:dyDescent="0.25">
      <c r="D2114" s="138">
        <v>42668</v>
      </c>
      <c r="E2114">
        <v>11715.45</v>
      </c>
    </row>
    <row r="2115" spans="4:5" x14ac:dyDescent="0.25">
      <c r="D2115" s="138">
        <v>42667</v>
      </c>
      <c r="E2115">
        <v>11739.24</v>
      </c>
    </row>
    <row r="2116" spans="4:5" x14ac:dyDescent="0.25">
      <c r="D2116" s="138">
        <v>42664</v>
      </c>
      <c r="E2116">
        <v>11716.57</v>
      </c>
    </row>
    <row r="2117" spans="4:5" x14ac:dyDescent="0.25">
      <c r="D2117" s="138">
        <v>42663</v>
      </c>
      <c r="E2117">
        <v>11717.04</v>
      </c>
    </row>
    <row r="2118" spans="4:5" x14ac:dyDescent="0.25">
      <c r="D2118" s="138">
        <v>42662</v>
      </c>
      <c r="E2118">
        <v>11662.81</v>
      </c>
    </row>
    <row r="2119" spans="4:5" x14ac:dyDescent="0.25">
      <c r="D2119" s="138">
        <v>42661</v>
      </c>
      <c r="E2119">
        <v>11688.13</v>
      </c>
    </row>
    <row r="2120" spans="4:5" x14ac:dyDescent="0.25">
      <c r="D2120" s="138">
        <v>42660</v>
      </c>
      <c r="E2120">
        <v>11475.97</v>
      </c>
    </row>
    <row r="2121" spans="4:5" x14ac:dyDescent="0.25">
      <c r="D2121" s="138">
        <v>42657</v>
      </c>
      <c r="E2121">
        <v>11560.81</v>
      </c>
    </row>
    <row r="2122" spans="4:5" x14ac:dyDescent="0.25">
      <c r="D2122" s="138">
        <v>42656</v>
      </c>
      <c r="E2122">
        <v>11547.3</v>
      </c>
    </row>
    <row r="2123" spans="4:5" x14ac:dyDescent="0.25">
      <c r="D2123" s="138">
        <v>42653</v>
      </c>
      <c r="E2123">
        <v>11729.75</v>
      </c>
    </row>
    <row r="2124" spans="4:5" x14ac:dyDescent="0.25">
      <c r="D2124" s="138">
        <v>42650</v>
      </c>
      <c r="E2124">
        <v>11714.65</v>
      </c>
    </row>
    <row r="2125" spans="4:5" x14ac:dyDescent="0.25">
      <c r="D2125" s="138">
        <v>42649</v>
      </c>
      <c r="E2125">
        <v>11730.75</v>
      </c>
    </row>
    <row r="2126" spans="4:5" x14ac:dyDescent="0.25">
      <c r="D2126" s="138">
        <v>42648</v>
      </c>
      <c r="E2126">
        <v>11777.1</v>
      </c>
    </row>
    <row r="2127" spans="4:5" x14ac:dyDescent="0.25">
      <c r="D2127" s="138">
        <v>42647</v>
      </c>
      <c r="E2127">
        <v>11811.04</v>
      </c>
    </row>
    <row r="2128" spans="4:5" x14ac:dyDescent="0.25">
      <c r="D2128" s="138">
        <v>42646</v>
      </c>
      <c r="E2128">
        <v>11769.16</v>
      </c>
    </row>
    <row r="2129" spans="4:5" x14ac:dyDescent="0.25">
      <c r="D2129" s="138">
        <v>42643</v>
      </c>
      <c r="E2129">
        <v>11598.22</v>
      </c>
    </row>
    <row r="2130" spans="4:5" x14ac:dyDescent="0.25">
      <c r="D2130" s="138">
        <v>42642</v>
      </c>
      <c r="E2130">
        <v>11571.4</v>
      </c>
    </row>
    <row r="2131" spans="4:5" x14ac:dyDescent="0.25">
      <c r="D2131" s="138">
        <v>42641</v>
      </c>
      <c r="E2131">
        <v>11778.71</v>
      </c>
    </row>
    <row r="2132" spans="4:5" x14ac:dyDescent="0.25">
      <c r="D2132" s="138">
        <v>42640</v>
      </c>
      <c r="E2132">
        <v>11726.49</v>
      </c>
    </row>
    <row r="2133" spans="4:5" x14ac:dyDescent="0.25">
      <c r="D2133" s="138">
        <v>42639</v>
      </c>
      <c r="E2133">
        <v>11748.91</v>
      </c>
    </row>
    <row r="2134" spans="4:5" x14ac:dyDescent="0.25">
      <c r="D2134" s="138">
        <v>42636</v>
      </c>
      <c r="E2134">
        <v>11895.07</v>
      </c>
    </row>
    <row r="2135" spans="4:5" x14ac:dyDescent="0.25">
      <c r="D2135" s="138">
        <v>42635</v>
      </c>
      <c r="E2135">
        <v>11943.44</v>
      </c>
    </row>
    <row r="2136" spans="4:5" x14ac:dyDescent="0.25">
      <c r="D2136" s="138">
        <v>42634</v>
      </c>
      <c r="E2136">
        <v>11821.52</v>
      </c>
    </row>
    <row r="2137" spans="4:5" x14ac:dyDescent="0.25">
      <c r="D2137" s="138">
        <v>42633</v>
      </c>
      <c r="E2137">
        <v>11819.83</v>
      </c>
    </row>
    <row r="2138" spans="4:5" x14ac:dyDescent="0.25">
      <c r="D2138" s="138">
        <v>42632</v>
      </c>
      <c r="E2138">
        <v>11863.61</v>
      </c>
    </row>
    <row r="2139" spans="4:5" x14ac:dyDescent="0.25">
      <c r="D2139" s="138">
        <v>42629</v>
      </c>
      <c r="E2139">
        <v>11825.12</v>
      </c>
    </row>
    <row r="2140" spans="4:5" x14ac:dyDescent="0.25">
      <c r="D2140" s="138">
        <v>42628</v>
      </c>
      <c r="E2140">
        <v>11774.9</v>
      </c>
    </row>
    <row r="2141" spans="4:5" x14ac:dyDescent="0.25">
      <c r="D2141" s="138">
        <v>42627</v>
      </c>
      <c r="E2141">
        <v>11751.93</v>
      </c>
    </row>
    <row r="2142" spans="4:5" x14ac:dyDescent="0.25">
      <c r="D2142" s="138">
        <v>42625</v>
      </c>
      <c r="E2142">
        <v>11737</v>
      </c>
    </row>
    <row r="2143" spans="4:5" x14ac:dyDescent="0.25">
      <c r="D2143" s="138">
        <v>42622</v>
      </c>
      <c r="E2143">
        <v>11940.12</v>
      </c>
    </row>
    <row r="2144" spans="4:5" x14ac:dyDescent="0.25">
      <c r="D2144" s="138">
        <v>42621</v>
      </c>
      <c r="E2144">
        <v>12055.6</v>
      </c>
    </row>
    <row r="2145" spans="4:5" x14ac:dyDescent="0.25">
      <c r="D2145" s="138">
        <v>42620</v>
      </c>
      <c r="E2145">
        <v>12005.43</v>
      </c>
    </row>
    <row r="2146" spans="4:5" x14ac:dyDescent="0.25">
      <c r="D2146" s="138">
        <v>42619</v>
      </c>
      <c r="E2146">
        <v>12037.72</v>
      </c>
    </row>
    <row r="2147" spans="4:5" x14ac:dyDescent="0.25">
      <c r="D2147" s="138">
        <v>42615</v>
      </c>
      <c r="E2147">
        <v>11857.76</v>
      </c>
    </row>
    <row r="2148" spans="4:5" x14ac:dyDescent="0.25">
      <c r="D2148" s="138">
        <v>42614</v>
      </c>
      <c r="E2148">
        <v>11810.69</v>
      </c>
    </row>
    <row r="2149" spans="4:5" x14ac:dyDescent="0.25">
      <c r="D2149" s="138">
        <v>42613</v>
      </c>
      <c r="E2149">
        <v>11826.19</v>
      </c>
    </row>
    <row r="2150" spans="4:5" x14ac:dyDescent="0.25">
      <c r="D2150" s="138">
        <v>42612</v>
      </c>
      <c r="E2150">
        <v>11766.04</v>
      </c>
    </row>
    <row r="2151" spans="4:5" x14ac:dyDescent="0.25">
      <c r="D2151" s="138">
        <v>42611</v>
      </c>
      <c r="E2151">
        <v>11581.83</v>
      </c>
    </row>
    <row r="2152" spans="4:5" x14ac:dyDescent="0.25">
      <c r="D2152" s="138">
        <v>42608</v>
      </c>
      <c r="E2152">
        <v>11534.92</v>
      </c>
    </row>
    <row r="2153" spans="4:5" x14ac:dyDescent="0.25">
      <c r="D2153" s="138">
        <v>42607</v>
      </c>
      <c r="E2153">
        <v>11561.34</v>
      </c>
    </row>
    <row r="2154" spans="4:5" x14ac:dyDescent="0.25">
      <c r="D2154" s="138">
        <v>42606</v>
      </c>
      <c r="E2154">
        <v>11639.48</v>
      </c>
    </row>
    <row r="2155" spans="4:5" x14ac:dyDescent="0.25">
      <c r="D2155" s="138">
        <v>42605</v>
      </c>
      <c r="E2155">
        <v>11615.7</v>
      </c>
    </row>
    <row r="2156" spans="4:5" x14ac:dyDescent="0.25">
      <c r="D2156" s="138">
        <v>42604</v>
      </c>
      <c r="E2156">
        <v>11611.02</v>
      </c>
    </row>
    <row r="2157" spans="4:5" x14ac:dyDescent="0.25">
      <c r="D2157" s="138">
        <v>42601</v>
      </c>
      <c r="E2157">
        <v>11661.82</v>
      </c>
    </row>
    <row r="2158" spans="4:5" x14ac:dyDescent="0.25">
      <c r="D2158" s="138">
        <v>42600</v>
      </c>
      <c r="E2158">
        <v>11670.37</v>
      </c>
    </row>
    <row r="2159" spans="4:5" x14ac:dyDescent="0.25">
      <c r="D2159" s="138">
        <v>42599</v>
      </c>
      <c r="E2159">
        <v>11598.72</v>
      </c>
    </row>
    <row r="2160" spans="4:5" x14ac:dyDescent="0.25">
      <c r="D2160" s="138">
        <v>42598</v>
      </c>
      <c r="E2160">
        <v>11623.61</v>
      </c>
    </row>
    <row r="2161" spans="4:5" x14ac:dyDescent="0.25">
      <c r="D2161" s="138">
        <v>42594</v>
      </c>
      <c r="E2161">
        <v>11663.43</v>
      </c>
    </row>
    <row r="2162" spans="4:5" x14ac:dyDescent="0.25">
      <c r="D2162" s="138">
        <v>42593</v>
      </c>
      <c r="E2162">
        <v>11555.84</v>
      </c>
    </row>
    <row r="2163" spans="4:5" x14ac:dyDescent="0.25">
      <c r="D2163" s="138">
        <v>42592</v>
      </c>
      <c r="E2163">
        <v>11532.49</v>
      </c>
    </row>
    <row r="2164" spans="4:5" x14ac:dyDescent="0.25">
      <c r="D2164" s="138">
        <v>42591</v>
      </c>
      <c r="E2164">
        <v>11669.7</v>
      </c>
    </row>
    <row r="2165" spans="4:5" x14ac:dyDescent="0.25">
      <c r="D2165" s="138">
        <v>42590</v>
      </c>
      <c r="E2165">
        <v>11713.58</v>
      </c>
    </row>
    <row r="2166" spans="4:5" x14ac:dyDescent="0.25">
      <c r="D2166" s="138">
        <v>42587</v>
      </c>
      <c r="E2166">
        <v>11675.68</v>
      </c>
    </row>
    <row r="2167" spans="4:5" x14ac:dyDescent="0.25">
      <c r="D2167" s="138">
        <v>42586</v>
      </c>
      <c r="E2167">
        <v>11498.13</v>
      </c>
    </row>
    <row r="2168" spans="4:5" x14ac:dyDescent="0.25">
      <c r="D2168" s="138">
        <v>42585</v>
      </c>
      <c r="E2168">
        <v>11489.74</v>
      </c>
    </row>
    <row r="2169" spans="4:5" x14ac:dyDescent="0.25">
      <c r="D2169" s="138">
        <v>42584</v>
      </c>
      <c r="E2169">
        <v>11594.65</v>
      </c>
    </row>
    <row r="2170" spans="4:5" x14ac:dyDescent="0.25">
      <c r="D2170" s="138">
        <v>42583</v>
      </c>
      <c r="E2170">
        <v>11612.19</v>
      </c>
    </row>
    <row r="2171" spans="4:5" x14ac:dyDescent="0.25">
      <c r="D2171" s="138">
        <v>42580</v>
      </c>
      <c r="E2171">
        <v>11614.8</v>
      </c>
    </row>
    <row r="2172" spans="4:5" x14ac:dyDescent="0.25">
      <c r="D2172" s="138">
        <v>42579</v>
      </c>
      <c r="E2172">
        <v>11652.18</v>
      </c>
    </row>
    <row r="2173" spans="4:5" x14ac:dyDescent="0.25">
      <c r="D2173" s="138">
        <v>42578</v>
      </c>
      <c r="E2173">
        <v>11579.64</v>
      </c>
    </row>
    <row r="2174" spans="4:5" x14ac:dyDescent="0.25">
      <c r="D2174" s="138">
        <v>42577</v>
      </c>
      <c r="E2174">
        <v>11545.78</v>
      </c>
    </row>
    <row r="2175" spans="4:5" x14ac:dyDescent="0.25">
      <c r="D2175" s="138">
        <v>42576</v>
      </c>
      <c r="E2175">
        <v>11606.29</v>
      </c>
    </row>
    <row r="2176" spans="4:5" x14ac:dyDescent="0.25">
      <c r="D2176" s="138">
        <v>42573</v>
      </c>
      <c r="E2176">
        <v>11477.47</v>
      </c>
    </row>
    <row r="2177" spans="4:5" x14ac:dyDescent="0.25">
      <c r="D2177" s="138">
        <v>42572</v>
      </c>
      <c r="E2177">
        <v>11435.64</v>
      </c>
    </row>
    <row r="2178" spans="4:5" x14ac:dyDescent="0.25">
      <c r="D2178" s="138">
        <v>42571</v>
      </c>
      <c r="E2178">
        <v>11508.07</v>
      </c>
    </row>
    <row r="2179" spans="4:5" x14ac:dyDescent="0.25">
      <c r="D2179" s="138">
        <v>42570</v>
      </c>
      <c r="E2179">
        <v>11457.95</v>
      </c>
    </row>
    <row r="2180" spans="4:5" x14ac:dyDescent="0.25">
      <c r="D2180" s="138">
        <v>42569</v>
      </c>
      <c r="E2180">
        <v>11431.25</v>
      </c>
    </row>
    <row r="2181" spans="4:5" x14ac:dyDescent="0.25">
      <c r="D2181" s="138">
        <v>42566</v>
      </c>
      <c r="E2181">
        <v>11474.04</v>
      </c>
    </row>
    <row r="2182" spans="4:5" x14ac:dyDescent="0.25">
      <c r="D2182" s="138">
        <v>42565</v>
      </c>
      <c r="E2182">
        <v>11497.65</v>
      </c>
    </row>
    <row r="2183" spans="4:5" x14ac:dyDescent="0.25">
      <c r="D2183" s="138">
        <v>42564</v>
      </c>
      <c r="E2183">
        <v>11436.09</v>
      </c>
    </row>
    <row r="2184" spans="4:5" x14ac:dyDescent="0.25">
      <c r="D2184" s="138">
        <v>42563</v>
      </c>
      <c r="E2184">
        <v>11438.19</v>
      </c>
    </row>
    <row r="2185" spans="4:5" x14ac:dyDescent="0.25">
      <c r="D2185" s="138">
        <v>42562</v>
      </c>
      <c r="E2185">
        <v>11366.82</v>
      </c>
    </row>
    <row r="2186" spans="4:5" x14ac:dyDescent="0.25">
      <c r="D2186" s="138">
        <v>42559</v>
      </c>
      <c r="E2186">
        <v>11172.39</v>
      </c>
    </row>
    <row r="2187" spans="4:5" x14ac:dyDescent="0.25">
      <c r="D2187" s="138">
        <v>42558</v>
      </c>
      <c r="E2187">
        <v>11192.11</v>
      </c>
    </row>
    <row r="2188" spans="4:5" x14ac:dyDescent="0.25">
      <c r="D2188" s="138">
        <v>42556</v>
      </c>
      <c r="E2188">
        <v>11186.41</v>
      </c>
    </row>
    <row r="2189" spans="4:5" x14ac:dyDescent="0.25">
      <c r="D2189" s="138">
        <v>42555</v>
      </c>
      <c r="E2189">
        <v>11233.09</v>
      </c>
    </row>
    <row r="2190" spans="4:5" x14ac:dyDescent="0.25">
      <c r="D2190" s="138">
        <v>42552</v>
      </c>
      <c r="E2190">
        <v>11175.85</v>
      </c>
    </row>
    <row r="2191" spans="4:5" x14ac:dyDescent="0.25">
      <c r="D2191" s="138">
        <v>42551</v>
      </c>
      <c r="E2191">
        <v>11121.39</v>
      </c>
    </row>
    <row r="2192" spans="4:5" x14ac:dyDescent="0.25">
      <c r="D2192" s="138">
        <v>42550</v>
      </c>
      <c r="E2192">
        <v>11009.02</v>
      </c>
    </row>
    <row r="2193" spans="4:5" x14ac:dyDescent="0.25">
      <c r="D2193" s="138">
        <v>42549</v>
      </c>
      <c r="E2193">
        <v>10899.91</v>
      </c>
    </row>
    <row r="2194" spans="4:5" x14ac:dyDescent="0.25">
      <c r="D2194" s="138">
        <v>42548</v>
      </c>
      <c r="E2194">
        <v>10855.5</v>
      </c>
    </row>
    <row r="2195" spans="4:5" x14ac:dyDescent="0.25">
      <c r="D2195" s="138">
        <v>42545</v>
      </c>
      <c r="E2195">
        <v>10847.29</v>
      </c>
    </row>
    <row r="2196" spans="4:5" x14ac:dyDescent="0.25">
      <c r="D2196" s="138">
        <v>42544</v>
      </c>
      <c r="E2196">
        <v>11091.16</v>
      </c>
    </row>
    <row r="2197" spans="4:5" x14ac:dyDescent="0.25">
      <c r="D2197" s="138">
        <v>42543</v>
      </c>
      <c r="E2197">
        <v>11000.82</v>
      </c>
    </row>
    <row r="2198" spans="4:5" x14ac:dyDescent="0.25">
      <c r="D2198" s="138">
        <v>42542</v>
      </c>
      <c r="E2198">
        <v>11020.11</v>
      </c>
    </row>
    <row r="2199" spans="4:5" x14ac:dyDescent="0.25">
      <c r="D2199" s="138">
        <v>42541</v>
      </c>
      <c r="E2199">
        <v>11045.03</v>
      </c>
    </row>
    <row r="2200" spans="4:5" x14ac:dyDescent="0.25">
      <c r="D2200" s="138">
        <v>42538</v>
      </c>
      <c r="E2200">
        <v>10953.44</v>
      </c>
    </row>
    <row r="2201" spans="4:5" x14ac:dyDescent="0.25">
      <c r="D2201" s="138">
        <v>42537</v>
      </c>
      <c r="E2201">
        <v>10913.97</v>
      </c>
    </row>
    <row r="2202" spans="4:5" x14ac:dyDescent="0.25">
      <c r="D2202" s="138">
        <v>42536</v>
      </c>
      <c r="E2202">
        <v>10990.64</v>
      </c>
    </row>
    <row r="2203" spans="4:5" x14ac:dyDescent="0.25">
      <c r="D2203" s="138">
        <v>42535</v>
      </c>
      <c r="E2203">
        <v>10859.76</v>
      </c>
    </row>
    <row r="2204" spans="4:5" x14ac:dyDescent="0.25">
      <c r="D2204" s="138">
        <v>42534</v>
      </c>
      <c r="E2204">
        <v>10862.06</v>
      </c>
    </row>
    <row r="2205" spans="4:5" x14ac:dyDescent="0.25">
      <c r="D2205" s="138">
        <v>42531</v>
      </c>
      <c r="E2205">
        <v>10941.7</v>
      </c>
    </row>
    <row r="2206" spans="4:5" x14ac:dyDescent="0.25">
      <c r="D2206" s="138">
        <v>42530</v>
      </c>
      <c r="E2206">
        <v>10986.64</v>
      </c>
    </row>
    <row r="2207" spans="4:5" x14ac:dyDescent="0.25">
      <c r="D2207" s="138">
        <v>42529</v>
      </c>
      <c r="E2207">
        <v>11068.75</v>
      </c>
    </row>
    <row r="2208" spans="4:5" x14ac:dyDescent="0.25">
      <c r="D2208" s="138">
        <v>42528</v>
      </c>
      <c r="E2208">
        <v>11059.93</v>
      </c>
    </row>
    <row r="2209" spans="4:5" x14ac:dyDescent="0.25">
      <c r="D2209" s="138">
        <v>42527</v>
      </c>
      <c r="E2209">
        <v>10972.45</v>
      </c>
    </row>
    <row r="2210" spans="4:5" x14ac:dyDescent="0.25">
      <c r="D2210" s="138">
        <v>42524</v>
      </c>
      <c r="E2210">
        <v>10992.21</v>
      </c>
    </row>
    <row r="2211" spans="4:5" x14ac:dyDescent="0.25">
      <c r="D2211" s="138">
        <v>42523</v>
      </c>
      <c r="E2211">
        <v>10986.77</v>
      </c>
    </row>
    <row r="2212" spans="4:5" x14ac:dyDescent="0.25">
      <c r="D2212" s="138">
        <v>42522</v>
      </c>
      <c r="E2212">
        <v>10934.62</v>
      </c>
    </row>
    <row r="2213" spans="4:5" x14ac:dyDescent="0.25">
      <c r="D2213" s="138">
        <v>42521</v>
      </c>
      <c r="E2213">
        <v>10908.07</v>
      </c>
    </row>
    <row r="2214" spans="4:5" x14ac:dyDescent="0.25">
      <c r="D2214" s="138">
        <v>42520</v>
      </c>
      <c r="E2214">
        <v>10932.7</v>
      </c>
    </row>
    <row r="2215" spans="4:5" x14ac:dyDescent="0.25">
      <c r="D2215" s="138">
        <v>42517</v>
      </c>
      <c r="E2215">
        <v>10884.88</v>
      </c>
    </row>
    <row r="2216" spans="4:5" x14ac:dyDescent="0.25">
      <c r="D2216" s="138">
        <v>42516</v>
      </c>
      <c r="E2216">
        <v>10768.78</v>
      </c>
    </row>
    <row r="2217" spans="4:5" x14ac:dyDescent="0.25">
      <c r="D2217" s="138">
        <v>42515</v>
      </c>
      <c r="E2217">
        <v>10588.92</v>
      </c>
    </row>
    <row r="2218" spans="4:5" x14ac:dyDescent="0.25">
      <c r="D2218" s="138">
        <v>42514</v>
      </c>
      <c r="E2218">
        <v>10340.65</v>
      </c>
    </row>
    <row r="2219" spans="4:5" x14ac:dyDescent="0.25">
      <c r="D2219" s="138">
        <v>42513</v>
      </c>
      <c r="E2219">
        <v>10316.91</v>
      </c>
    </row>
    <row r="2220" spans="4:5" x14ac:dyDescent="0.25">
      <c r="D2220" s="138">
        <v>42510</v>
      </c>
      <c r="E2220">
        <v>10341.790000000001</v>
      </c>
    </row>
    <row r="2221" spans="4:5" x14ac:dyDescent="0.25">
      <c r="D2221" s="138">
        <v>42509</v>
      </c>
      <c r="E2221">
        <v>10386.75</v>
      </c>
    </row>
    <row r="2222" spans="4:5" x14ac:dyDescent="0.25">
      <c r="D2222" s="138">
        <v>42508</v>
      </c>
      <c r="E2222">
        <v>10502.51</v>
      </c>
    </row>
    <row r="2223" spans="4:5" x14ac:dyDescent="0.25">
      <c r="D2223" s="138">
        <v>42507</v>
      </c>
      <c r="E2223">
        <v>10530.03</v>
      </c>
    </row>
    <row r="2224" spans="4:5" x14ac:dyDescent="0.25">
      <c r="D2224" s="138">
        <v>42506</v>
      </c>
      <c r="E2224">
        <v>10489.97</v>
      </c>
    </row>
    <row r="2225" spans="4:5" x14ac:dyDescent="0.25">
      <c r="D2225" s="138">
        <v>42503</v>
      </c>
      <c r="E2225">
        <v>10428.780000000001</v>
      </c>
    </row>
    <row r="2226" spans="4:5" x14ac:dyDescent="0.25">
      <c r="D2226" s="138">
        <v>42502</v>
      </c>
      <c r="E2226">
        <v>10542.93</v>
      </c>
    </row>
    <row r="2227" spans="4:5" x14ac:dyDescent="0.25">
      <c r="D2227" s="138">
        <v>42501</v>
      </c>
      <c r="E2227">
        <v>10474.1</v>
      </c>
    </row>
    <row r="2228" spans="4:5" x14ac:dyDescent="0.25">
      <c r="D2228" s="138">
        <v>42500</v>
      </c>
      <c r="E2228">
        <v>10526.11</v>
      </c>
    </row>
    <row r="2229" spans="4:5" x14ac:dyDescent="0.25">
      <c r="D2229" s="138">
        <v>42499</v>
      </c>
      <c r="E2229">
        <v>10497.09</v>
      </c>
    </row>
    <row r="2230" spans="4:5" x14ac:dyDescent="0.25">
      <c r="D2230" s="138">
        <v>42496</v>
      </c>
      <c r="E2230">
        <v>10320.120000000001</v>
      </c>
    </row>
    <row r="2231" spans="4:5" x14ac:dyDescent="0.25">
      <c r="D2231" s="138">
        <v>42495</v>
      </c>
      <c r="E2231">
        <v>10322.82</v>
      </c>
    </row>
    <row r="2232" spans="4:5" x14ac:dyDescent="0.25">
      <c r="D2232" s="138">
        <v>42494</v>
      </c>
      <c r="E2232">
        <v>10283.01</v>
      </c>
    </row>
    <row r="2233" spans="4:5" x14ac:dyDescent="0.25">
      <c r="D2233" s="138">
        <v>42493</v>
      </c>
      <c r="E2233">
        <v>10336.969999999999</v>
      </c>
    </row>
    <row r="2234" spans="4:5" x14ac:dyDescent="0.25">
      <c r="D2234" s="138">
        <v>42492</v>
      </c>
      <c r="E2234">
        <v>10415.52</v>
      </c>
    </row>
    <row r="2235" spans="4:5" x14ac:dyDescent="0.25">
      <c r="D2235" s="138">
        <v>42489</v>
      </c>
      <c r="E2235">
        <v>10474.15</v>
      </c>
    </row>
    <row r="2236" spans="4:5" x14ac:dyDescent="0.25">
      <c r="D2236" s="138">
        <v>42488</v>
      </c>
      <c r="E2236">
        <v>10470.709999999999</v>
      </c>
    </row>
    <row r="2237" spans="4:5" x14ac:dyDescent="0.25">
      <c r="D2237" s="138">
        <v>42487</v>
      </c>
      <c r="E2237">
        <v>10647.74</v>
      </c>
    </row>
    <row r="2238" spans="4:5" x14ac:dyDescent="0.25">
      <c r="D2238" s="138">
        <v>42486</v>
      </c>
      <c r="E2238">
        <v>10624.72</v>
      </c>
    </row>
    <row r="2239" spans="4:5" x14ac:dyDescent="0.25">
      <c r="D2239" s="138">
        <v>42485</v>
      </c>
      <c r="E2239">
        <v>10481.120000000001</v>
      </c>
    </row>
    <row r="2240" spans="4:5" x14ac:dyDescent="0.25">
      <c r="D2240" s="138">
        <v>42482</v>
      </c>
      <c r="E2240">
        <v>10540.19</v>
      </c>
    </row>
    <row r="2241" spans="4:5" x14ac:dyDescent="0.25">
      <c r="D2241" s="138">
        <v>42481</v>
      </c>
      <c r="E2241">
        <v>10557.22</v>
      </c>
    </row>
    <row r="2242" spans="4:5" x14ac:dyDescent="0.25">
      <c r="D2242" s="138">
        <v>42480</v>
      </c>
      <c r="E2242">
        <v>10560.79</v>
      </c>
    </row>
    <row r="2243" spans="4:5" x14ac:dyDescent="0.25">
      <c r="D2243" s="138">
        <v>42478</v>
      </c>
      <c r="E2243">
        <v>10560.74</v>
      </c>
    </row>
    <row r="2244" spans="4:5" x14ac:dyDescent="0.25">
      <c r="D2244" s="138">
        <v>42473</v>
      </c>
      <c r="E2244">
        <v>10475.02</v>
      </c>
    </row>
    <row r="2245" spans="4:5" x14ac:dyDescent="0.25">
      <c r="D2245" s="138">
        <v>42472</v>
      </c>
      <c r="E2245">
        <v>10286.18</v>
      </c>
    </row>
    <row r="2246" spans="4:5" x14ac:dyDescent="0.25">
      <c r="D2246" s="138">
        <v>42471</v>
      </c>
      <c r="E2246">
        <v>10236.11</v>
      </c>
    </row>
    <row r="2247" spans="4:5" x14ac:dyDescent="0.25">
      <c r="D2247" s="138">
        <v>42468</v>
      </c>
      <c r="E2247">
        <v>10081.01</v>
      </c>
    </row>
    <row r="2248" spans="4:5" x14ac:dyDescent="0.25">
      <c r="D2248" s="138">
        <v>42467</v>
      </c>
      <c r="E2248">
        <v>10069.36</v>
      </c>
    </row>
    <row r="2249" spans="4:5" x14ac:dyDescent="0.25">
      <c r="D2249" s="138">
        <v>42466</v>
      </c>
      <c r="E2249">
        <v>10159.98</v>
      </c>
    </row>
    <row r="2250" spans="4:5" x14ac:dyDescent="0.25">
      <c r="D2250" s="138">
        <v>42465</v>
      </c>
      <c r="E2250">
        <v>10145.1</v>
      </c>
    </row>
    <row r="2251" spans="4:5" x14ac:dyDescent="0.25">
      <c r="D2251" s="138">
        <v>42464</v>
      </c>
      <c r="E2251">
        <v>10352.69</v>
      </c>
    </row>
    <row r="2252" spans="4:5" x14ac:dyDescent="0.25">
      <c r="D2252" s="138">
        <v>42461</v>
      </c>
      <c r="E2252">
        <v>10291.69</v>
      </c>
    </row>
    <row r="2253" spans="4:5" x14ac:dyDescent="0.25">
      <c r="D2253" s="138">
        <v>42460</v>
      </c>
      <c r="E2253">
        <v>10325.5</v>
      </c>
    </row>
    <row r="2254" spans="4:5" x14ac:dyDescent="0.25">
      <c r="D2254" s="138">
        <v>42459</v>
      </c>
      <c r="E2254">
        <v>10321.200000000001</v>
      </c>
    </row>
    <row r="2255" spans="4:5" x14ac:dyDescent="0.25">
      <c r="D2255" s="138">
        <v>42458</v>
      </c>
      <c r="E2255">
        <v>10135.49</v>
      </c>
    </row>
    <row r="2256" spans="4:5" x14ac:dyDescent="0.25">
      <c r="D2256" s="138">
        <v>42457</v>
      </c>
      <c r="E2256">
        <v>10159.66</v>
      </c>
    </row>
    <row r="2257" spans="4:5" x14ac:dyDescent="0.25">
      <c r="D2257" s="138">
        <v>42452</v>
      </c>
      <c r="E2257">
        <v>10294.93</v>
      </c>
    </row>
    <row r="2258" spans="4:5" x14ac:dyDescent="0.25">
      <c r="D2258" s="138">
        <v>42451</v>
      </c>
      <c r="E2258">
        <v>10292.77</v>
      </c>
    </row>
    <row r="2259" spans="4:5" x14ac:dyDescent="0.25">
      <c r="D2259" s="138">
        <v>42450</v>
      </c>
      <c r="E2259">
        <v>10278.299999999999</v>
      </c>
    </row>
    <row r="2260" spans="4:5" x14ac:dyDescent="0.25">
      <c r="D2260" s="138">
        <v>42447</v>
      </c>
      <c r="E2260">
        <v>10143.6</v>
      </c>
    </row>
    <row r="2261" spans="4:5" x14ac:dyDescent="0.25">
      <c r="D2261" s="138">
        <v>42446</v>
      </c>
      <c r="E2261">
        <v>10021.129999999999</v>
      </c>
    </row>
    <row r="2262" spans="4:5" x14ac:dyDescent="0.25">
      <c r="D2262" s="138">
        <v>42445</v>
      </c>
      <c r="E2262">
        <v>9997.9</v>
      </c>
    </row>
    <row r="2263" spans="4:5" x14ac:dyDescent="0.25">
      <c r="D2263" s="138">
        <v>42444</v>
      </c>
      <c r="E2263">
        <v>9944.76</v>
      </c>
    </row>
    <row r="2264" spans="4:5" x14ac:dyDescent="0.25">
      <c r="D2264" s="138">
        <v>42443</v>
      </c>
      <c r="E2264">
        <v>10048.89</v>
      </c>
    </row>
    <row r="2265" spans="4:5" x14ac:dyDescent="0.25">
      <c r="D2265" s="138">
        <v>42440</v>
      </c>
      <c r="E2265">
        <v>10001.18</v>
      </c>
    </row>
    <row r="2266" spans="4:5" x14ac:dyDescent="0.25">
      <c r="D2266" s="138">
        <v>42439</v>
      </c>
      <c r="E2266">
        <v>9969.15</v>
      </c>
    </row>
    <row r="2267" spans="4:5" x14ac:dyDescent="0.25">
      <c r="D2267" s="138">
        <v>42438</v>
      </c>
      <c r="E2267">
        <v>10029.959999999999</v>
      </c>
    </row>
    <row r="2268" spans="4:5" x14ac:dyDescent="0.25">
      <c r="D2268" s="138">
        <v>42437</v>
      </c>
      <c r="E2268">
        <v>9967.99</v>
      </c>
    </row>
    <row r="2269" spans="4:5" x14ac:dyDescent="0.25">
      <c r="D2269" s="138">
        <v>42433</v>
      </c>
      <c r="E2269">
        <v>9968.09</v>
      </c>
    </row>
    <row r="2270" spans="4:5" x14ac:dyDescent="0.25">
      <c r="D2270" s="138">
        <v>42432</v>
      </c>
      <c r="E2270">
        <v>9955.1</v>
      </c>
    </row>
    <row r="2271" spans="4:5" x14ac:dyDescent="0.25">
      <c r="D2271" s="138">
        <v>42431</v>
      </c>
      <c r="E2271">
        <v>9812.68</v>
      </c>
    </row>
    <row r="2272" spans="4:5" x14ac:dyDescent="0.25">
      <c r="D2272" s="138">
        <v>42430</v>
      </c>
      <c r="E2272">
        <v>9617.51</v>
      </c>
    </row>
    <row r="2273" spans="4:5" x14ac:dyDescent="0.25">
      <c r="D2273" s="138">
        <v>42429</v>
      </c>
      <c r="E2273">
        <v>9304.26</v>
      </c>
    </row>
    <row r="2274" spans="4:5" x14ac:dyDescent="0.25">
      <c r="D2274" s="138">
        <v>42426</v>
      </c>
      <c r="E2274">
        <v>9361.1</v>
      </c>
    </row>
    <row r="2275" spans="4:5" x14ac:dyDescent="0.25">
      <c r="D2275" s="138">
        <v>42425</v>
      </c>
      <c r="E2275">
        <v>9282.3799999999992</v>
      </c>
    </row>
    <row r="2276" spans="4:5" x14ac:dyDescent="0.25">
      <c r="D2276" s="138">
        <v>42424</v>
      </c>
      <c r="E2276">
        <v>9346.39</v>
      </c>
    </row>
    <row r="2277" spans="4:5" x14ac:dyDescent="0.25">
      <c r="D2277" s="138">
        <v>42423</v>
      </c>
      <c r="E2277">
        <v>9467.41</v>
      </c>
    </row>
    <row r="2278" spans="4:5" x14ac:dyDescent="0.25">
      <c r="D2278" s="138">
        <v>42422</v>
      </c>
      <c r="E2278">
        <v>9633.83</v>
      </c>
    </row>
    <row r="2279" spans="4:5" x14ac:dyDescent="0.25">
      <c r="D2279" s="138">
        <v>42419</v>
      </c>
      <c r="E2279">
        <v>9601.77</v>
      </c>
    </row>
    <row r="2280" spans="4:5" x14ac:dyDescent="0.25">
      <c r="D2280" s="138">
        <v>42418</v>
      </c>
      <c r="E2280">
        <v>9576.4599999999991</v>
      </c>
    </row>
    <row r="2281" spans="4:5" x14ac:dyDescent="0.25">
      <c r="D2281" s="138">
        <v>42417</v>
      </c>
      <c r="E2281">
        <v>9465.52</v>
      </c>
    </row>
    <row r="2282" spans="4:5" x14ac:dyDescent="0.25">
      <c r="D2282" s="138">
        <v>42416</v>
      </c>
      <c r="E2282">
        <v>9385.36</v>
      </c>
    </row>
    <row r="2283" spans="4:5" x14ac:dyDescent="0.25">
      <c r="D2283" s="138">
        <v>42415</v>
      </c>
      <c r="E2283">
        <v>9537.74</v>
      </c>
    </row>
    <row r="2284" spans="4:5" x14ac:dyDescent="0.25">
      <c r="D2284" s="138">
        <v>42412</v>
      </c>
      <c r="E2284">
        <v>9295.41</v>
      </c>
    </row>
    <row r="2285" spans="4:5" x14ac:dyDescent="0.25">
      <c r="D2285" s="138">
        <v>42411</v>
      </c>
      <c r="E2285">
        <v>9289.2900000000009</v>
      </c>
    </row>
    <row r="2286" spans="4:5" x14ac:dyDescent="0.25">
      <c r="D2286" s="138">
        <v>42410</v>
      </c>
      <c r="E2286">
        <v>9607.98</v>
      </c>
    </row>
    <row r="2287" spans="4:5" x14ac:dyDescent="0.25">
      <c r="D2287" s="138">
        <v>42409</v>
      </c>
      <c r="E2287">
        <v>9717.8700000000008</v>
      </c>
    </row>
    <row r="2288" spans="4:5" x14ac:dyDescent="0.25">
      <c r="D2288" s="138">
        <v>42408</v>
      </c>
      <c r="E2288">
        <v>9836.41</v>
      </c>
    </row>
    <row r="2289" spans="4:5" x14ac:dyDescent="0.25">
      <c r="D2289" s="138">
        <v>42405</v>
      </c>
      <c r="E2289">
        <v>9972.0499999999993</v>
      </c>
    </row>
    <row r="2290" spans="4:5" x14ac:dyDescent="0.25">
      <c r="D2290" s="138">
        <v>42404</v>
      </c>
      <c r="E2290">
        <v>9857.82</v>
      </c>
    </row>
    <row r="2291" spans="4:5" x14ac:dyDescent="0.25">
      <c r="D2291" s="138">
        <v>42403</v>
      </c>
      <c r="E2291">
        <v>9801.6200000000008</v>
      </c>
    </row>
    <row r="2292" spans="4:5" x14ac:dyDescent="0.25">
      <c r="D2292" s="138">
        <v>42402</v>
      </c>
      <c r="E2292">
        <v>9925.98</v>
      </c>
    </row>
    <row r="2293" spans="4:5" x14ac:dyDescent="0.25">
      <c r="D2293" s="138">
        <v>42401</v>
      </c>
      <c r="E2293">
        <v>10058.69</v>
      </c>
    </row>
    <row r="2294" spans="4:5" x14ac:dyDescent="0.25">
      <c r="D2294" s="138">
        <v>42398</v>
      </c>
      <c r="E2294">
        <v>10068.86</v>
      </c>
    </row>
    <row r="2295" spans="4:5" x14ac:dyDescent="0.25">
      <c r="D2295" s="138">
        <v>42397</v>
      </c>
      <c r="E2295">
        <v>9883.94</v>
      </c>
    </row>
    <row r="2296" spans="4:5" x14ac:dyDescent="0.25">
      <c r="D2296" s="138">
        <v>42396</v>
      </c>
      <c r="E2296">
        <v>9901.35</v>
      </c>
    </row>
    <row r="2297" spans="4:5" x14ac:dyDescent="0.25">
      <c r="D2297" s="138">
        <v>42394</v>
      </c>
      <c r="E2297">
        <v>9898.2800000000007</v>
      </c>
    </row>
    <row r="2298" spans="4:5" x14ac:dyDescent="0.25">
      <c r="D2298" s="138">
        <v>42391</v>
      </c>
      <c r="E2298">
        <v>9879.1299999999992</v>
      </c>
    </row>
    <row r="2299" spans="4:5" x14ac:dyDescent="0.25">
      <c r="D2299" s="138">
        <v>42390</v>
      </c>
      <c r="E2299">
        <v>9685.2900000000009</v>
      </c>
    </row>
    <row r="2300" spans="4:5" x14ac:dyDescent="0.25">
      <c r="D2300" s="138">
        <v>42389</v>
      </c>
      <c r="E2300">
        <v>9727.77</v>
      </c>
    </row>
    <row r="2301" spans="4:5" x14ac:dyDescent="0.25">
      <c r="D2301" s="138">
        <v>42388</v>
      </c>
      <c r="E2301">
        <v>9895.18</v>
      </c>
    </row>
    <row r="2302" spans="4:5" x14ac:dyDescent="0.25">
      <c r="D2302" s="138">
        <v>42387</v>
      </c>
      <c r="E2302">
        <v>9783.26</v>
      </c>
    </row>
    <row r="2303" spans="4:5" x14ac:dyDescent="0.25">
      <c r="D2303" s="138">
        <v>42384</v>
      </c>
      <c r="E2303">
        <v>9898.7999999999993</v>
      </c>
    </row>
    <row r="2304" spans="4:5" x14ac:dyDescent="0.25">
      <c r="D2304" s="138">
        <v>42383</v>
      </c>
      <c r="E2304">
        <v>10030.530000000001</v>
      </c>
    </row>
    <row r="2305" spans="4:5" x14ac:dyDescent="0.25">
      <c r="D2305" s="138">
        <v>42382</v>
      </c>
      <c r="E2305">
        <v>10064.620000000001</v>
      </c>
    </row>
    <row r="2306" spans="4:5" x14ac:dyDescent="0.25">
      <c r="D2306" s="138">
        <v>42381</v>
      </c>
      <c r="E2306">
        <v>9995.25</v>
      </c>
    </row>
    <row r="2307" spans="4:5" x14ac:dyDescent="0.25">
      <c r="D2307" s="138">
        <v>42380</v>
      </c>
      <c r="E2307">
        <v>10066.57</v>
      </c>
    </row>
    <row r="2308" spans="4:5" x14ac:dyDescent="0.25">
      <c r="D2308" s="138">
        <v>42377</v>
      </c>
      <c r="E2308">
        <v>10116.450000000001</v>
      </c>
    </row>
    <row r="2309" spans="4:5" x14ac:dyDescent="0.25">
      <c r="D2309" s="138">
        <v>42376</v>
      </c>
      <c r="E2309">
        <v>10072.450000000001</v>
      </c>
    </row>
    <row r="2310" spans="4:5" x14ac:dyDescent="0.25">
      <c r="D2310" s="138">
        <v>42375</v>
      </c>
      <c r="E2310">
        <v>10302.32</v>
      </c>
    </row>
    <row r="2311" spans="4:5" x14ac:dyDescent="0.25">
      <c r="D2311" s="138">
        <v>42374</v>
      </c>
      <c r="E2311">
        <v>10360.42</v>
      </c>
    </row>
    <row r="2312" spans="4:5" x14ac:dyDescent="0.25">
      <c r="D2312" s="138">
        <v>42373</v>
      </c>
      <c r="E2312">
        <v>10369.24</v>
      </c>
    </row>
    <row r="2313" spans="4:5" x14ac:dyDescent="0.25">
      <c r="D2313" s="138">
        <v>42370</v>
      </c>
      <c r="E2313">
        <v>10598</v>
      </c>
    </row>
    <row r="2314" spans="4:5" x14ac:dyDescent="0.25">
      <c r="D2314" s="138">
        <v>42369</v>
      </c>
      <c r="E2314">
        <v>10575.63</v>
      </c>
    </row>
    <row r="2315" spans="4:5" x14ac:dyDescent="0.25">
      <c r="D2315" s="138">
        <v>42368</v>
      </c>
      <c r="E2315">
        <v>10508.91</v>
      </c>
    </row>
    <row r="2316" spans="4:5" x14ac:dyDescent="0.25">
      <c r="D2316" s="138">
        <v>42367</v>
      </c>
      <c r="E2316">
        <v>10552.46</v>
      </c>
    </row>
    <row r="2317" spans="4:5" x14ac:dyDescent="0.25">
      <c r="D2317" s="138">
        <v>42366</v>
      </c>
      <c r="E2317">
        <v>10547.37</v>
      </c>
    </row>
    <row r="2318" spans="4:5" x14ac:dyDescent="0.25">
      <c r="D2318" s="138">
        <v>42362</v>
      </c>
      <c r="E2318">
        <v>10462.08</v>
      </c>
    </row>
    <row r="2319" spans="4:5" x14ac:dyDescent="0.25">
      <c r="D2319" s="138">
        <v>42361</v>
      </c>
      <c r="E2319">
        <v>10468.61</v>
      </c>
    </row>
    <row r="2320" spans="4:5" x14ac:dyDescent="0.25">
      <c r="D2320" s="138">
        <v>42360</v>
      </c>
      <c r="E2320">
        <v>10362.35</v>
      </c>
    </row>
    <row r="2321" spans="4:5" x14ac:dyDescent="0.25">
      <c r="D2321" s="138">
        <v>42359</v>
      </c>
      <c r="E2321">
        <v>10426.69</v>
      </c>
    </row>
    <row r="2322" spans="4:5" x14ac:dyDescent="0.25">
      <c r="D2322" s="138">
        <v>42356</v>
      </c>
      <c r="E2322">
        <v>10330.16</v>
      </c>
    </row>
    <row r="2323" spans="4:5" x14ac:dyDescent="0.25">
      <c r="D2323" s="138">
        <v>42355</v>
      </c>
      <c r="E2323">
        <v>10439.83</v>
      </c>
    </row>
    <row r="2324" spans="4:5" x14ac:dyDescent="0.25">
      <c r="D2324" s="138">
        <v>42354</v>
      </c>
      <c r="E2324">
        <v>10315.450000000001</v>
      </c>
    </row>
    <row r="2325" spans="4:5" x14ac:dyDescent="0.25">
      <c r="D2325" s="138">
        <v>42353</v>
      </c>
      <c r="E2325">
        <v>10248.91</v>
      </c>
    </row>
    <row r="2326" spans="4:5" x14ac:dyDescent="0.25">
      <c r="D2326" s="138">
        <v>42352</v>
      </c>
      <c r="E2326">
        <v>10181.25</v>
      </c>
    </row>
    <row r="2327" spans="4:5" x14ac:dyDescent="0.25">
      <c r="D2327" s="138">
        <v>42349</v>
      </c>
      <c r="E2327">
        <v>10128.57</v>
      </c>
    </row>
    <row r="2328" spans="4:5" x14ac:dyDescent="0.25">
      <c r="D2328" s="138">
        <v>42348</v>
      </c>
      <c r="E2328">
        <v>10225.540000000001</v>
      </c>
    </row>
    <row r="2329" spans="4:5" x14ac:dyDescent="0.25">
      <c r="D2329" s="138">
        <v>42347</v>
      </c>
      <c r="E2329">
        <v>10131.26</v>
      </c>
    </row>
    <row r="2330" spans="4:5" x14ac:dyDescent="0.25">
      <c r="D2330" s="138">
        <v>42346</v>
      </c>
      <c r="E2330">
        <v>10250.030000000001</v>
      </c>
    </row>
    <row r="2331" spans="4:5" x14ac:dyDescent="0.25">
      <c r="D2331" s="138">
        <v>42345</v>
      </c>
      <c r="E2331">
        <v>10334.77</v>
      </c>
    </row>
    <row r="2332" spans="4:5" x14ac:dyDescent="0.25">
      <c r="D2332" s="138">
        <v>42342</v>
      </c>
      <c r="E2332">
        <v>10356.709999999999</v>
      </c>
    </row>
    <row r="2333" spans="4:5" x14ac:dyDescent="0.25">
      <c r="D2333" s="138">
        <v>42341</v>
      </c>
      <c r="E2333">
        <v>10466.19</v>
      </c>
    </row>
    <row r="2334" spans="4:5" x14ac:dyDescent="0.25">
      <c r="D2334" s="138">
        <v>42340</v>
      </c>
      <c r="E2334">
        <v>10555.62</v>
      </c>
    </row>
    <row r="2335" spans="4:5" x14ac:dyDescent="0.25">
      <c r="D2335" s="138">
        <v>42339</v>
      </c>
      <c r="E2335">
        <v>10586.99</v>
      </c>
    </row>
    <row r="2336" spans="4:5" x14ac:dyDescent="0.25">
      <c r="D2336" s="138">
        <v>42338</v>
      </c>
      <c r="E2336">
        <v>10560.84</v>
      </c>
    </row>
    <row r="2337" spans="4:5" x14ac:dyDescent="0.25">
      <c r="D2337" s="138">
        <v>42335</v>
      </c>
      <c r="E2337">
        <v>10570.76</v>
      </c>
    </row>
    <row r="2338" spans="4:5" x14ac:dyDescent="0.25">
      <c r="D2338" s="138">
        <v>42334</v>
      </c>
      <c r="E2338">
        <v>10492.35</v>
      </c>
    </row>
    <row r="2339" spans="4:5" x14ac:dyDescent="0.25">
      <c r="D2339" s="138">
        <v>42332</v>
      </c>
      <c r="E2339">
        <v>10422.86</v>
      </c>
    </row>
    <row r="2340" spans="4:5" x14ac:dyDescent="0.25">
      <c r="D2340" s="138">
        <v>42331</v>
      </c>
      <c r="E2340">
        <v>10446.4</v>
      </c>
    </row>
    <row r="2341" spans="4:5" x14ac:dyDescent="0.25">
      <c r="D2341" s="138">
        <v>42328</v>
      </c>
      <c r="E2341">
        <v>10456.11</v>
      </c>
    </row>
    <row r="2342" spans="4:5" x14ac:dyDescent="0.25">
      <c r="D2342" s="138">
        <v>42327</v>
      </c>
      <c r="E2342">
        <v>10437.709999999999</v>
      </c>
    </row>
    <row r="2343" spans="4:5" x14ac:dyDescent="0.25">
      <c r="D2343" s="138">
        <v>42326</v>
      </c>
      <c r="E2343">
        <v>10290.030000000001</v>
      </c>
    </row>
    <row r="2344" spans="4:5" x14ac:dyDescent="0.25">
      <c r="D2344" s="138">
        <v>42325</v>
      </c>
      <c r="E2344">
        <v>10430.780000000001</v>
      </c>
    </row>
    <row r="2345" spans="4:5" x14ac:dyDescent="0.25">
      <c r="D2345" s="138">
        <v>42324</v>
      </c>
      <c r="E2345">
        <v>10389.64</v>
      </c>
    </row>
    <row r="2346" spans="4:5" x14ac:dyDescent="0.25">
      <c r="D2346" s="138">
        <v>42321</v>
      </c>
      <c r="E2346">
        <v>10330.6</v>
      </c>
    </row>
    <row r="2347" spans="4:5" x14ac:dyDescent="0.25">
      <c r="D2347" s="138">
        <v>42319</v>
      </c>
      <c r="E2347">
        <v>10414.07</v>
      </c>
    </row>
    <row r="2348" spans="4:5" x14ac:dyDescent="0.25">
      <c r="D2348" s="138">
        <v>42318</v>
      </c>
      <c r="E2348">
        <v>10358.65</v>
      </c>
    </row>
    <row r="2349" spans="4:5" x14ac:dyDescent="0.25">
      <c r="D2349" s="138">
        <v>42317</v>
      </c>
      <c r="E2349">
        <v>10531.91</v>
      </c>
    </row>
    <row r="2350" spans="4:5" x14ac:dyDescent="0.25">
      <c r="D2350" s="138">
        <v>42314</v>
      </c>
      <c r="E2350">
        <v>10583.88</v>
      </c>
    </row>
    <row r="2351" spans="4:5" x14ac:dyDescent="0.25">
      <c r="D2351" s="138">
        <v>42313</v>
      </c>
      <c r="E2351">
        <v>10585.41</v>
      </c>
    </row>
    <row r="2352" spans="4:5" x14ac:dyDescent="0.25">
      <c r="D2352" s="138">
        <v>42312</v>
      </c>
      <c r="E2352">
        <v>10698.19</v>
      </c>
    </row>
    <row r="2353" spans="4:5" x14ac:dyDescent="0.25">
      <c r="D2353" s="138">
        <v>42311</v>
      </c>
      <c r="E2353">
        <v>10725.48</v>
      </c>
    </row>
    <row r="2354" spans="4:5" x14ac:dyDescent="0.25">
      <c r="D2354" s="138">
        <v>42310</v>
      </c>
      <c r="E2354">
        <v>10712.32</v>
      </c>
    </row>
    <row r="2355" spans="4:5" x14ac:dyDescent="0.25">
      <c r="D2355" s="138">
        <v>42307</v>
      </c>
      <c r="E2355">
        <v>10732.25</v>
      </c>
    </row>
    <row r="2356" spans="4:5" x14ac:dyDescent="0.25">
      <c r="D2356" s="138">
        <v>42306</v>
      </c>
      <c r="E2356">
        <v>10792.35</v>
      </c>
    </row>
    <row r="2357" spans="4:5" x14ac:dyDescent="0.25">
      <c r="D2357" s="138">
        <v>42305</v>
      </c>
      <c r="E2357">
        <v>10871.42</v>
      </c>
    </row>
    <row r="2358" spans="4:5" x14ac:dyDescent="0.25">
      <c r="D2358" s="138">
        <v>42304</v>
      </c>
      <c r="E2358">
        <v>10953.26</v>
      </c>
    </row>
    <row r="2359" spans="4:5" x14ac:dyDescent="0.25">
      <c r="D2359" s="138">
        <v>42303</v>
      </c>
      <c r="E2359">
        <v>10990.02</v>
      </c>
    </row>
    <row r="2360" spans="4:5" x14ac:dyDescent="0.25">
      <c r="D2360" s="138">
        <v>42300</v>
      </c>
      <c r="E2360">
        <v>11036.44</v>
      </c>
    </row>
    <row r="2361" spans="4:5" x14ac:dyDescent="0.25">
      <c r="D2361" s="138">
        <v>42298</v>
      </c>
      <c r="E2361">
        <v>10976.65</v>
      </c>
    </row>
    <row r="2362" spans="4:5" x14ac:dyDescent="0.25">
      <c r="D2362" s="138">
        <v>42297</v>
      </c>
      <c r="E2362">
        <v>10989</v>
      </c>
    </row>
    <row r="2363" spans="4:5" x14ac:dyDescent="0.25">
      <c r="D2363" s="138">
        <v>42296</v>
      </c>
      <c r="E2363">
        <v>11006.79</v>
      </c>
    </row>
    <row r="2364" spans="4:5" x14ac:dyDescent="0.25">
      <c r="D2364" s="138">
        <v>42293</v>
      </c>
      <c r="E2364">
        <v>10956.47</v>
      </c>
    </row>
    <row r="2365" spans="4:5" x14ac:dyDescent="0.25">
      <c r="D2365" s="138">
        <v>42292</v>
      </c>
      <c r="E2365">
        <v>10872.82</v>
      </c>
    </row>
    <row r="2366" spans="4:5" x14ac:dyDescent="0.25">
      <c r="D2366" s="138">
        <v>42291</v>
      </c>
      <c r="E2366">
        <v>10777.67</v>
      </c>
    </row>
    <row r="2367" spans="4:5" x14ac:dyDescent="0.25">
      <c r="D2367" s="138">
        <v>42290</v>
      </c>
      <c r="E2367">
        <v>10809.32</v>
      </c>
    </row>
    <row r="2368" spans="4:5" x14ac:dyDescent="0.25">
      <c r="D2368" s="138">
        <v>42289</v>
      </c>
      <c r="E2368">
        <v>10825.14</v>
      </c>
    </row>
    <row r="2369" spans="4:5" x14ac:dyDescent="0.25">
      <c r="D2369" s="138">
        <v>42286</v>
      </c>
      <c r="E2369">
        <v>10886.38</v>
      </c>
    </row>
    <row r="2370" spans="4:5" x14ac:dyDescent="0.25">
      <c r="D2370" s="138">
        <v>42285</v>
      </c>
      <c r="E2370">
        <v>10806.18</v>
      </c>
    </row>
    <row r="2371" spans="4:5" x14ac:dyDescent="0.25">
      <c r="D2371" s="138">
        <v>42284</v>
      </c>
      <c r="E2371">
        <v>10870.04</v>
      </c>
    </row>
    <row r="2372" spans="4:5" x14ac:dyDescent="0.25">
      <c r="D2372" s="138">
        <v>42283</v>
      </c>
      <c r="E2372">
        <v>10837.5</v>
      </c>
    </row>
    <row r="2373" spans="4:5" x14ac:dyDescent="0.25">
      <c r="D2373" s="138">
        <v>42282</v>
      </c>
      <c r="E2373">
        <v>10792.79</v>
      </c>
    </row>
    <row r="2374" spans="4:5" x14ac:dyDescent="0.25">
      <c r="D2374" s="138">
        <v>42278</v>
      </c>
      <c r="E2374">
        <v>10568.94</v>
      </c>
    </row>
    <row r="2375" spans="4:5" x14ac:dyDescent="0.25">
      <c r="D2375" s="138">
        <v>42277</v>
      </c>
      <c r="E2375">
        <v>10566.29</v>
      </c>
    </row>
    <row r="2376" spans="4:5" x14ac:dyDescent="0.25">
      <c r="D2376" s="138">
        <v>42276</v>
      </c>
      <c r="E2376">
        <v>10425.93</v>
      </c>
    </row>
    <row r="2377" spans="4:5" x14ac:dyDescent="0.25">
      <c r="D2377" s="138">
        <v>42275</v>
      </c>
      <c r="E2377">
        <v>10362.68</v>
      </c>
    </row>
    <row r="2378" spans="4:5" x14ac:dyDescent="0.25">
      <c r="D2378" s="138">
        <v>42271</v>
      </c>
      <c r="E2378">
        <v>10459.44</v>
      </c>
    </row>
    <row r="2379" spans="4:5" x14ac:dyDescent="0.25">
      <c r="D2379" s="138">
        <v>42270</v>
      </c>
      <c r="E2379">
        <v>10429.44</v>
      </c>
    </row>
    <row r="2380" spans="4:5" x14ac:dyDescent="0.25">
      <c r="D2380" s="138">
        <v>42269</v>
      </c>
      <c r="E2380">
        <v>10384.35</v>
      </c>
    </row>
    <row r="2381" spans="4:5" x14ac:dyDescent="0.25">
      <c r="D2381" s="138">
        <v>42268</v>
      </c>
      <c r="E2381">
        <v>10603.8</v>
      </c>
    </row>
    <row r="2382" spans="4:5" x14ac:dyDescent="0.25">
      <c r="D2382" s="138">
        <v>42265</v>
      </c>
      <c r="E2382">
        <v>10609.87</v>
      </c>
    </row>
    <row r="2383" spans="4:5" x14ac:dyDescent="0.25">
      <c r="D2383" s="138">
        <v>42263</v>
      </c>
      <c r="E2383">
        <v>10499.73</v>
      </c>
    </row>
    <row r="2384" spans="4:5" x14ac:dyDescent="0.25">
      <c r="D2384" s="138">
        <v>42262</v>
      </c>
      <c r="E2384">
        <v>10406.56</v>
      </c>
    </row>
    <row r="2385" spans="4:5" x14ac:dyDescent="0.25">
      <c r="D2385" s="138">
        <v>42261</v>
      </c>
      <c r="E2385">
        <v>10463.93</v>
      </c>
    </row>
    <row r="2386" spans="4:5" x14ac:dyDescent="0.25">
      <c r="D2386" s="138">
        <v>42258</v>
      </c>
      <c r="E2386">
        <v>10353.540000000001</v>
      </c>
    </row>
    <row r="2387" spans="4:5" x14ac:dyDescent="0.25">
      <c r="D2387" s="138">
        <v>42257</v>
      </c>
      <c r="E2387">
        <v>10351.93</v>
      </c>
    </row>
    <row r="2388" spans="4:5" x14ac:dyDescent="0.25">
      <c r="D2388" s="138">
        <v>42256</v>
      </c>
      <c r="E2388">
        <v>10392.450000000001</v>
      </c>
    </row>
    <row r="2389" spans="4:5" x14ac:dyDescent="0.25">
      <c r="D2389" s="138">
        <v>42255</v>
      </c>
      <c r="E2389">
        <v>10219.209999999999</v>
      </c>
    </row>
    <row r="2390" spans="4:5" x14ac:dyDescent="0.25">
      <c r="D2390" s="138">
        <v>42254</v>
      </c>
      <c r="E2390">
        <v>10047.15</v>
      </c>
    </row>
    <row r="2391" spans="4:5" x14ac:dyDescent="0.25">
      <c r="D2391" s="138">
        <v>42251</v>
      </c>
      <c r="E2391">
        <v>10173.65</v>
      </c>
    </row>
    <row r="2392" spans="4:5" x14ac:dyDescent="0.25">
      <c r="D2392" s="138">
        <v>42250</v>
      </c>
      <c r="E2392">
        <v>10396.83</v>
      </c>
    </row>
    <row r="2393" spans="4:5" x14ac:dyDescent="0.25">
      <c r="D2393" s="138">
        <v>42249</v>
      </c>
      <c r="E2393">
        <v>10254.61</v>
      </c>
    </row>
    <row r="2394" spans="4:5" x14ac:dyDescent="0.25">
      <c r="D2394" s="138">
        <v>42248</v>
      </c>
      <c r="E2394">
        <v>10346.16</v>
      </c>
    </row>
    <row r="2395" spans="4:5" x14ac:dyDescent="0.25">
      <c r="D2395" s="138">
        <v>42247</v>
      </c>
      <c r="E2395">
        <v>10588.8</v>
      </c>
    </row>
    <row r="2396" spans="4:5" x14ac:dyDescent="0.25">
      <c r="D2396" s="138">
        <v>42244</v>
      </c>
      <c r="E2396">
        <v>10629.49</v>
      </c>
    </row>
    <row r="2397" spans="4:5" x14ac:dyDescent="0.25">
      <c r="D2397" s="138">
        <v>42243</v>
      </c>
      <c r="E2397">
        <v>10557.5</v>
      </c>
    </row>
    <row r="2398" spans="4:5" x14ac:dyDescent="0.25">
      <c r="D2398" s="138">
        <v>42242</v>
      </c>
      <c r="E2398">
        <v>10348.4</v>
      </c>
    </row>
    <row r="2399" spans="4:5" x14ac:dyDescent="0.25">
      <c r="D2399" s="138">
        <v>42241</v>
      </c>
      <c r="E2399">
        <v>10465.459999999999</v>
      </c>
    </row>
    <row r="2400" spans="4:5" x14ac:dyDescent="0.25">
      <c r="D2400" s="138">
        <v>42240</v>
      </c>
      <c r="E2400">
        <v>10370.27</v>
      </c>
    </row>
    <row r="2401" spans="4:5" x14ac:dyDescent="0.25">
      <c r="D2401" s="138">
        <v>42237</v>
      </c>
      <c r="E2401">
        <v>11022.22</v>
      </c>
    </row>
    <row r="2402" spans="4:5" x14ac:dyDescent="0.25">
      <c r="D2402" s="138">
        <v>42236</v>
      </c>
      <c r="E2402">
        <v>11118.95</v>
      </c>
    </row>
    <row r="2403" spans="4:5" x14ac:dyDescent="0.25">
      <c r="D2403" s="138">
        <v>42235</v>
      </c>
      <c r="E2403">
        <v>11281.26</v>
      </c>
    </row>
    <row r="2404" spans="4:5" x14ac:dyDescent="0.25">
      <c r="D2404" s="138">
        <v>42234</v>
      </c>
      <c r="E2404">
        <v>11243.28</v>
      </c>
    </row>
    <row r="2405" spans="4:5" x14ac:dyDescent="0.25">
      <c r="D2405" s="138">
        <v>42233</v>
      </c>
      <c r="E2405">
        <v>11257.56</v>
      </c>
    </row>
    <row r="2406" spans="4:5" x14ac:dyDescent="0.25">
      <c r="D2406" s="138">
        <v>42230</v>
      </c>
      <c r="E2406">
        <v>11312.32</v>
      </c>
    </row>
    <row r="2407" spans="4:5" x14ac:dyDescent="0.25">
      <c r="D2407" s="138">
        <v>42229</v>
      </c>
      <c r="E2407">
        <v>11095.98</v>
      </c>
    </row>
    <row r="2408" spans="4:5" x14ac:dyDescent="0.25">
      <c r="D2408" s="138">
        <v>42228</v>
      </c>
      <c r="E2408">
        <v>11086.67</v>
      </c>
    </row>
    <row r="2409" spans="4:5" x14ac:dyDescent="0.25">
      <c r="D2409" s="138">
        <v>42227</v>
      </c>
      <c r="E2409">
        <v>11236.57</v>
      </c>
    </row>
    <row r="2410" spans="4:5" x14ac:dyDescent="0.25">
      <c r="D2410" s="138">
        <v>42226</v>
      </c>
      <c r="E2410">
        <v>11320.25</v>
      </c>
    </row>
    <row r="2411" spans="4:5" x14ac:dyDescent="0.25">
      <c r="D2411" s="138">
        <v>42223</v>
      </c>
      <c r="E2411">
        <v>11372.02</v>
      </c>
    </row>
    <row r="2412" spans="4:5" x14ac:dyDescent="0.25">
      <c r="D2412" s="138">
        <v>42222</v>
      </c>
      <c r="E2412">
        <v>11402.67</v>
      </c>
    </row>
    <row r="2413" spans="4:5" x14ac:dyDescent="0.25">
      <c r="D2413" s="138">
        <v>42221</v>
      </c>
      <c r="E2413">
        <v>11375.18</v>
      </c>
    </row>
    <row r="2414" spans="4:5" x14ac:dyDescent="0.25">
      <c r="D2414" s="138">
        <v>42220</v>
      </c>
      <c r="E2414">
        <v>11307.41</v>
      </c>
    </row>
    <row r="2415" spans="4:5" x14ac:dyDescent="0.25">
      <c r="D2415" s="138">
        <v>42219</v>
      </c>
      <c r="E2415">
        <v>11342.11</v>
      </c>
    </row>
    <row r="2416" spans="4:5" x14ac:dyDescent="0.25">
      <c r="D2416" s="138">
        <v>42216</v>
      </c>
      <c r="E2416">
        <v>11328.56</v>
      </c>
    </row>
    <row r="2417" spans="4:5" x14ac:dyDescent="0.25">
      <c r="D2417" s="138">
        <v>42215</v>
      </c>
      <c r="E2417">
        <v>11180.79</v>
      </c>
    </row>
    <row r="2418" spans="4:5" x14ac:dyDescent="0.25">
      <c r="D2418" s="138">
        <v>42214</v>
      </c>
      <c r="E2418">
        <v>11118.71</v>
      </c>
    </row>
    <row r="2419" spans="4:5" x14ac:dyDescent="0.25">
      <c r="D2419" s="138">
        <v>42213</v>
      </c>
      <c r="E2419">
        <v>11068.18</v>
      </c>
    </row>
    <row r="2420" spans="4:5" x14ac:dyDescent="0.25">
      <c r="D2420" s="138">
        <v>42212</v>
      </c>
      <c r="E2420">
        <v>11100.03</v>
      </c>
    </row>
    <row r="2421" spans="4:5" x14ac:dyDescent="0.25">
      <c r="D2421" s="138">
        <v>42209</v>
      </c>
      <c r="E2421">
        <v>11313.22</v>
      </c>
    </row>
    <row r="2422" spans="4:5" x14ac:dyDescent="0.25">
      <c r="D2422" s="138">
        <v>42208</v>
      </c>
      <c r="E2422">
        <v>11403.83</v>
      </c>
    </row>
    <row r="2423" spans="4:5" x14ac:dyDescent="0.25">
      <c r="D2423" s="138">
        <v>42207</v>
      </c>
      <c r="E2423">
        <v>11459.27</v>
      </c>
    </row>
    <row r="2424" spans="4:5" x14ac:dyDescent="0.25">
      <c r="D2424" s="138">
        <v>42206</v>
      </c>
      <c r="E2424">
        <v>11320.88</v>
      </c>
    </row>
    <row r="2425" spans="4:5" x14ac:dyDescent="0.25">
      <c r="D2425" s="138">
        <v>42205</v>
      </c>
      <c r="E2425">
        <v>11419.13</v>
      </c>
    </row>
    <row r="2426" spans="4:5" x14ac:dyDescent="0.25">
      <c r="D2426" s="138">
        <v>42202</v>
      </c>
      <c r="E2426">
        <v>11424.87</v>
      </c>
    </row>
    <row r="2427" spans="4:5" x14ac:dyDescent="0.25">
      <c r="D2427" s="138">
        <v>42201</v>
      </c>
      <c r="E2427">
        <v>11422.48</v>
      </c>
    </row>
    <row r="2428" spans="4:5" x14ac:dyDescent="0.25">
      <c r="D2428" s="138">
        <v>42200</v>
      </c>
      <c r="E2428">
        <v>11309.1</v>
      </c>
    </row>
    <row r="2429" spans="4:5" x14ac:dyDescent="0.25">
      <c r="D2429" s="138">
        <v>42199</v>
      </c>
      <c r="E2429">
        <v>11210.85</v>
      </c>
    </row>
    <row r="2430" spans="4:5" x14ac:dyDescent="0.25">
      <c r="D2430" s="138">
        <v>42198</v>
      </c>
      <c r="E2430">
        <v>11217.67</v>
      </c>
    </row>
    <row r="2431" spans="4:5" x14ac:dyDescent="0.25">
      <c r="D2431" s="138">
        <v>42195</v>
      </c>
      <c r="E2431">
        <v>11086.29</v>
      </c>
    </row>
    <row r="2432" spans="4:5" x14ac:dyDescent="0.25">
      <c r="D2432" s="138">
        <v>42194</v>
      </c>
      <c r="E2432">
        <v>11043.14</v>
      </c>
    </row>
    <row r="2433" spans="4:5" x14ac:dyDescent="0.25">
      <c r="D2433" s="138">
        <v>42193</v>
      </c>
      <c r="E2433">
        <v>11084.34</v>
      </c>
    </row>
    <row r="2434" spans="4:5" x14ac:dyDescent="0.25">
      <c r="D2434" s="138">
        <v>42192</v>
      </c>
      <c r="E2434">
        <v>11279.56</v>
      </c>
    </row>
    <row r="2435" spans="4:5" x14ac:dyDescent="0.25">
      <c r="D2435" s="138">
        <v>42191</v>
      </c>
      <c r="E2435">
        <v>11294.6</v>
      </c>
    </row>
    <row r="2436" spans="4:5" x14ac:dyDescent="0.25">
      <c r="D2436" s="138">
        <v>42188</v>
      </c>
      <c r="E2436">
        <v>11244.49</v>
      </c>
    </row>
    <row r="2437" spans="4:5" x14ac:dyDescent="0.25">
      <c r="D2437" s="138">
        <v>42187</v>
      </c>
      <c r="E2437">
        <v>11191.5</v>
      </c>
    </row>
    <row r="2438" spans="4:5" x14ac:dyDescent="0.25">
      <c r="D2438" s="138">
        <v>42186</v>
      </c>
      <c r="E2438">
        <v>11197.83</v>
      </c>
    </row>
    <row r="2439" spans="4:5" x14ac:dyDescent="0.25">
      <c r="D2439" s="138">
        <v>42185</v>
      </c>
      <c r="E2439">
        <v>11085.87</v>
      </c>
    </row>
    <row r="2440" spans="4:5" x14ac:dyDescent="0.25">
      <c r="D2440" s="138">
        <v>42184</v>
      </c>
      <c r="E2440">
        <v>11019.47</v>
      </c>
    </row>
    <row r="2441" spans="4:5" x14ac:dyDescent="0.25">
      <c r="D2441" s="138">
        <v>42181</v>
      </c>
      <c r="E2441">
        <v>11102.52</v>
      </c>
    </row>
    <row r="2442" spans="4:5" x14ac:dyDescent="0.25">
      <c r="D2442" s="138">
        <v>42180</v>
      </c>
      <c r="E2442">
        <v>11124.95</v>
      </c>
    </row>
    <row r="2443" spans="4:5" x14ac:dyDescent="0.25">
      <c r="D2443" s="138">
        <v>42179</v>
      </c>
      <c r="E2443">
        <v>11075.71</v>
      </c>
    </row>
    <row r="2444" spans="4:5" x14ac:dyDescent="0.25">
      <c r="D2444" s="138">
        <v>42178</v>
      </c>
      <c r="E2444">
        <v>11102.6</v>
      </c>
    </row>
    <row r="2445" spans="4:5" x14ac:dyDescent="0.25">
      <c r="D2445" s="138">
        <v>42177</v>
      </c>
      <c r="E2445">
        <v>11064.89</v>
      </c>
    </row>
    <row r="2446" spans="4:5" x14ac:dyDescent="0.25">
      <c r="D2446" s="138">
        <v>42174</v>
      </c>
      <c r="E2446">
        <v>10894.44</v>
      </c>
    </row>
    <row r="2447" spans="4:5" x14ac:dyDescent="0.25">
      <c r="D2447" s="138">
        <v>42173</v>
      </c>
      <c r="E2447">
        <v>10825.96</v>
      </c>
    </row>
    <row r="2448" spans="4:5" x14ac:dyDescent="0.25">
      <c r="D2448" s="138">
        <v>42172</v>
      </c>
      <c r="E2448">
        <v>10715.85</v>
      </c>
    </row>
    <row r="2449" spans="4:5" x14ac:dyDescent="0.25">
      <c r="D2449" s="138">
        <v>42171</v>
      </c>
      <c r="E2449">
        <v>10657.23</v>
      </c>
    </row>
    <row r="2450" spans="4:5" x14ac:dyDescent="0.25">
      <c r="D2450" s="138">
        <v>42170</v>
      </c>
      <c r="E2450">
        <v>10612.12</v>
      </c>
    </row>
    <row r="2451" spans="4:5" x14ac:dyDescent="0.25">
      <c r="D2451" s="138">
        <v>42167</v>
      </c>
      <c r="E2451">
        <v>10562.76</v>
      </c>
    </row>
    <row r="2452" spans="4:5" x14ac:dyDescent="0.25">
      <c r="D2452" s="138">
        <v>42166</v>
      </c>
      <c r="E2452">
        <v>10539.53</v>
      </c>
    </row>
    <row r="2453" spans="4:5" x14ac:dyDescent="0.25">
      <c r="D2453" s="138">
        <v>42165</v>
      </c>
      <c r="E2453">
        <v>10750.07</v>
      </c>
    </row>
    <row r="2454" spans="4:5" x14ac:dyDescent="0.25">
      <c r="D2454" s="138">
        <v>42164</v>
      </c>
      <c r="E2454">
        <v>10615.01</v>
      </c>
    </row>
    <row r="2455" spans="4:5" x14ac:dyDescent="0.25">
      <c r="D2455" s="138">
        <v>42163</v>
      </c>
      <c r="E2455">
        <v>10643.82</v>
      </c>
    </row>
    <row r="2456" spans="4:5" x14ac:dyDescent="0.25">
      <c r="D2456" s="138">
        <v>42160</v>
      </c>
      <c r="E2456">
        <v>10737.17</v>
      </c>
    </row>
    <row r="2457" spans="4:5" x14ac:dyDescent="0.25">
      <c r="D2457" s="138">
        <v>42159</v>
      </c>
      <c r="E2457">
        <v>10754.83</v>
      </c>
    </row>
    <row r="2458" spans="4:5" x14ac:dyDescent="0.25">
      <c r="D2458" s="138">
        <v>42158</v>
      </c>
      <c r="E2458">
        <v>10752.52</v>
      </c>
    </row>
    <row r="2459" spans="4:5" x14ac:dyDescent="0.25">
      <c r="D2459" s="138">
        <v>42157</v>
      </c>
      <c r="E2459">
        <v>10876.52</v>
      </c>
    </row>
    <row r="2460" spans="4:5" x14ac:dyDescent="0.25">
      <c r="D2460" s="138">
        <v>42156</v>
      </c>
      <c r="E2460">
        <v>11136.64</v>
      </c>
    </row>
    <row r="2461" spans="4:5" x14ac:dyDescent="0.25">
      <c r="D2461" s="138">
        <v>42153</v>
      </c>
      <c r="E2461">
        <v>11135.85</v>
      </c>
    </row>
    <row r="2462" spans="4:5" x14ac:dyDescent="0.25">
      <c r="D2462" s="138">
        <v>42152</v>
      </c>
      <c r="E2462">
        <v>10984.45</v>
      </c>
    </row>
    <row r="2463" spans="4:5" x14ac:dyDescent="0.25">
      <c r="D2463" s="138">
        <v>42151</v>
      </c>
      <c r="E2463">
        <v>11001.96</v>
      </c>
    </row>
    <row r="2464" spans="4:5" x14ac:dyDescent="0.25">
      <c r="D2464" s="138">
        <v>42150</v>
      </c>
      <c r="E2464">
        <v>11008.25</v>
      </c>
    </row>
    <row r="2465" spans="4:5" x14ac:dyDescent="0.25">
      <c r="D2465" s="138">
        <v>42149</v>
      </c>
      <c r="E2465">
        <v>11049</v>
      </c>
    </row>
    <row r="2466" spans="4:5" x14ac:dyDescent="0.25">
      <c r="D2466" s="138">
        <v>42146</v>
      </c>
      <c r="E2466">
        <v>11166.12</v>
      </c>
    </row>
    <row r="2467" spans="4:5" x14ac:dyDescent="0.25">
      <c r="D2467" s="138">
        <v>42145</v>
      </c>
      <c r="E2467">
        <v>11116</v>
      </c>
    </row>
    <row r="2468" spans="4:5" x14ac:dyDescent="0.25">
      <c r="D2468" s="138">
        <v>42144</v>
      </c>
      <c r="E2468">
        <v>11118.14</v>
      </c>
    </row>
    <row r="2469" spans="4:5" x14ac:dyDescent="0.25">
      <c r="D2469" s="138">
        <v>42143</v>
      </c>
      <c r="E2469">
        <v>11042.12</v>
      </c>
    </row>
    <row r="2470" spans="4:5" x14ac:dyDescent="0.25">
      <c r="D2470" s="138">
        <v>42142</v>
      </c>
      <c r="E2470">
        <v>11052.7</v>
      </c>
    </row>
    <row r="2471" spans="4:5" x14ac:dyDescent="0.25">
      <c r="D2471" s="138">
        <v>42139</v>
      </c>
      <c r="E2471">
        <v>10905.75</v>
      </c>
    </row>
    <row r="2472" spans="4:5" x14ac:dyDescent="0.25">
      <c r="D2472" s="138">
        <v>42138</v>
      </c>
      <c r="E2472">
        <v>10855.42</v>
      </c>
    </row>
    <row r="2473" spans="4:5" x14ac:dyDescent="0.25">
      <c r="D2473" s="138">
        <v>42137</v>
      </c>
      <c r="E2473">
        <v>10870.3</v>
      </c>
    </row>
    <row r="2474" spans="4:5" x14ac:dyDescent="0.25">
      <c r="D2474" s="138">
        <v>42136</v>
      </c>
      <c r="E2474">
        <v>10727.03</v>
      </c>
    </row>
    <row r="2475" spans="4:5" x14ac:dyDescent="0.25">
      <c r="D2475" s="138">
        <v>42135</v>
      </c>
      <c r="E2475">
        <v>10988.82</v>
      </c>
    </row>
    <row r="2476" spans="4:5" x14ac:dyDescent="0.25">
      <c r="D2476" s="138">
        <v>42132</v>
      </c>
      <c r="E2476">
        <v>10812.25</v>
      </c>
    </row>
    <row r="2477" spans="4:5" x14ac:dyDescent="0.25">
      <c r="D2477" s="138">
        <v>42131</v>
      </c>
      <c r="E2477">
        <v>10630.43</v>
      </c>
    </row>
    <row r="2478" spans="4:5" x14ac:dyDescent="0.25">
      <c r="D2478" s="138">
        <v>42130</v>
      </c>
      <c r="E2478">
        <v>10682.81</v>
      </c>
    </row>
    <row r="2479" spans="4:5" x14ac:dyDescent="0.25">
      <c r="D2479" s="138">
        <v>42129</v>
      </c>
      <c r="E2479">
        <v>10983.33</v>
      </c>
    </row>
    <row r="2480" spans="4:5" x14ac:dyDescent="0.25">
      <c r="D2480" s="138">
        <v>42128</v>
      </c>
      <c r="E2480">
        <v>10992.81</v>
      </c>
    </row>
    <row r="2481" spans="4:5" x14ac:dyDescent="0.25">
      <c r="D2481" s="138">
        <v>42124</v>
      </c>
      <c r="E2481">
        <v>10794.27</v>
      </c>
    </row>
    <row r="2482" spans="4:5" x14ac:dyDescent="0.25">
      <c r="D2482" s="138">
        <v>42123</v>
      </c>
      <c r="E2482">
        <v>10871.15</v>
      </c>
    </row>
    <row r="2483" spans="4:5" x14ac:dyDescent="0.25">
      <c r="D2483" s="138">
        <v>42122</v>
      </c>
      <c r="E2483">
        <v>10931.63</v>
      </c>
    </row>
    <row r="2484" spans="4:5" x14ac:dyDescent="0.25">
      <c r="D2484" s="138">
        <v>42121</v>
      </c>
      <c r="E2484">
        <v>10836.88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180"/>
  <sheetViews>
    <sheetView showGridLines="0" topLeftCell="A2" zoomScale="80" zoomScaleNormal="80" workbookViewId="0">
      <selection activeCell="K19" sqref="K19"/>
    </sheetView>
  </sheetViews>
  <sheetFormatPr defaultRowHeight="15" x14ac:dyDescent="0.25"/>
  <cols>
    <col min="1" max="3" width="1.28515625" style="12" customWidth="1"/>
    <col min="4" max="4" width="12" style="12" customWidth="1"/>
    <col min="5" max="5" width="17.42578125" style="12" bestFit="1" customWidth="1"/>
    <col min="6" max="6" width="22" style="12" bestFit="1" customWidth="1"/>
    <col min="7" max="7" width="11.42578125" style="12" bestFit="1" customWidth="1"/>
    <col min="8" max="8" width="18.42578125" style="12" bestFit="1" customWidth="1"/>
    <col min="9" max="9" width="12.140625" style="12" bestFit="1" customWidth="1"/>
    <col min="10" max="10" width="10.85546875" style="12" bestFit="1" customWidth="1"/>
    <col min="11" max="11" width="13" style="12" bestFit="1" customWidth="1"/>
    <col min="12" max="12" width="14.5703125" style="12" bestFit="1" customWidth="1"/>
    <col min="13" max="14" width="13" style="12" bestFit="1" customWidth="1"/>
    <col min="15" max="15" width="13.85546875" style="12" bestFit="1" customWidth="1"/>
    <col min="16" max="16384" width="9.140625" style="12"/>
  </cols>
  <sheetData>
    <row r="1" spans="1:18" customFormat="1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8" customFormat="1" ht="15.75" x14ac:dyDescent="0.25">
      <c r="A2" s="3" t="s">
        <v>339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8" ht="14.25" customHeight="1" x14ac:dyDescent="0.25">
      <c r="A3" s="80"/>
      <c r="B3" s="80"/>
      <c r="C3" s="80"/>
      <c r="D3" s="80"/>
      <c r="E3" s="80"/>
      <c r="F3" s="80"/>
      <c r="G3" s="80"/>
      <c r="H3" s="80"/>
      <c r="I3" s="80"/>
    </row>
    <row r="4" spans="1:18" s="76" customFormat="1" ht="15.75" x14ac:dyDescent="0.25">
      <c r="A4" s="94"/>
      <c r="B4" s="94"/>
      <c r="C4" s="94"/>
      <c r="D4" s="94" t="s">
        <v>293</v>
      </c>
      <c r="E4" s="94" t="s">
        <v>340</v>
      </c>
      <c r="F4" s="94" t="s">
        <v>341</v>
      </c>
      <c r="G4" s="94" t="s">
        <v>342</v>
      </c>
      <c r="H4" s="94" t="s">
        <v>343</v>
      </c>
      <c r="I4" s="94"/>
      <c r="J4" s="94"/>
      <c r="K4" s="94"/>
      <c r="L4" s="94"/>
    </row>
    <row r="5" spans="1:18" x14ac:dyDescent="0.25">
      <c r="D5" s="211">
        <v>43922</v>
      </c>
      <c r="E5" s="212">
        <v>33717.620000000003</v>
      </c>
      <c r="F5" s="6"/>
      <c r="G5" s="212">
        <v>2608.4499999999998</v>
      </c>
      <c r="H5" s="102"/>
      <c r="I5" s="104"/>
      <c r="J5" s="104"/>
      <c r="K5" s="104"/>
      <c r="L5" s="104"/>
    </row>
    <row r="6" spans="1:18" x14ac:dyDescent="0.25">
      <c r="D6" s="211">
        <v>43952</v>
      </c>
      <c r="E6" s="212">
        <v>32424.1</v>
      </c>
      <c r="F6" s="104">
        <f>E6/E5-1</f>
        <v>-3.8363324576289881E-2</v>
      </c>
      <c r="G6" s="212">
        <v>2261.1999999999998</v>
      </c>
      <c r="H6" s="209">
        <f>G6/G5-1</f>
        <v>-0.13312503594088443</v>
      </c>
      <c r="I6" s="104"/>
      <c r="J6" s="104" t="s">
        <v>416</v>
      </c>
      <c r="K6" s="263">
        <f>MIN(G53:G65)</f>
        <v>4634.8999999999996</v>
      </c>
      <c r="L6" s="104"/>
    </row>
    <row r="7" spans="1:18" x14ac:dyDescent="0.25">
      <c r="C7" s="92"/>
      <c r="D7" s="211">
        <v>43983</v>
      </c>
      <c r="E7" s="212">
        <v>34915.800000000003</v>
      </c>
      <c r="F7" s="104">
        <f t="shared" ref="F7:F65" si="0">E7/E6-1</f>
        <v>7.6847159982852409E-2</v>
      </c>
      <c r="G7" s="212">
        <v>2366.1</v>
      </c>
      <c r="H7" s="209">
        <f t="shared" ref="H7:H65" si="1">G7/G6-1</f>
        <v>4.6391296656642433E-2</v>
      </c>
      <c r="I7" s="104"/>
      <c r="J7" s="104" t="s">
        <v>417</v>
      </c>
      <c r="K7" s="263">
        <f>MAX(G54:G66)</f>
        <v>6167.8</v>
      </c>
      <c r="L7" s="104"/>
    </row>
    <row r="8" spans="1:18" x14ac:dyDescent="0.25">
      <c r="C8" s="92"/>
      <c r="D8" s="211">
        <v>44013</v>
      </c>
      <c r="E8" s="212">
        <v>37606.89</v>
      </c>
      <c r="F8" s="104">
        <f t="shared" si="0"/>
        <v>7.7073703022700224E-2</v>
      </c>
      <c r="G8" s="212">
        <v>2662.4</v>
      </c>
      <c r="H8" s="209">
        <f t="shared" si="1"/>
        <v>0.12522716706817127</v>
      </c>
      <c r="I8" s="86"/>
      <c r="J8" s="12" t="s">
        <v>344</v>
      </c>
      <c r="K8" s="221">
        <f>SLOPE(H6:H65,F6:F65)</f>
        <v>0.84537079372320545</v>
      </c>
    </row>
    <row r="9" spans="1:18" x14ac:dyDescent="0.25">
      <c r="C9" s="92"/>
      <c r="D9" s="211">
        <v>44044</v>
      </c>
      <c r="E9" s="212">
        <v>38628.29</v>
      </c>
      <c r="F9" s="104">
        <f t="shared" si="0"/>
        <v>2.7159916706752441E-2</v>
      </c>
      <c r="G9" s="212">
        <v>2720.8</v>
      </c>
      <c r="H9" s="209">
        <f t="shared" si="1"/>
        <v>2.1935096153846256E-2</v>
      </c>
      <c r="I9" s="84"/>
    </row>
    <row r="10" spans="1:18" x14ac:dyDescent="0.25">
      <c r="C10" s="92"/>
      <c r="D10" s="211">
        <v>44075</v>
      </c>
      <c r="E10" s="212">
        <v>38067.93</v>
      </c>
      <c r="F10" s="104">
        <f t="shared" si="0"/>
        <v>-1.4506466633651183E-2</v>
      </c>
      <c r="G10" s="212">
        <v>2779.05</v>
      </c>
      <c r="H10" s="209">
        <f t="shared" si="1"/>
        <v>2.140914436930319E-2</v>
      </c>
      <c r="I10" s="84"/>
      <c r="J10" t="s">
        <v>345</v>
      </c>
      <c r="K10"/>
      <c r="L10"/>
      <c r="M10"/>
      <c r="N10"/>
      <c r="O10"/>
      <c r="P10"/>
      <c r="Q10"/>
      <c r="R10"/>
    </row>
    <row r="11" spans="1:18" ht="15.75" thickBot="1" x14ac:dyDescent="0.3">
      <c r="C11" s="92"/>
      <c r="D11" s="211">
        <v>44105</v>
      </c>
      <c r="E11" s="212">
        <v>39614.07</v>
      </c>
      <c r="F11" s="104">
        <f t="shared" si="0"/>
        <v>4.061528956263194E-2</v>
      </c>
      <c r="G11" s="212">
        <v>2634.25</v>
      </c>
      <c r="H11" s="209">
        <f t="shared" si="1"/>
        <v>-5.2104136305572091E-2</v>
      </c>
      <c r="I11" s="84"/>
      <c r="J11"/>
      <c r="K11"/>
      <c r="L11"/>
      <c r="M11"/>
      <c r="N11"/>
      <c r="O11"/>
      <c r="P11"/>
      <c r="Q11"/>
      <c r="R11"/>
    </row>
    <row r="12" spans="1:18" x14ac:dyDescent="0.25">
      <c r="C12" s="92"/>
      <c r="D12" s="211">
        <v>44136</v>
      </c>
      <c r="E12" s="212">
        <v>44149.72</v>
      </c>
      <c r="F12" s="104">
        <f t="shared" si="0"/>
        <v>0.11449593540880798</v>
      </c>
      <c r="G12" s="212">
        <v>2840.65</v>
      </c>
      <c r="H12" s="209">
        <f t="shared" si="1"/>
        <v>7.8352472240675652E-2</v>
      </c>
      <c r="I12" s="84"/>
      <c r="J12" s="219" t="s">
        <v>346</v>
      </c>
      <c r="K12" s="219"/>
      <c r="L12"/>
      <c r="M12"/>
      <c r="N12"/>
      <c r="O12"/>
      <c r="P12"/>
      <c r="Q12"/>
      <c r="R12"/>
    </row>
    <row r="13" spans="1:18" x14ac:dyDescent="0.25">
      <c r="C13" s="92"/>
      <c r="D13" s="211">
        <v>44166</v>
      </c>
      <c r="E13" s="212">
        <v>47751.33</v>
      </c>
      <c r="F13" s="104">
        <f t="shared" si="0"/>
        <v>8.15771878054945E-2</v>
      </c>
      <c r="G13" s="212">
        <v>2908.7</v>
      </c>
      <c r="H13" s="209">
        <f t="shared" si="1"/>
        <v>2.3955784767570654E-2</v>
      </c>
      <c r="I13" s="84"/>
      <c r="J13" s="216" t="s">
        <v>347</v>
      </c>
      <c r="K13" s="216">
        <v>0.46334368187932906</v>
      </c>
      <c r="L13"/>
      <c r="M13"/>
      <c r="N13"/>
      <c r="O13"/>
      <c r="P13"/>
      <c r="Q13"/>
      <c r="R13"/>
    </row>
    <row r="14" spans="1:18" x14ac:dyDescent="0.25">
      <c r="C14" s="92"/>
      <c r="D14" s="211">
        <v>44197</v>
      </c>
      <c r="E14" s="212">
        <v>46285.77</v>
      </c>
      <c r="F14" s="104">
        <f t="shared" si="0"/>
        <v>-3.0691501158187751E-2</v>
      </c>
      <c r="G14" s="212">
        <v>3003.75</v>
      </c>
      <c r="H14" s="209">
        <f t="shared" si="1"/>
        <v>3.2677828583215884E-2</v>
      </c>
      <c r="I14" s="84"/>
      <c r="J14" s="216" t="s">
        <v>348</v>
      </c>
      <c r="K14" s="216">
        <v>0.21468736753749287</v>
      </c>
      <c r="L14"/>
      <c r="M14"/>
      <c r="N14"/>
      <c r="O14"/>
      <c r="P14"/>
      <c r="Q14"/>
      <c r="R14"/>
    </row>
    <row r="15" spans="1:18" x14ac:dyDescent="0.25">
      <c r="C15" s="92"/>
      <c r="D15" s="211">
        <v>44228</v>
      </c>
      <c r="E15" s="212">
        <v>49099.99</v>
      </c>
      <c r="F15" s="104">
        <f t="shared" si="0"/>
        <v>6.0800976196355938E-2</v>
      </c>
      <c r="G15" s="212">
        <v>2718.6</v>
      </c>
      <c r="H15" s="209">
        <f t="shared" si="1"/>
        <v>-9.4931335830212293E-2</v>
      </c>
      <c r="I15" s="84"/>
      <c r="J15" s="216" t="s">
        <v>349</v>
      </c>
      <c r="K15" s="216">
        <v>0.20114749456400136</v>
      </c>
      <c r="L15"/>
      <c r="M15"/>
      <c r="N15"/>
      <c r="O15"/>
      <c r="P15"/>
      <c r="Q15"/>
      <c r="R15"/>
    </row>
    <row r="16" spans="1:18" x14ac:dyDescent="0.25">
      <c r="C16" s="92"/>
      <c r="D16" s="211">
        <v>44256</v>
      </c>
      <c r="E16" s="212">
        <v>49509.15</v>
      </c>
      <c r="F16" s="104">
        <f t="shared" si="0"/>
        <v>8.3331992531974208E-3</v>
      </c>
      <c r="G16" s="212">
        <v>2772.2</v>
      </c>
      <c r="H16" s="209">
        <f t="shared" si="1"/>
        <v>1.9716030309718136E-2</v>
      </c>
      <c r="I16" s="84"/>
      <c r="J16" s="216" t="s">
        <v>350</v>
      </c>
      <c r="K16" s="216">
        <v>6.62190949598645E-2</v>
      </c>
      <c r="L16"/>
      <c r="M16"/>
      <c r="N16"/>
      <c r="O16"/>
      <c r="P16"/>
      <c r="Q16"/>
      <c r="R16"/>
    </row>
    <row r="17" spans="1:18" ht="15.75" thickBot="1" x14ac:dyDescent="0.3">
      <c r="C17" s="92"/>
      <c r="D17" s="211">
        <v>44287</v>
      </c>
      <c r="E17" s="212">
        <v>48782.36</v>
      </c>
      <c r="F17" s="104">
        <f t="shared" si="0"/>
        <v>-1.4679912703005393E-2</v>
      </c>
      <c r="G17" s="212">
        <v>2757.25</v>
      </c>
      <c r="H17" s="209">
        <f t="shared" si="1"/>
        <v>-5.3928288002308422E-3</v>
      </c>
      <c r="I17" s="86"/>
      <c r="J17" s="217" t="s">
        <v>351</v>
      </c>
      <c r="K17" s="217">
        <v>60</v>
      </c>
      <c r="L17"/>
      <c r="M17"/>
      <c r="N17"/>
      <c r="O17"/>
      <c r="P17"/>
      <c r="Q17"/>
      <c r="R17"/>
    </row>
    <row r="18" spans="1:18" x14ac:dyDescent="0.25">
      <c r="C18" s="92"/>
      <c r="D18" s="211">
        <v>44317</v>
      </c>
      <c r="E18" s="212">
        <v>51937.440000000002</v>
      </c>
      <c r="F18" s="104">
        <f t="shared" si="0"/>
        <v>6.4676657709877183E-2</v>
      </c>
      <c r="G18" s="212">
        <v>2984.9</v>
      </c>
      <c r="H18" s="209">
        <f t="shared" si="1"/>
        <v>8.2564149061564951E-2</v>
      </c>
      <c r="I18" s="84"/>
      <c r="J18"/>
      <c r="K18"/>
      <c r="L18"/>
      <c r="M18"/>
      <c r="N18"/>
      <c r="O18"/>
      <c r="P18"/>
      <c r="Q18"/>
      <c r="R18"/>
    </row>
    <row r="19" spans="1:18" ht="15.75" thickBot="1" x14ac:dyDescent="0.3">
      <c r="C19" s="92"/>
      <c r="D19" s="211">
        <v>44348</v>
      </c>
      <c r="E19" s="212">
        <v>52482.71</v>
      </c>
      <c r="F19" s="104">
        <f t="shared" si="0"/>
        <v>1.0498592152404784E-2</v>
      </c>
      <c r="G19" s="212">
        <v>3196.7</v>
      </c>
      <c r="H19" s="209">
        <f t="shared" si="1"/>
        <v>7.0957150993333107E-2</v>
      </c>
      <c r="I19" s="84"/>
      <c r="J19" t="s">
        <v>352</v>
      </c>
      <c r="K19"/>
      <c r="L19"/>
      <c r="M19"/>
      <c r="N19"/>
      <c r="O19"/>
      <c r="P19"/>
      <c r="Q19"/>
      <c r="R19"/>
    </row>
    <row r="20" spans="1:18" x14ac:dyDescent="0.25">
      <c r="C20" s="92"/>
      <c r="D20" s="211">
        <v>44378</v>
      </c>
      <c r="E20" s="212">
        <v>52586.84</v>
      </c>
      <c r="F20" s="104">
        <f t="shared" si="0"/>
        <v>1.9840819957657185E-3</v>
      </c>
      <c r="G20" s="212">
        <v>3454.55</v>
      </c>
      <c r="H20" s="209">
        <f t="shared" si="1"/>
        <v>8.0661306972815927E-2</v>
      </c>
      <c r="I20" s="86"/>
      <c r="J20" s="218"/>
      <c r="K20" s="218" t="s">
        <v>356</v>
      </c>
      <c r="L20" s="218" t="s">
        <v>357</v>
      </c>
      <c r="M20" s="218" t="s">
        <v>358</v>
      </c>
      <c r="N20" s="218" t="s">
        <v>359</v>
      </c>
      <c r="O20" s="218" t="s">
        <v>360</v>
      </c>
      <c r="P20"/>
      <c r="Q20"/>
      <c r="R20"/>
    </row>
    <row r="21" spans="1:18" x14ac:dyDescent="0.25">
      <c r="C21" s="92"/>
      <c r="D21" s="211">
        <v>44409</v>
      </c>
      <c r="E21" s="212">
        <v>57552.39</v>
      </c>
      <c r="F21" s="104">
        <f t="shared" si="0"/>
        <v>9.4425715635318763E-2</v>
      </c>
      <c r="G21" s="212">
        <v>3878.6</v>
      </c>
      <c r="H21" s="209">
        <f t="shared" si="1"/>
        <v>0.12275115427479699</v>
      </c>
      <c r="I21" s="84"/>
      <c r="J21" s="216" t="s">
        <v>353</v>
      </c>
      <c r="K21" s="216">
        <v>1</v>
      </c>
      <c r="L21" s="216">
        <v>6.9527783152139422E-2</v>
      </c>
      <c r="M21" s="216">
        <v>6.9527783152139422E-2</v>
      </c>
      <c r="N21" s="216">
        <v>15.855936607220018</v>
      </c>
      <c r="O21" s="216">
        <v>1.928829838514805E-4</v>
      </c>
      <c r="P21"/>
      <c r="Q21"/>
      <c r="R21"/>
    </row>
    <row r="22" spans="1:18" x14ac:dyDescent="0.25">
      <c r="C22" s="92"/>
      <c r="D22" s="211">
        <v>44440</v>
      </c>
      <c r="E22" s="212">
        <v>59126.36</v>
      </c>
      <c r="F22" s="104">
        <f t="shared" si="0"/>
        <v>2.7348473277999386E-2</v>
      </c>
      <c r="G22" s="212">
        <v>3980.05</v>
      </c>
      <c r="H22" s="209">
        <f t="shared" si="1"/>
        <v>2.6156345072964493E-2</v>
      </c>
      <c r="I22" s="84"/>
      <c r="J22" s="216" t="s">
        <v>354</v>
      </c>
      <c r="K22" s="216">
        <v>58</v>
      </c>
      <c r="L22" s="216">
        <v>0.25432817516360606</v>
      </c>
      <c r="M22" s="216">
        <v>4.3849685373035527E-3</v>
      </c>
      <c r="N22" s="216"/>
      <c r="O22" s="216"/>
      <c r="P22"/>
      <c r="Q22"/>
      <c r="R22"/>
    </row>
    <row r="23" spans="1:18" ht="15.75" thickBot="1" x14ac:dyDescent="0.3">
      <c r="C23" s="92"/>
      <c r="D23" s="211">
        <v>44470</v>
      </c>
      <c r="E23" s="212">
        <v>59306.93</v>
      </c>
      <c r="F23" s="104">
        <f t="shared" si="0"/>
        <v>3.0539678072520893E-3</v>
      </c>
      <c r="G23" s="212">
        <v>3608.45</v>
      </c>
      <c r="H23" s="209">
        <f t="shared" si="1"/>
        <v>-9.3365661235411679E-2</v>
      </c>
      <c r="I23" s="84"/>
      <c r="J23" s="217" t="s">
        <v>143</v>
      </c>
      <c r="K23" s="217">
        <v>59</v>
      </c>
      <c r="L23" s="217">
        <v>0.32385595831574548</v>
      </c>
      <c r="M23" s="217"/>
      <c r="N23" s="217"/>
      <c r="O23" s="217"/>
      <c r="P23"/>
      <c r="Q23"/>
      <c r="R23"/>
    </row>
    <row r="24" spans="1:18" ht="15.75" thickBot="1" x14ac:dyDescent="0.3">
      <c r="C24" s="92"/>
      <c r="D24" s="211">
        <v>44501</v>
      </c>
      <c r="E24" s="212">
        <v>57064.87</v>
      </c>
      <c r="F24" s="104">
        <f t="shared" si="0"/>
        <v>-3.7804351026094252E-2</v>
      </c>
      <c r="G24" s="212">
        <v>3591.3</v>
      </c>
      <c r="H24" s="209">
        <f t="shared" si="1"/>
        <v>-4.7527331679806384E-3</v>
      </c>
      <c r="I24" s="84"/>
      <c r="J24"/>
      <c r="K24"/>
      <c r="L24"/>
      <c r="M24"/>
      <c r="N24"/>
      <c r="O24"/>
      <c r="P24"/>
      <c r="Q24"/>
      <c r="R24"/>
    </row>
    <row r="25" spans="1:18" x14ac:dyDescent="0.25">
      <c r="C25" s="92"/>
      <c r="D25" s="211">
        <v>44531</v>
      </c>
      <c r="E25" s="212">
        <v>58253.82</v>
      </c>
      <c r="F25" s="104">
        <f t="shared" si="0"/>
        <v>2.0835060169242414E-2</v>
      </c>
      <c r="G25" s="212">
        <v>3622.95</v>
      </c>
      <c r="H25" s="209">
        <f t="shared" si="1"/>
        <v>8.8129646646060156E-3</v>
      </c>
      <c r="I25" s="84"/>
      <c r="J25" s="218"/>
      <c r="K25" s="218" t="s">
        <v>361</v>
      </c>
      <c r="L25" s="218" t="s">
        <v>350</v>
      </c>
      <c r="M25" s="218" t="s">
        <v>362</v>
      </c>
      <c r="N25" s="218" t="s">
        <v>363</v>
      </c>
      <c r="O25" s="218" t="s">
        <v>364</v>
      </c>
      <c r="P25" s="218" t="s">
        <v>365</v>
      </c>
      <c r="Q25" s="218" t="s">
        <v>366</v>
      </c>
      <c r="R25" s="218" t="s">
        <v>367</v>
      </c>
    </row>
    <row r="26" spans="1:18" x14ac:dyDescent="0.25">
      <c r="C26" s="92"/>
      <c r="D26" s="211">
        <v>44562</v>
      </c>
      <c r="E26" s="212">
        <v>58014.17</v>
      </c>
      <c r="F26" s="104">
        <f t="shared" si="0"/>
        <v>-4.113893303477778E-3</v>
      </c>
      <c r="G26" s="212">
        <v>3541.6</v>
      </c>
      <c r="H26" s="209">
        <f t="shared" si="1"/>
        <v>-2.2454077478298085E-2</v>
      </c>
      <c r="I26" s="86"/>
      <c r="J26" s="216" t="s">
        <v>355</v>
      </c>
      <c r="K26" s="216">
        <v>8.4014163684747664E-4</v>
      </c>
      <c r="L26" s="216">
        <v>9.1323890474765395E-3</v>
      </c>
      <c r="M26" s="216">
        <v>9.19958219563176E-2</v>
      </c>
      <c r="N26" s="216">
        <v>0.92701837432841772</v>
      </c>
      <c r="O26" s="216">
        <v>-1.7440321191502763E-2</v>
      </c>
      <c r="P26" s="216">
        <v>1.9120604465197717E-2</v>
      </c>
      <c r="Q26" s="216">
        <v>-1.7440321191502763E-2</v>
      </c>
      <c r="R26" s="216">
        <v>1.9120604465197717E-2</v>
      </c>
    </row>
    <row r="27" spans="1:18" ht="15.75" thickBot="1" x14ac:dyDescent="0.3">
      <c r="C27" s="92"/>
      <c r="D27" s="211">
        <v>44593</v>
      </c>
      <c r="E27" s="212">
        <v>56247.28</v>
      </c>
      <c r="F27" s="104">
        <f t="shared" si="0"/>
        <v>-3.0456179929834404E-2</v>
      </c>
      <c r="G27" s="212">
        <v>3278.35</v>
      </c>
      <c r="H27" s="209">
        <f t="shared" si="1"/>
        <v>-7.4330810932911717E-2</v>
      </c>
      <c r="I27" s="84"/>
      <c r="J27" s="217" t="s">
        <v>368</v>
      </c>
      <c r="K27" s="220">
        <v>0.84537079372320534</v>
      </c>
      <c r="L27" s="217">
        <v>0.21230063302964713</v>
      </c>
      <c r="M27" s="217">
        <v>3.9819513567119316</v>
      </c>
      <c r="N27" s="217">
        <v>1.9288298385148256E-4</v>
      </c>
      <c r="O27" s="217">
        <v>0.42040490469265923</v>
      </c>
      <c r="P27" s="217">
        <v>1.2703366827537514</v>
      </c>
      <c r="Q27" s="217">
        <v>0.42040490469265923</v>
      </c>
      <c r="R27" s="217">
        <v>1.2703366827537514</v>
      </c>
    </row>
    <row r="28" spans="1:18" x14ac:dyDescent="0.25">
      <c r="C28" s="92"/>
      <c r="D28" s="211">
        <v>44621</v>
      </c>
      <c r="E28" s="212">
        <v>58568.51</v>
      </c>
      <c r="F28" s="104">
        <f t="shared" si="0"/>
        <v>4.1268306663006626E-2</v>
      </c>
      <c r="G28" s="212">
        <v>3617.1</v>
      </c>
      <c r="H28" s="209">
        <f t="shared" si="1"/>
        <v>0.10332941876248714</v>
      </c>
      <c r="I28" s="86"/>
      <c r="J28"/>
      <c r="K28"/>
      <c r="L28"/>
      <c r="M28"/>
      <c r="N28"/>
      <c r="O28"/>
      <c r="P28"/>
      <c r="Q28"/>
      <c r="R28"/>
    </row>
    <row r="29" spans="1:18" x14ac:dyDescent="0.25">
      <c r="C29" s="92"/>
      <c r="D29" s="211">
        <v>44652</v>
      </c>
      <c r="E29" s="212">
        <v>57060.87</v>
      </c>
      <c r="F29" s="104">
        <f t="shared" si="0"/>
        <v>-2.5741477800954815E-2</v>
      </c>
      <c r="G29" s="212">
        <v>3253.05</v>
      </c>
      <c r="H29" s="209">
        <f t="shared" si="1"/>
        <v>-0.10064692709629253</v>
      </c>
      <c r="I29" s="92"/>
      <c r="J29"/>
      <c r="K29"/>
      <c r="L29"/>
      <c r="M29"/>
      <c r="N29"/>
      <c r="O29"/>
      <c r="P29"/>
      <c r="Q29"/>
      <c r="R29"/>
    </row>
    <row r="30" spans="1:18" x14ac:dyDescent="0.25">
      <c r="C30" s="92"/>
      <c r="D30" s="211">
        <v>44682</v>
      </c>
      <c r="E30" s="212">
        <v>55566.41</v>
      </c>
      <c r="F30" s="104">
        <f t="shared" si="0"/>
        <v>-2.6190627657797672E-2</v>
      </c>
      <c r="G30" s="212">
        <v>3152.15</v>
      </c>
      <c r="H30" s="209">
        <f t="shared" si="1"/>
        <v>-3.101704554187612E-2</v>
      </c>
      <c r="I30" s="92"/>
      <c r="J30"/>
      <c r="K30"/>
      <c r="L30"/>
      <c r="M30"/>
      <c r="N30"/>
      <c r="O30"/>
      <c r="P30"/>
      <c r="Q30"/>
      <c r="R30"/>
    </row>
    <row r="31" spans="1:18" s="76" customFormat="1" ht="15.75" x14ac:dyDescent="0.25">
      <c r="A31" s="94"/>
      <c r="B31" s="94"/>
      <c r="C31" s="117"/>
      <c r="D31" s="213">
        <v>44713</v>
      </c>
      <c r="E31" s="214">
        <v>53018.94</v>
      </c>
      <c r="F31" s="113">
        <f t="shared" si="0"/>
        <v>-4.5845502705681329E-2</v>
      </c>
      <c r="G31" s="214">
        <v>3001.05</v>
      </c>
      <c r="H31" s="210">
        <f t="shared" si="1"/>
        <v>-4.7935536062687301E-2</v>
      </c>
      <c r="I31" s="117"/>
    </row>
    <row r="32" spans="1:18" x14ac:dyDescent="0.25">
      <c r="C32" s="92"/>
      <c r="D32" s="211">
        <v>44743</v>
      </c>
      <c r="E32" s="212">
        <v>57570.25</v>
      </c>
      <c r="F32" s="104">
        <f t="shared" si="0"/>
        <v>8.5843096825398479E-2</v>
      </c>
      <c r="G32" s="212">
        <v>3221.55</v>
      </c>
      <c r="H32" s="209">
        <f t="shared" si="1"/>
        <v>7.3474284000599743E-2</v>
      </c>
      <c r="I32" s="96"/>
    </row>
    <row r="33" spans="3:9" x14ac:dyDescent="0.25">
      <c r="C33" s="92"/>
      <c r="D33" s="211">
        <v>44774</v>
      </c>
      <c r="E33" s="212">
        <v>59537.07</v>
      </c>
      <c r="F33" s="104">
        <f t="shared" si="0"/>
        <v>3.4163825934401926E-2</v>
      </c>
      <c r="G33" s="212">
        <v>2975.5</v>
      </c>
      <c r="H33" s="209">
        <f t="shared" si="1"/>
        <v>-7.6376278499480144E-2</v>
      </c>
      <c r="I33" s="88"/>
    </row>
    <row r="34" spans="3:9" x14ac:dyDescent="0.25">
      <c r="C34" s="92"/>
      <c r="D34" s="211">
        <v>44805</v>
      </c>
      <c r="E34" s="212">
        <v>57426.92</v>
      </c>
      <c r="F34" s="104">
        <f t="shared" si="0"/>
        <v>-3.5442624233943731E-2</v>
      </c>
      <c r="G34" s="212">
        <v>3279.75</v>
      </c>
      <c r="H34" s="209">
        <f t="shared" si="1"/>
        <v>0.10225172239959668</v>
      </c>
      <c r="I34" s="96"/>
    </row>
    <row r="35" spans="3:9" x14ac:dyDescent="0.25">
      <c r="C35" s="92"/>
      <c r="D35" s="211">
        <v>44835</v>
      </c>
      <c r="E35" s="212">
        <v>60746.59</v>
      </c>
      <c r="F35" s="104">
        <f t="shared" si="0"/>
        <v>5.7806861311733293E-2</v>
      </c>
      <c r="G35" s="212">
        <v>3155.05</v>
      </c>
      <c r="H35" s="209">
        <f t="shared" si="1"/>
        <v>-3.8021190639530356E-2</v>
      </c>
      <c r="I35" s="96"/>
    </row>
    <row r="36" spans="3:9" x14ac:dyDescent="0.25">
      <c r="C36" s="92"/>
      <c r="D36" s="211">
        <v>44866</v>
      </c>
      <c r="E36" s="212">
        <v>63099.65</v>
      </c>
      <c r="F36" s="104">
        <f t="shared" si="0"/>
        <v>3.8735672241026364E-2</v>
      </c>
      <c r="G36" s="212">
        <v>3126.35</v>
      </c>
      <c r="H36" s="209">
        <f t="shared" si="1"/>
        <v>-9.0965277887831153E-3</v>
      </c>
      <c r="I36" s="96"/>
    </row>
    <row r="37" spans="3:9" x14ac:dyDescent="0.25">
      <c r="C37" s="92"/>
      <c r="D37" s="211">
        <v>44896</v>
      </c>
      <c r="E37" s="212">
        <v>60840.74</v>
      </c>
      <c r="F37" s="104">
        <f t="shared" si="0"/>
        <v>-3.5799089218403024E-2</v>
      </c>
      <c r="G37" s="212">
        <v>3005.25</v>
      </c>
      <c r="H37" s="209">
        <f t="shared" si="1"/>
        <v>-3.8735266364930299E-2</v>
      </c>
      <c r="I37" s="96"/>
    </row>
    <row r="38" spans="3:9" x14ac:dyDescent="0.25">
      <c r="C38" s="92"/>
      <c r="D38" s="211">
        <v>44927</v>
      </c>
      <c r="E38" s="212">
        <v>59549.9</v>
      </c>
      <c r="F38" s="104">
        <f t="shared" si="0"/>
        <v>-2.1216704464804281E-2</v>
      </c>
      <c r="G38" s="212">
        <v>3009.75</v>
      </c>
      <c r="H38" s="209">
        <f t="shared" si="1"/>
        <v>1.4973795857249339E-3</v>
      </c>
      <c r="I38" s="96"/>
    </row>
    <row r="39" spans="3:9" x14ac:dyDescent="0.25">
      <c r="C39" s="92"/>
      <c r="D39" s="211">
        <v>44958</v>
      </c>
      <c r="E39" s="212">
        <v>58962.12</v>
      </c>
      <c r="F39" s="104">
        <f t="shared" si="0"/>
        <v>-9.8703776160833367E-3</v>
      </c>
      <c r="G39" s="212">
        <v>3175.5</v>
      </c>
      <c r="H39" s="209">
        <f t="shared" si="1"/>
        <v>5.5071019187640236E-2</v>
      </c>
      <c r="I39" s="96"/>
    </row>
    <row r="40" spans="3:9" x14ac:dyDescent="0.25">
      <c r="C40" s="92"/>
      <c r="D40" s="211">
        <v>44986</v>
      </c>
      <c r="E40" s="212">
        <v>58991.519999999997</v>
      </c>
      <c r="F40" s="104">
        <f t="shared" si="0"/>
        <v>4.9862521903887291E-4</v>
      </c>
      <c r="G40" s="212">
        <v>3397.85</v>
      </c>
      <c r="H40" s="209">
        <f t="shared" si="1"/>
        <v>7.002046921744598E-2</v>
      </c>
      <c r="I40" s="96"/>
    </row>
    <row r="41" spans="3:9" x14ac:dyDescent="0.25">
      <c r="C41" s="92"/>
      <c r="D41" s="211">
        <v>45017</v>
      </c>
      <c r="E41" s="212">
        <v>61112.44</v>
      </c>
      <c r="F41" s="104">
        <f t="shared" si="0"/>
        <v>3.5952964087041739E-2</v>
      </c>
      <c r="G41" s="212">
        <v>3513.5</v>
      </c>
      <c r="H41" s="209">
        <f t="shared" si="1"/>
        <v>3.4036228791735956E-2</v>
      </c>
      <c r="I41" s="96"/>
    </row>
    <row r="42" spans="3:9" x14ac:dyDescent="0.25">
      <c r="C42" s="92"/>
      <c r="D42" s="211">
        <v>45047</v>
      </c>
      <c r="E42" s="212">
        <v>62622.239999999998</v>
      </c>
      <c r="F42" s="104">
        <f t="shared" si="0"/>
        <v>2.4705280954254061E-2</v>
      </c>
      <c r="G42" s="212">
        <v>3358</v>
      </c>
      <c r="H42" s="209">
        <f t="shared" si="1"/>
        <v>-4.4257862530240555E-2</v>
      </c>
      <c r="I42" s="96"/>
    </row>
    <row r="43" spans="3:9" x14ac:dyDescent="0.25">
      <c r="C43" s="92"/>
      <c r="D43" s="211">
        <v>45078</v>
      </c>
      <c r="E43" s="212">
        <v>64718.559999999998</v>
      </c>
      <c r="F43" s="104">
        <f t="shared" si="0"/>
        <v>3.3475646990589913E-2</v>
      </c>
      <c r="G43" s="212">
        <v>3512.3</v>
      </c>
      <c r="H43" s="209">
        <f t="shared" si="1"/>
        <v>4.5949970220369396E-2</v>
      </c>
      <c r="I43" s="96"/>
    </row>
    <row r="44" spans="3:9" x14ac:dyDescent="0.25">
      <c r="C44" s="92"/>
      <c r="D44" s="211">
        <v>45108</v>
      </c>
      <c r="E44" s="212">
        <v>66527.67</v>
      </c>
      <c r="F44" s="104">
        <f t="shared" si="0"/>
        <v>2.7953495875062684E-2</v>
      </c>
      <c r="G44" s="212">
        <v>3977.2</v>
      </c>
      <c r="H44" s="209">
        <f t="shared" si="1"/>
        <v>0.13236340859265994</v>
      </c>
      <c r="I44" s="96"/>
    </row>
    <row r="45" spans="3:9" x14ac:dyDescent="0.25">
      <c r="C45" s="92"/>
      <c r="D45" s="211">
        <v>45139</v>
      </c>
      <c r="E45" s="212">
        <v>64831.41</v>
      </c>
      <c r="F45" s="104">
        <f t="shared" si="0"/>
        <v>-2.5497060095445945E-2</v>
      </c>
      <c r="G45" s="212">
        <v>3638.95</v>
      </c>
      <c r="H45" s="209">
        <f t="shared" si="1"/>
        <v>-8.5047269435784001E-2</v>
      </c>
      <c r="I45" s="96"/>
    </row>
    <row r="46" spans="3:9" x14ac:dyDescent="0.25">
      <c r="C46" s="92"/>
      <c r="D46" s="211">
        <v>45170</v>
      </c>
      <c r="E46" s="212">
        <v>65828.41</v>
      </c>
      <c r="F46" s="104">
        <f t="shared" si="0"/>
        <v>1.5378348242001794E-2</v>
      </c>
      <c r="G46" s="212">
        <v>3607.65</v>
      </c>
      <c r="H46" s="209">
        <f t="shared" si="1"/>
        <v>-8.6013822668625783E-3</v>
      </c>
      <c r="I46" s="96"/>
    </row>
    <row r="47" spans="3:9" x14ac:dyDescent="0.25">
      <c r="C47" s="92"/>
      <c r="D47" s="211">
        <v>45200</v>
      </c>
      <c r="E47" s="212">
        <v>63874.93</v>
      </c>
      <c r="F47" s="104">
        <f t="shared" si="0"/>
        <v>-2.9675333188208586E-2</v>
      </c>
      <c r="G47" s="212">
        <v>3723.3</v>
      </c>
      <c r="H47" s="209">
        <f t="shared" si="1"/>
        <v>3.2056879131844962E-2</v>
      </c>
      <c r="I47" s="96"/>
    </row>
    <row r="48" spans="3:9" x14ac:dyDescent="0.25">
      <c r="C48" s="92"/>
      <c r="D48" s="211">
        <v>45231</v>
      </c>
      <c r="E48" s="212">
        <v>66988.44</v>
      </c>
      <c r="F48" s="104">
        <f t="shared" si="0"/>
        <v>4.8743849895412916E-2</v>
      </c>
      <c r="G48" s="212">
        <v>4725.7</v>
      </c>
      <c r="H48" s="209">
        <f t="shared" si="1"/>
        <v>0.26922353825907108</v>
      </c>
      <c r="I48" s="96"/>
    </row>
    <row r="49" spans="3:9" x14ac:dyDescent="0.25">
      <c r="C49" s="92"/>
      <c r="D49" s="211">
        <v>45261</v>
      </c>
      <c r="E49" s="212">
        <v>72240.259999999995</v>
      </c>
      <c r="F49" s="104">
        <f t="shared" si="0"/>
        <v>7.8398899869887906E-2</v>
      </c>
      <c r="G49" s="212">
        <v>5192.6000000000004</v>
      </c>
      <c r="H49" s="209">
        <f t="shared" si="1"/>
        <v>9.8800177751444451E-2</v>
      </c>
      <c r="I49" s="91"/>
    </row>
    <row r="50" spans="3:9" x14ac:dyDescent="0.25">
      <c r="C50" s="92"/>
      <c r="D50" s="211">
        <v>45292</v>
      </c>
      <c r="E50" s="212">
        <v>71752.11</v>
      </c>
      <c r="F50" s="104">
        <f t="shared" si="0"/>
        <v>-6.7573123352545617E-3</v>
      </c>
      <c r="G50" s="212">
        <v>4994.3999999999996</v>
      </c>
      <c r="H50" s="209">
        <f t="shared" si="1"/>
        <v>-3.8169703038940184E-2</v>
      </c>
      <c r="I50" s="96"/>
    </row>
    <row r="51" spans="3:9" x14ac:dyDescent="0.25">
      <c r="C51" s="92"/>
      <c r="D51" s="211">
        <v>45323</v>
      </c>
      <c r="E51" s="212">
        <v>72500.3</v>
      </c>
      <c r="F51" s="104">
        <f t="shared" si="0"/>
        <v>1.0427428545306983E-2</v>
      </c>
      <c r="G51" s="212">
        <v>5122.75</v>
      </c>
      <c r="H51" s="209">
        <f t="shared" si="1"/>
        <v>2.5698782636553119E-2</v>
      </c>
      <c r="I51" s="96"/>
    </row>
    <row r="52" spans="3:9" x14ac:dyDescent="0.25">
      <c r="C52" s="92"/>
      <c r="D52" s="211">
        <v>45352</v>
      </c>
      <c r="E52" s="212">
        <v>73651.350000000006</v>
      </c>
      <c r="F52" s="104">
        <f t="shared" si="0"/>
        <v>1.5876486028333803E-2</v>
      </c>
      <c r="G52" s="212">
        <v>4940.2</v>
      </c>
      <c r="H52" s="209">
        <f t="shared" si="1"/>
        <v>-3.5635156898150444E-2</v>
      </c>
      <c r="I52" s="96"/>
    </row>
    <row r="53" spans="3:9" x14ac:dyDescent="0.25">
      <c r="C53" s="92"/>
      <c r="D53" s="211">
        <v>45383</v>
      </c>
      <c r="E53" s="212">
        <v>74482.78</v>
      </c>
      <c r="F53" s="104">
        <f t="shared" si="0"/>
        <v>1.1288727226316908E-2</v>
      </c>
      <c r="G53" s="212">
        <v>4831.45</v>
      </c>
      <c r="H53" s="209">
        <f t="shared" si="1"/>
        <v>-2.2013278814622894E-2</v>
      </c>
      <c r="I53" s="96"/>
    </row>
    <row r="54" spans="3:9" x14ac:dyDescent="0.25">
      <c r="C54" s="92"/>
      <c r="D54" s="211">
        <v>45413</v>
      </c>
      <c r="E54" s="212">
        <v>73961.31</v>
      </c>
      <c r="F54" s="104">
        <f t="shared" si="0"/>
        <v>-7.0012155829843881E-3</v>
      </c>
      <c r="G54" s="212">
        <v>4811.95</v>
      </c>
      <c r="H54" s="209">
        <f t="shared" si="1"/>
        <v>-4.0360554284945005E-3</v>
      </c>
      <c r="I54" s="96"/>
    </row>
    <row r="55" spans="3:9" x14ac:dyDescent="0.25">
      <c r="C55" s="92"/>
      <c r="D55" s="211">
        <v>45444</v>
      </c>
      <c r="E55" s="212">
        <v>79032.73</v>
      </c>
      <c r="F55" s="104">
        <f t="shared" si="0"/>
        <v>6.8568552936663751E-2</v>
      </c>
      <c r="G55" s="212">
        <v>4991.45</v>
      </c>
      <c r="H55" s="209">
        <f t="shared" si="1"/>
        <v>3.7302964494643653E-2</v>
      </c>
      <c r="I55" s="96"/>
    </row>
    <row r="56" spans="3:9" x14ac:dyDescent="0.25">
      <c r="C56" s="92"/>
      <c r="D56" s="211">
        <v>45474</v>
      </c>
      <c r="E56" s="212">
        <v>81741.34</v>
      </c>
      <c r="F56" s="104">
        <f t="shared" si="0"/>
        <v>3.427200351044446E-2</v>
      </c>
      <c r="G56" s="212">
        <v>5313.8</v>
      </c>
      <c r="H56" s="209">
        <f t="shared" si="1"/>
        <v>6.4580432539642851E-2</v>
      </c>
      <c r="I56" s="96"/>
    </row>
    <row r="57" spans="3:9" x14ac:dyDescent="0.25">
      <c r="C57" s="92"/>
      <c r="D57" s="211">
        <v>45505</v>
      </c>
      <c r="E57" s="212">
        <v>82365.77</v>
      </c>
      <c r="F57" s="104">
        <f t="shared" si="0"/>
        <v>7.6390966920778514E-3</v>
      </c>
      <c r="G57" s="212">
        <v>6167.8</v>
      </c>
      <c r="H57" s="209">
        <f t="shared" si="1"/>
        <v>0.16071361360984615</v>
      </c>
      <c r="I57" s="96"/>
    </row>
    <row r="58" spans="3:9" x14ac:dyDescent="0.25">
      <c r="C58" s="92"/>
      <c r="D58" s="211">
        <v>45536</v>
      </c>
      <c r="E58" s="212">
        <v>84299.78</v>
      </c>
      <c r="F58" s="104">
        <f t="shared" si="0"/>
        <v>2.3480749345268004E-2</v>
      </c>
      <c r="G58" s="212">
        <v>6060.9</v>
      </c>
      <c r="H58" s="209">
        <f t="shared" si="1"/>
        <v>-1.7331949803819913E-2</v>
      </c>
      <c r="I58" s="96"/>
    </row>
    <row r="59" spans="3:9" x14ac:dyDescent="0.25">
      <c r="C59" s="92"/>
      <c r="D59" s="211">
        <v>45566</v>
      </c>
      <c r="E59" s="212">
        <v>79389.06</v>
      </c>
      <c r="F59" s="104">
        <f t="shared" si="0"/>
        <v>-5.8253058311658723E-2</v>
      </c>
      <c r="G59" s="212">
        <v>5783.95</v>
      </c>
      <c r="H59" s="209">
        <f t="shared" si="1"/>
        <v>-4.5694533815109906E-2</v>
      </c>
      <c r="I59" s="96"/>
    </row>
    <row r="60" spans="3:9" x14ac:dyDescent="0.25">
      <c r="C60" s="92"/>
      <c r="D60" s="211">
        <v>45597</v>
      </c>
      <c r="E60" s="212">
        <v>79802.789999999994</v>
      </c>
      <c r="F60" s="104">
        <f t="shared" si="0"/>
        <v>5.2114233371700625E-3</v>
      </c>
      <c r="G60" s="212">
        <v>5641.3</v>
      </c>
      <c r="H60" s="209">
        <f t="shared" si="1"/>
        <v>-2.4663076271406181E-2</v>
      </c>
      <c r="I60" s="91"/>
    </row>
    <row r="61" spans="3:9" x14ac:dyDescent="0.25">
      <c r="C61" s="92"/>
      <c r="D61" s="211">
        <v>45627</v>
      </c>
      <c r="E61" s="212">
        <v>78139.009999999995</v>
      </c>
      <c r="F61" s="104">
        <f t="shared" si="0"/>
        <v>-2.0848644514809611E-2</v>
      </c>
      <c r="G61" s="212">
        <v>5635.9</v>
      </c>
      <c r="H61" s="209">
        <f t="shared" si="1"/>
        <v>-9.5722617127269594E-4</v>
      </c>
      <c r="I61" s="96"/>
    </row>
    <row r="62" spans="3:9" x14ac:dyDescent="0.25">
      <c r="C62" s="92"/>
      <c r="D62" s="211">
        <v>45658</v>
      </c>
      <c r="E62" s="212">
        <v>77500.570000000007</v>
      </c>
      <c r="F62" s="104">
        <f t="shared" si="0"/>
        <v>-8.1705667885987321E-3</v>
      </c>
      <c r="G62" s="212">
        <v>5062.1499999999996</v>
      </c>
      <c r="H62" s="209">
        <f t="shared" si="1"/>
        <v>-0.10180272893415432</v>
      </c>
      <c r="I62" s="91"/>
    </row>
    <row r="63" spans="3:9" x14ac:dyDescent="0.25">
      <c r="C63" s="92"/>
      <c r="D63" s="211">
        <v>45689</v>
      </c>
      <c r="E63" s="212">
        <v>73198.100000000006</v>
      </c>
      <c r="F63" s="104">
        <f t="shared" si="0"/>
        <v>-5.5515333629159169E-2</v>
      </c>
      <c r="G63" s="212">
        <v>4634.8999999999996</v>
      </c>
      <c r="H63" s="209">
        <f t="shared" si="1"/>
        <v>-8.4400896852128038E-2</v>
      </c>
      <c r="I63" s="91"/>
    </row>
    <row r="64" spans="3:9" x14ac:dyDescent="0.25">
      <c r="C64" s="92"/>
      <c r="D64" s="211">
        <v>45717</v>
      </c>
      <c r="E64" s="212">
        <v>77414.92</v>
      </c>
      <c r="F64" s="104">
        <f t="shared" si="0"/>
        <v>5.760832589916931E-2</v>
      </c>
      <c r="G64" s="212">
        <v>4880</v>
      </c>
      <c r="H64" s="209">
        <f t="shared" si="1"/>
        <v>5.288139981445128E-2</v>
      </c>
      <c r="I64" s="96"/>
    </row>
    <row r="65" spans="3:9" x14ac:dyDescent="0.25">
      <c r="C65" s="92"/>
      <c r="D65" s="211">
        <v>45748</v>
      </c>
      <c r="E65" s="212">
        <v>79212.53</v>
      </c>
      <c r="F65" s="104">
        <f t="shared" si="0"/>
        <v>2.3220459311977582E-2</v>
      </c>
      <c r="G65" s="212">
        <v>5035.75</v>
      </c>
      <c r="H65" s="209">
        <f t="shared" si="1"/>
        <v>3.1915983606557452E-2</v>
      </c>
      <c r="I65" s="96"/>
    </row>
    <row r="66" spans="3:9" x14ac:dyDescent="0.25">
      <c r="C66" s="92"/>
      <c r="D66" s="92"/>
      <c r="E66" s="97"/>
      <c r="F66" s="97"/>
      <c r="G66" s="97"/>
      <c r="H66" s="97"/>
      <c r="I66" s="96"/>
    </row>
    <row r="67" spans="3:9" x14ac:dyDescent="0.25">
      <c r="C67" s="92"/>
      <c r="D67" s="92"/>
      <c r="E67" s="97"/>
      <c r="F67" s="97"/>
      <c r="G67" s="97"/>
      <c r="H67" s="97"/>
      <c r="I67" s="96"/>
    </row>
    <row r="68" spans="3:9" x14ac:dyDescent="0.25">
      <c r="C68" s="92"/>
      <c r="D68" s="92"/>
      <c r="E68" s="97"/>
      <c r="F68" s="97"/>
      <c r="G68" s="97"/>
      <c r="H68" s="97"/>
      <c r="I68" s="96"/>
    </row>
    <row r="69" spans="3:9" x14ac:dyDescent="0.25">
      <c r="C69" s="92"/>
      <c r="D69" s="92"/>
      <c r="E69" s="97"/>
      <c r="F69" s="97"/>
      <c r="G69" s="97"/>
      <c r="H69" s="97"/>
      <c r="I69" s="96"/>
    </row>
    <row r="70" spans="3:9" x14ac:dyDescent="0.25">
      <c r="C70" s="92"/>
      <c r="D70" s="89"/>
      <c r="E70" s="90"/>
      <c r="F70" s="90"/>
      <c r="G70" s="90"/>
      <c r="H70" s="90"/>
      <c r="I70" s="91"/>
    </row>
    <row r="71" spans="3:9" x14ac:dyDescent="0.25">
      <c r="C71" s="92"/>
      <c r="D71" s="89"/>
      <c r="E71" s="97"/>
      <c r="F71" s="97"/>
      <c r="G71" s="97"/>
      <c r="H71" s="97"/>
      <c r="I71" s="96"/>
    </row>
    <row r="72" spans="3:9" x14ac:dyDescent="0.25">
      <c r="C72" s="92"/>
      <c r="D72" s="89"/>
      <c r="E72" s="97"/>
      <c r="F72" s="97"/>
      <c r="G72" s="97"/>
      <c r="H72" s="97"/>
      <c r="I72" s="96"/>
    </row>
    <row r="73" spans="3:9" x14ac:dyDescent="0.25">
      <c r="C73" s="92"/>
      <c r="D73" s="89"/>
      <c r="E73" s="97"/>
      <c r="F73" s="97"/>
      <c r="G73" s="97"/>
      <c r="H73" s="97"/>
      <c r="I73" s="96"/>
    </row>
    <row r="74" spans="3:9" x14ac:dyDescent="0.25">
      <c r="C74" s="92"/>
      <c r="D74" s="92"/>
      <c r="E74" s="97"/>
      <c r="F74" s="97"/>
      <c r="G74" s="97"/>
      <c r="H74" s="97"/>
      <c r="I74" s="96"/>
    </row>
    <row r="75" spans="3:9" x14ac:dyDescent="0.25">
      <c r="C75" s="92"/>
      <c r="D75" s="92"/>
      <c r="E75" s="97"/>
      <c r="F75" s="97"/>
      <c r="G75" s="97"/>
      <c r="H75" s="97"/>
      <c r="I75" s="96"/>
    </row>
    <row r="76" spans="3:9" x14ac:dyDescent="0.25">
      <c r="C76" s="92"/>
      <c r="D76" s="92"/>
      <c r="E76" s="97"/>
      <c r="F76" s="97"/>
      <c r="G76" s="97"/>
      <c r="H76" s="97"/>
      <c r="I76" s="96"/>
    </row>
    <row r="77" spans="3:9" x14ac:dyDescent="0.25">
      <c r="C77" s="92"/>
      <c r="D77" s="92"/>
      <c r="E77" s="97"/>
      <c r="F77" s="97"/>
      <c r="G77" s="97"/>
      <c r="H77" s="97"/>
      <c r="I77" s="96"/>
    </row>
    <row r="78" spans="3:9" x14ac:dyDescent="0.25">
      <c r="C78" s="92"/>
      <c r="D78" s="92"/>
      <c r="E78" s="97"/>
      <c r="F78" s="97"/>
      <c r="G78" s="97"/>
      <c r="H78" s="97"/>
      <c r="I78" s="96"/>
    </row>
    <row r="79" spans="3:9" x14ac:dyDescent="0.25">
      <c r="C79" s="92"/>
      <c r="D79" s="92"/>
      <c r="E79" s="97"/>
      <c r="F79" s="97"/>
      <c r="G79" s="97"/>
      <c r="H79" s="97"/>
      <c r="I79" s="96"/>
    </row>
    <row r="80" spans="3:9" x14ac:dyDescent="0.25">
      <c r="C80" s="92"/>
      <c r="D80" s="89"/>
      <c r="E80" s="90"/>
      <c r="F80" s="90"/>
      <c r="G80" s="90"/>
      <c r="H80" s="90"/>
      <c r="I80" s="91"/>
    </row>
    <row r="81" spans="3:10" x14ac:dyDescent="0.25">
      <c r="C81" s="92"/>
      <c r="D81" s="92"/>
      <c r="E81" s="97"/>
      <c r="F81" s="97"/>
      <c r="G81" s="97"/>
      <c r="H81" s="97"/>
      <c r="I81" s="96"/>
    </row>
    <row r="82" spans="3:10" x14ac:dyDescent="0.25">
      <c r="C82" s="92"/>
      <c r="D82" s="92"/>
      <c r="E82" s="97"/>
      <c r="F82" s="97"/>
      <c r="G82" s="97"/>
      <c r="H82" s="97"/>
      <c r="I82" s="96"/>
    </row>
    <row r="83" spans="3:10" x14ac:dyDescent="0.25">
      <c r="C83" s="92"/>
      <c r="D83" s="92"/>
      <c r="E83" s="97"/>
      <c r="F83" s="97"/>
      <c r="G83" s="97"/>
      <c r="H83" s="97"/>
      <c r="I83" s="96"/>
    </row>
    <row r="84" spans="3:10" x14ac:dyDescent="0.25">
      <c r="C84" s="92"/>
      <c r="D84" s="92"/>
      <c r="E84" s="97"/>
      <c r="F84" s="97"/>
      <c r="G84" s="97"/>
      <c r="H84" s="97"/>
      <c r="I84" s="96"/>
    </row>
    <row r="85" spans="3:10" x14ac:dyDescent="0.25">
      <c r="C85" s="92"/>
      <c r="D85" s="92"/>
      <c r="E85" s="97"/>
      <c r="F85" s="97"/>
      <c r="G85" s="97"/>
      <c r="H85" s="97"/>
      <c r="I85" s="96"/>
    </row>
    <row r="86" spans="3:10" x14ac:dyDescent="0.25">
      <c r="C86" s="92"/>
      <c r="D86" s="92"/>
      <c r="E86" s="97"/>
      <c r="F86" s="97"/>
      <c r="G86" s="97"/>
      <c r="H86" s="97"/>
      <c r="I86" s="96"/>
    </row>
    <row r="87" spans="3:10" x14ac:dyDescent="0.25">
      <c r="C87" s="92"/>
      <c r="D87" s="92"/>
      <c r="E87" s="97"/>
      <c r="F87" s="97"/>
      <c r="G87" s="97"/>
      <c r="H87" s="97"/>
      <c r="I87" s="96"/>
    </row>
    <row r="88" spans="3:10" x14ac:dyDescent="0.25">
      <c r="C88" s="92"/>
      <c r="D88" s="92"/>
      <c r="E88" s="97"/>
      <c r="F88" s="97"/>
      <c r="G88" s="97"/>
      <c r="H88" s="97"/>
      <c r="I88" s="96"/>
    </row>
    <row r="89" spans="3:10" x14ac:dyDescent="0.25">
      <c r="C89" s="92"/>
      <c r="D89" s="92"/>
      <c r="E89" s="97"/>
      <c r="F89" s="97"/>
      <c r="G89" s="97"/>
      <c r="H89" s="97"/>
      <c r="I89" s="96"/>
    </row>
    <row r="90" spans="3:10" x14ac:dyDescent="0.25">
      <c r="C90" s="92"/>
      <c r="D90" s="92"/>
      <c r="E90" s="97"/>
      <c r="F90" s="97"/>
      <c r="G90" s="97"/>
      <c r="H90" s="97"/>
      <c r="I90" s="96"/>
    </row>
    <row r="91" spans="3:10" x14ac:dyDescent="0.25">
      <c r="C91" s="92"/>
      <c r="D91" s="92"/>
      <c r="E91" s="97"/>
      <c r="F91" s="97"/>
      <c r="G91" s="97"/>
      <c r="H91" s="97"/>
      <c r="I91" s="96"/>
    </row>
    <row r="92" spans="3:10" x14ac:dyDescent="0.25">
      <c r="C92" s="92"/>
      <c r="D92" s="92"/>
      <c r="E92" s="97"/>
      <c r="F92" s="97"/>
      <c r="G92" s="97"/>
      <c r="H92" s="97"/>
      <c r="I92" s="96"/>
    </row>
    <row r="93" spans="3:10" x14ac:dyDescent="0.25">
      <c r="C93" s="92"/>
      <c r="D93" s="89"/>
      <c r="E93" s="90"/>
      <c r="F93" s="90"/>
      <c r="G93" s="90"/>
      <c r="H93" s="90"/>
      <c r="I93" s="91"/>
    </row>
    <row r="94" spans="3:10" x14ac:dyDescent="0.25">
      <c r="C94" s="92"/>
      <c r="D94" s="89"/>
      <c r="E94" s="90"/>
      <c r="F94" s="90"/>
      <c r="G94" s="90"/>
      <c r="H94" s="90"/>
      <c r="I94" s="91"/>
    </row>
    <row r="95" spans="3:10" x14ac:dyDescent="0.25">
      <c r="C95" s="92"/>
      <c r="D95" s="92"/>
      <c r="E95" s="97"/>
      <c r="F95" s="97"/>
      <c r="G95" s="97"/>
      <c r="H95" s="97"/>
      <c r="I95" s="96"/>
      <c r="J95" s="59"/>
    </row>
    <row r="96" spans="3:10" x14ac:dyDescent="0.25">
      <c r="C96" s="92"/>
      <c r="D96" s="92"/>
      <c r="E96" s="92"/>
      <c r="F96" s="92"/>
      <c r="G96" s="92"/>
      <c r="H96" s="92"/>
      <c r="I96" s="92"/>
    </row>
    <row r="97" spans="1:10" x14ac:dyDescent="0.25">
      <c r="C97" s="92"/>
      <c r="D97" s="92"/>
      <c r="E97" s="92"/>
      <c r="F97" s="92"/>
      <c r="G97" s="92"/>
      <c r="H97" s="92"/>
      <c r="I97" s="92"/>
    </row>
    <row r="98" spans="1:10" x14ac:dyDescent="0.25">
      <c r="C98" s="92"/>
      <c r="D98" s="92"/>
      <c r="E98" s="92"/>
      <c r="F98" s="92"/>
      <c r="G98" s="92"/>
      <c r="H98" s="92"/>
      <c r="I98" s="92"/>
    </row>
    <row r="99" spans="1:10" ht="15.75" x14ac:dyDescent="0.25">
      <c r="A99" s="5"/>
      <c r="B99" s="5"/>
      <c r="C99" s="19"/>
      <c r="D99" s="19"/>
      <c r="E99" s="19"/>
      <c r="F99" s="19"/>
      <c r="G99" s="19"/>
      <c r="H99" s="19"/>
      <c r="I99" s="19"/>
    </row>
    <row r="100" spans="1:10" x14ac:dyDescent="0.25">
      <c r="C100" s="92"/>
      <c r="D100" s="92"/>
      <c r="E100" s="92"/>
      <c r="F100" s="92"/>
      <c r="G100" s="92"/>
      <c r="H100" s="92"/>
      <c r="I100" s="92"/>
    </row>
    <row r="101" spans="1:10" x14ac:dyDescent="0.25">
      <c r="C101" s="92"/>
      <c r="D101" s="89"/>
      <c r="E101" s="92"/>
      <c r="F101" s="92"/>
      <c r="G101" s="92"/>
      <c r="H101" s="92"/>
      <c r="I101" s="92"/>
    </row>
    <row r="102" spans="1:10" x14ac:dyDescent="0.25">
      <c r="C102" s="92"/>
      <c r="D102" s="92"/>
      <c r="E102" s="96"/>
      <c r="F102" s="96"/>
      <c r="G102" s="96"/>
      <c r="H102" s="96"/>
      <c r="I102" s="96"/>
    </row>
    <row r="103" spans="1:10" x14ac:dyDescent="0.25">
      <c r="C103" s="92"/>
      <c r="D103" s="89"/>
      <c r="E103" s="92"/>
      <c r="F103" s="92"/>
      <c r="G103" s="92"/>
      <c r="H103" s="92"/>
      <c r="I103" s="92"/>
    </row>
    <row r="104" spans="1:10" x14ac:dyDescent="0.25">
      <c r="C104" s="92"/>
      <c r="D104" s="92"/>
      <c r="E104" s="96"/>
      <c r="F104" s="96"/>
      <c r="G104" s="96"/>
      <c r="H104" s="96"/>
      <c r="I104" s="96"/>
    </row>
    <row r="105" spans="1:10" x14ac:dyDescent="0.25">
      <c r="C105" s="92"/>
      <c r="D105" s="92"/>
      <c r="E105" s="96"/>
      <c r="F105" s="96"/>
      <c r="G105" s="96"/>
      <c r="H105" s="92"/>
      <c r="I105" s="92"/>
    </row>
    <row r="106" spans="1:10" x14ac:dyDescent="0.25">
      <c r="C106" s="92"/>
      <c r="D106" s="92"/>
      <c r="E106" s="92"/>
      <c r="F106" s="92"/>
      <c r="G106" s="92"/>
      <c r="H106" s="92"/>
      <c r="I106" s="92"/>
      <c r="J106" s="59"/>
    </row>
    <row r="107" spans="1:10" x14ac:dyDescent="0.25">
      <c r="C107" s="92"/>
      <c r="D107" s="92"/>
      <c r="E107" s="92"/>
      <c r="F107" s="92"/>
      <c r="G107" s="92"/>
      <c r="H107" s="92"/>
      <c r="I107" s="92"/>
    </row>
    <row r="108" spans="1:10" x14ac:dyDescent="0.25">
      <c r="C108" s="92"/>
      <c r="D108" s="92"/>
      <c r="E108" s="92"/>
      <c r="F108" s="92"/>
      <c r="G108" s="92"/>
      <c r="H108" s="92"/>
      <c r="I108" s="92"/>
    </row>
    <row r="109" spans="1:10" x14ac:dyDescent="0.25">
      <c r="C109" s="92"/>
      <c r="D109" s="92"/>
      <c r="E109" s="92"/>
      <c r="F109" s="92"/>
      <c r="G109" s="92"/>
      <c r="H109" s="92"/>
      <c r="I109" s="92"/>
    </row>
    <row r="110" spans="1:10" x14ac:dyDescent="0.25">
      <c r="C110" s="92"/>
      <c r="D110" s="92"/>
      <c r="E110" s="92"/>
      <c r="F110" s="92"/>
      <c r="G110" s="92"/>
      <c r="H110" s="92"/>
      <c r="I110" s="92"/>
    </row>
    <row r="111" spans="1:10" x14ac:dyDescent="0.25">
      <c r="C111" s="92"/>
      <c r="D111" s="92"/>
      <c r="E111" s="92"/>
      <c r="F111" s="92"/>
      <c r="G111" s="92"/>
      <c r="H111" s="92"/>
      <c r="I111" s="92"/>
    </row>
    <row r="112" spans="1:10" x14ac:dyDescent="0.25">
      <c r="C112" s="92"/>
      <c r="D112" s="92"/>
      <c r="E112" s="92"/>
      <c r="F112" s="92"/>
      <c r="G112" s="92"/>
      <c r="H112" s="92"/>
      <c r="I112" s="92"/>
    </row>
    <row r="113" spans="3:9" x14ac:dyDescent="0.25">
      <c r="C113" s="92"/>
      <c r="D113" s="92"/>
      <c r="E113" s="92"/>
      <c r="F113" s="92"/>
      <c r="G113" s="92"/>
      <c r="H113" s="92"/>
      <c r="I113" s="92"/>
    </row>
    <row r="114" spans="3:9" x14ac:dyDescent="0.25">
      <c r="C114" s="92"/>
      <c r="D114" s="92"/>
      <c r="E114" s="92"/>
      <c r="F114" s="92"/>
      <c r="G114" s="92"/>
      <c r="H114" s="92"/>
      <c r="I114" s="96"/>
    </row>
    <row r="115" spans="3:9" x14ac:dyDescent="0.25">
      <c r="C115" s="92"/>
      <c r="D115" s="92"/>
      <c r="E115" s="92"/>
      <c r="F115" s="92"/>
      <c r="G115" s="92"/>
      <c r="H115" s="96"/>
      <c r="I115" s="96"/>
    </row>
    <row r="116" spans="3:9" x14ac:dyDescent="0.25">
      <c r="C116" s="92"/>
      <c r="D116" s="92"/>
      <c r="E116" s="92"/>
      <c r="F116" s="92"/>
      <c r="G116" s="92"/>
      <c r="H116" s="92"/>
      <c r="I116" s="96"/>
    </row>
    <row r="117" spans="3:9" x14ac:dyDescent="0.25">
      <c r="C117" s="92"/>
      <c r="D117" s="92"/>
      <c r="E117" s="92"/>
      <c r="F117" s="92"/>
      <c r="G117" s="92"/>
      <c r="H117" s="92"/>
      <c r="I117" s="92"/>
    </row>
    <row r="118" spans="3:9" x14ac:dyDescent="0.25">
      <c r="C118" s="92"/>
      <c r="D118" s="92"/>
      <c r="E118" s="92"/>
      <c r="F118" s="92"/>
      <c r="G118" s="92"/>
      <c r="H118" s="92"/>
      <c r="I118" s="96"/>
    </row>
    <row r="119" spans="3:9" x14ac:dyDescent="0.25">
      <c r="C119" s="92"/>
      <c r="D119" s="89"/>
      <c r="E119" s="91"/>
      <c r="F119" s="91"/>
      <c r="G119" s="91"/>
      <c r="H119" s="91"/>
      <c r="I119" s="91"/>
    </row>
    <row r="120" spans="3:9" x14ac:dyDescent="0.25">
      <c r="C120" s="92"/>
      <c r="D120" s="89"/>
      <c r="E120" s="91"/>
      <c r="F120" s="91"/>
      <c r="G120" s="91"/>
      <c r="H120" s="91"/>
      <c r="I120" s="91"/>
    </row>
    <row r="121" spans="3:9" x14ac:dyDescent="0.25">
      <c r="C121" s="92"/>
      <c r="D121" s="92"/>
      <c r="E121" s="92"/>
      <c r="F121" s="92"/>
      <c r="G121" s="92"/>
      <c r="H121" s="92"/>
      <c r="I121" s="92"/>
    </row>
    <row r="122" spans="3:9" x14ac:dyDescent="0.25">
      <c r="C122" s="92"/>
      <c r="D122" s="92"/>
      <c r="E122" s="96"/>
      <c r="F122" s="96"/>
      <c r="G122" s="92"/>
      <c r="H122" s="96"/>
      <c r="I122" s="96"/>
    </row>
    <row r="123" spans="3:9" x14ac:dyDescent="0.25">
      <c r="C123" s="92"/>
      <c r="D123" s="92"/>
      <c r="E123" s="92"/>
      <c r="F123" s="96"/>
      <c r="G123" s="92"/>
      <c r="H123" s="92"/>
      <c r="I123" s="92"/>
    </row>
    <row r="124" spans="3:9" x14ac:dyDescent="0.25">
      <c r="C124" s="92"/>
      <c r="D124" s="92"/>
      <c r="E124" s="92"/>
      <c r="F124" s="96"/>
      <c r="G124" s="96"/>
      <c r="H124" s="96"/>
      <c r="I124" s="96"/>
    </row>
    <row r="125" spans="3:9" x14ac:dyDescent="0.25">
      <c r="C125" s="92"/>
      <c r="D125" s="92"/>
      <c r="E125" s="92"/>
      <c r="F125" s="92"/>
      <c r="G125" s="96"/>
      <c r="H125" s="96"/>
      <c r="I125" s="92"/>
    </row>
    <row r="126" spans="3:9" x14ac:dyDescent="0.25">
      <c r="C126" s="92"/>
      <c r="D126" s="92"/>
      <c r="E126" s="92"/>
      <c r="F126" s="92"/>
      <c r="G126" s="92"/>
      <c r="H126" s="92"/>
      <c r="I126" s="92"/>
    </row>
    <row r="127" spans="3:9" x14ac:dyDescent="0.25">
      <c r="C127" s="92"/>
      <c r="D127" s="89"/>
      <c r="E127" s="91"/>
      <c r="F127" s="91"/>
      <c r="G127" s="89"/>
      <c r="H127" s="89"/>
      <c r="I127" s="91"/>
    </row>
    <row r="128" spans="3:9" x14ac:dyDescent="0.25">
      <c r="C128" s="92"/>
      <c r="D128" s="89"/>
      <c r="E128" s="91"/>
      <c r="F128" s="91"/>
      <c r="G128" s="91"/>
      <c r="H128" s="91"/>
      <c r="I128" s="91"/>
    </row>
    <row r="129" spans="1:9" x14ac:dyDescent="0.25">
      <c r="C129" s="92"/>
      <c r="D129" s="92"/>
      <c r="E129" s="96"/>
      <c r="F129" s="96"/>
      <c r="G129" s="96"/>
      <c r="H129" s="96"/>
      <c r="I129" s="96"/>
    </row>
    <row r="130" spans="1:9" x14ac:dyDescent="0.25">
      <c r="A130" s="98"/>
      <c r="B130" s="98"/>
      <c r="C130" s="92"/>
      <c r="D130" s="89"/>
      <c r="E130" s="91"/>
      <c r="F130" s="91"/>
      <c r="G130" s="91"/>
      <c r="H130" s="91"/>
      <c r="I130" s="91"/>
    </row>
    <row r="131" spans="1:9" x14ac:dyDescent="0.25">
      <c r="C131" s="92"/>
      <c r="D131" s="89"/>
      <c r="E131" s="92"/>
      <c r="F131" s="92"/>
      <c r="G131" s="92"/>
      <c r="H131" s="92"/>
      <c r="I131" s="92"/>
    </row>
    <row r="132" spans="1:9" x14ac:dyDescent="0.25">
      <c r="C132" s="92"/>
      <c r="D132" s="92"/>
      <c r="E132" s="96"/>
      <c r="F132" s="96"/>
      <c r="G132" s="96"/>
      <c r="H132" s="96"/>
      <c r="I132" s="96"/>
    </row>
    <row r="133" spans="1:9" x14ac:dyDescent="0.25">
      <c r="C133" s="92"/>
      <c r="D133" s="92"/>
      <c r="E133" s="92"/>
      <c r="F133" s="92"/>
      <c r="G133" s="92"/>
      <c r="H133" s="92"/>
      <c r="I133" s="92"/>
    </row>
    <row r="134" spans="1:9" x14ac:dyDescent="0.25">
      <c r="C134" s="92"/>
      <c r="D134" s="92"/>
      <c r="E134" s="96"/>
      <c r="F134" s="92"/>
      <c r="G134" s="92"/>
      <c r="H134" s="92"/>
      <c r="I134" s="96"/>
    </row>
    <row r="135" spans="1:9" x14ac:dyDescent="0.25">
      <c r="C135" s="92"/>
      <c r="D135" s="92"/>
      <c r="E135" s="96"/>
      <c r="F135" s="92"/>
      <c r="G135" s="92"/>
      <c r="H135" s="92"/>
      <c r="I135" s="92"/>
    </row>
    <row r="136" spans="1:9" x14ac:dyDescent="0.25">
      <c r="C136" s="92"/>
      <c r="D136" s="92"/>
      <c r="E136" s="92"/>
      <c r="F136" s="92"/>
      <c r="G136" s="92"/>
      <c r="H136" s="92"/>
      <c r="I136" s="96"/>
    </row>
    <row r="137" spans="1:9" x14ac:dyDescent="0.25">
      <c r="C137" s="92"/>
      <c r="D137" s="92"/>
      <c r="E137" s="92"/>
      <c r="F137" s="96"/>
      <c r="G137" s="96"/>
      <c r="H137" s="96"/>
      <c r="I137" s="96"/>
    </row>
    <row r="138" spans="1:9" x14ac:dyDescent="0.25">
      <c r="C138" s="92"/>
      <c r="D138" s="92"/>
      <c r="E138" s="92"/>
      <c r="F138" s="92"/>
      <c r="G138" s="92"/>
      <c r="H138" s="92"/>
      <c r="I138" s="92"/>
    </row>
    <row r="139" spans="1:9" x14ac:dyDescent="0.25">
      <c r="C139" s="92"/>
      <c r="D139" s="92"/>
      <c r="E139" s="92"/>
      <c r="F139" s="92"/>
      <c r="G139" s="92"/>
      <c r="H139" s="92"/>
      <c r="I139" s="96"/>
    </row>
    <row r="140" spans="1:9" x14ac:dyDescent="0.25">
      <c r="C140" s="92"/>
      <c r="D140" s="92"/>
      <c r="E140" s="92"/>
      <c r="F140" s="92"/>
      <c r="G140" s="92"/>
      <c r="H140" s="92"/>
      <c r="I140" s="96"/>
    </row>
    <row r="141" spans="1:9" x14ac:dyDescent="0.25">
      <c r="C141" s="92"/>
      <c r="D141" s="89"/>
      <c r="E141" s="91"/>
      <c r="F141" s="91"/>
      <c r="G141" s="91"/>
      <c r="H141" s="91"/>
      <c r="I141" s="91"/>
    </row>
    <row r="142" spans="1:9" x14ac:dyDescent="0.25">
      <c r="C142" s="92"/>
      <c r="D142" s="89"/>
      <c r="E142" s="92"/>
      <c r="F142" s="92"/>
      <c r="G142" s="92"/>
      <c r="H142" s="92"/>
      <c r="I142" s="92"/>
    </row>
    <row r="143" spans="1:9" x14ac:dyDescent="0.25">
      <c r="C143" s="92"/>
      <c r="D143" s="92"/>
      <c r="E143" s="92"/>
      <c r="F143" s="96"/>
      <c r="G143" s="92"/>
      <c r="H143" s="92"/>
      <c r="I143" s="92"/>
    </row>
    <row r="144" spans="1:9" x14ac:dyDescent="0.25">
      <c r="C144" s="92"/>
      <c r="D144" s="92"/>
      <c r="E144" s="92"/>
      <c r="F144" s="96"/>
      <c r="G144" s="96"/>
      <c r="H144" s="96"/>
      <c r="I144" s="96"/>
    </row>
    <row r="145" spans="1:10" x14ac:dyDescent="0.25">
      <c r="C145" s="92"/>
      <c r="D145" s="92"/>
      <c r="E145" s="92"/>
      <c r="F145" s="96"/>
      <c r="G145" s="96"/>
      <c r="H145" s="96"/>
      <c r="I145" s="96"/>
    </row>
    <row r="146" spans="1:10" x14ac:dyDescent="0.25">
      <c r="C146" s="92"/>
      <c r="D146" s="92"/>
      <c r="E146" s="96"/>
      <c r="F146" s="96"/>
      <c r="G146" s="96"/>
      <c r="H146" s="96"/>
      <c r="I146" s="96"/>
    </row>
    <row r="147" spans="1:10" x14ac:dyDescent="0.25">
      <c r="C147" s="92"/>
      <c r="D147" s="92"/>
      <c r="E147" s="92"/>
      <c r="F147" s="92"/>
      <c r="G147" s="92"/>
      <c r="H147" s="92"/>
      <c r="I147" s="92"/>
    </row>
    <row r="148" spans="1:10" x14ac:dyDescent="0.25">
      <c r="C148" s="92"/>
      <c r="D148" s="92"/>
      <c r="E148" s="92"/>
      <c r="F148" s="92"/>
      <c r="G148" s="92"/>
      <c r="H148" s="92"/>
      <c r="I148" s="92"/>
    </row>
    <row r="149" spans="1:10" x14ac:dyDescent="0.25">
      <c r="C149" s="92"/>
      <c r="D149" s="89"/>
      <c r="E149" s="91"/>
      <c r="F149" s="89"/>
      <c r="G149" s="91"/>
      <c r="H149" s="91"/>
      <c r="I149" s="91"/>
    </row>
    <row r="150" spans="1:10" x14ac:dyDescent="0.25">
      <c r="C150" s="92"/>
      <c r="D150" s="89"/>
      <c r="E150" s="89"/>
      <c r="F150" s="89"/>
      <c r="G150" s="89"/>
      <c r="H150" s="89"/>
      <c r="I150" s="89"/>
    </row>
    <row r="151" spans="1:10" x14ac:dyDescent="0.25">
      <c r="C151" s="92"/>
      <c r="D151" s="89"/>
      <c r="E151" s="91"/>
      <c r="F151" s="91"/>
      <c r="G151" s="91"/>
      <c r="H151" s="91"/>
      <c r="I151" s="91"/>
    </row>
    <row r="152" spans="1:10" x14ac:dyDescent="0.25">
      <c r="C152" s="89"/>
      <c r="D152" s="92"/>
      <c r="E152" s="92"/>
      <c r="F152" s="92"/>
      <c r="G152" s="92"/>
      <c r="H152" s="92"/>
      <c r="I152" s="92"/>
    </row>
    <row r="153" spans="1:10" x14ac:dyDescent="0.25">
      <c r="C153" s="92"/>
      <c r="D153" s="89"/>
      <c r="E153" s="91"/>
      <c r="F153" s="91"/>
      <c r="G153" s="91"/>
      <c r="H153" s="91"/>
      <c r="I153" s="91"/>
    </row>
    <row r="154" spans="1:10" x14ac:dyDescent="0.25">
      <c r="C154" s="92"/>
      <c r="D154" s="92"/>
      <c r="E154" s="92"/>
      <c r="F154" s="92"/>
      <c r="G154" s="92"/>
      <c r="H154" s="92"/>
      <c r="I154" s="92"/>
    </row>
    <row r="155" spans="1:10" ht="15.75" x14ac:dyDescent="0.25">
      <c r="A155" s="5"/>
      <c r="B155" s="5"/>
      <c r="C155" s="19"/>
      <c r="D155" s="19"/>
      <c r="E155" s="19"/>
      <c r="F155" s="19"/>
      <c r="G155" s="19"/>
      <c r="H155" s="19"/>
      <c r="I155" s="19"/>
    </row>
    <row r="156" spans="1:10" x14ac:dyDescent="0.25">
      <c r="C156" s="92"/>
      <c r="D156" s="92"/>
      <c r="E156" s="96"/>
      <c r="F156" s="96"/>
      <c r="G156" s="96"/>
      <c r="H156" s="96"/>
      <c r="I156" s="96"/>
    </row>
    <row r="157" spans="1:10" x14ac:dyDescent="0.25">
      <c r="C157" s="92"/>
      <c r="D157" s="92"/>
      <c r="E157" s="96"/>
      <c r="F157" s="96"/>
      <c r="G157" s="96"/>
      <c r="H157" s="96"/>
      <c r="I157" s="96"/>
    </row>
    <row r="158" spans="1:10" x14ac:dyDescent="0.25">
      <c r="C158" s="92"/>
      <c r="D158" s="92"/>
      <c r="E158" s="96"/>
      <c r="F158" s="96"/>
      <c r="G158" s="96"/>
      <c r="H158" s="96"/>
      <c r="I158" s="96"/>
    </row>
    <row r="159" spans="1:10" ht="15.75" thickBot="1" x14ac:dyDescent="0.3">
      <c r="A159" s="99"/>
      <c r="B159" s="99"/>
      <c r="C159" s="92"/>
      <c r="D159" s="89"/>
      <c r="E159" s="91"/>
      <c r="F159" s="91"/>
      <c r="G159" s="91"/>
      <c r="H159" s="91"/>
      <c r="I159" s="91"/>
      <c r="J159" s="10"/>
    </row>
    <row r="160" spans="1:10" ht="15.75" thickTop="1" x14ac:dyDescent="0.25">
      <c r="C160" s="92"/>
      <c r="D160" s="92"/>
      <c r="E160" s="92"/>
      <c r="F160" s="92"/>
      <c r="G160" s="92"/>
      <c r="H160" s="92"/>
      <c r="I160" s="92"/>
    </row>
    <row r="161" spans="1:14" x14ac:dyDescent="0.25">
      <c r="C161" s="92"/>
      <c r="D161" s="92"/>
      <c r="E161" s="92"/>
      <c r="F161" s="92"/>
      <c r="G161" s="92"/>
      <c r="H161" s="92"/>
      <c r="I161" s="92"/>
    </row>
    <row r="162" spans="1:14" ht="15.75" x14ac:dyDescent="0.25">
      <c r="A162" s="5"/>
      <c r="B162" s="5"/>
      <c r="C162" s="19"/>
      <c r="D162" s="19"/>
      <c r="E162" s="93"/>
      <c r="F162" s="93"/>
      <c r="G162" s="93"/>
      <c r="H162" s="93"/>
      <c r="I162" s="93"/>
      <c r="J162" s="18"/>
      <c r="K162" s="18"/>
      <c r="L162" s="18"/>
      <c r="M162" s="18"/>
      <c r="N162" s="18"/>
    </row>
    <row r="163" spans="1:14" x14ac:dyDescent="0.25">
      <c r="C163" s="92"/>
      <c r="D163" s="92"/>
      <c r="E163" s="92"/>
      <c r="F163" s="92"/>
      <c r="G163" s="92"/>
      <c r="H163" s="92"/>
      <c r="I163" s="92"/>
    </row>
    <row r="164" spans="1:14" x14ac:dyDescent="0.25">
      <c r="C164" s="92"/>
      <c r="D164" s="92"/>
      <c r="E164" s="92"/>
      <c r="F164" s="92"/>
      <c r="G164" s="92"/>
      <c r="H164" s="92"/>
      <c r="I164" s="92"/>
    </row>
    <row r="165" spans="1:14" x14ac:dyDescent="0.25">
      <c r="C165" s="92"/>
      <c r="D165" s="92"/>
      <c r="E165" s="92"/>
      <c r="F165" s="92"/>
      <c r="G165" s="92"/>
      <c r="H165" s="92"/>
      <c r="I165" s="92"/>
    </row>
    <row r="166" spans="1:14" x14ac:dyDescent="0.25">
      <c r="C166" s="92"/>
      <c r="D166" s="92"/>
      <c r="E166" s="92"/>
      <c r="F166" s="92"/>
      <c r="G166" s="92"/>
      <c r="H166" s="92"/>
      <c r="I166" s="92"/>
    </row>
    <row r="167" spans="1:14" x14ac:dyDescent="0.25">
      <c r="C167" s="92"/>
      <c r="D167" s="92"/>
      <c r="E167" s="92"/>
      <c r="F167" s="92"/>
      <c r="G167" s="92"/>
      <c r="H167" s="92"/>
      <c r="I167" s="92"/>
    </row>
    <row r="168" spans="1:14" x14ac:dyDescent="0.25">
      <c r="C168" s="92"/>
      <c r="D168" s="92"/>
      <c r="E168" s="92"/>
      <c r="F168" s="92"/>
      <c r="G168" s="92"/>
      <c r="H168" s="92"/>
      <c r="I168" s="92"/>
    </row>
    <row r="169" spans="1:14" x14ac:dyDescent="0.25">
      <c r="C169" s="92"/>
      <c r="D169" s="92"/>
      <c r="E169" s="92"/>
      <c r="F169" s="92"/>
      <c r="G169" s="92"/>
      <c r="H169" s="92"/>
      <c r="I169" s="92"/>
    </row>
    <row r="170" spans="1:14" x14ac:dyDescent="0.25">
      <c r="C170" s="92"/>
      <c r="D170" s="92"/>
      <c r="E170" s="92"/>
      <c r="F170" s="92"/>
      <c r="G170" s="92"/>
      <c r="H170" s="92"/>
      <c r="I170" s="92"/>
    </row>
    <row r="171" spans="1:14" x14ac:dyDescent="0.25">
      <c r="C171" s="92"/>
      <c r="D171" s="92"/>
      <c r="E171" s="92"/>
      <c r="F171" s="92"/>
      <c r="G171" s="92"/>
      <c r="H171" s="92"/>
      <c r="I171" s="92"/>
    </row>
    <row r="172" spans="1:14" x14ac:dyDescent="0.25">
      <c r="C172" s="92"/>
      <c r="D172" s="92"/>
      <c r="E172" s="92"/>
      <c r="F172" s="92"/>
      <c r="G172" s="92"/>
      <c r="H172" s="92"/>
      <c r="I172" s="92"/>
    </row>
    <row r="173" spans="1:14" x14ac:dyDescent="0.25">
      <c r="C173" s="92"/>
      <c r="D173" s="92"/>
      <c r="E173" s="92"/>
      <c r="F173" s="92"/>
      <c r="G173" s="92"/>
      <c r="H173" s="92"/>
      <c r="I173" s="92"/>
    </row>
    <row r="174" spans="1:14" x14ac:dyDescent="0.25">
      <c r="C174" s="92"/>
      <c r="D174" s="92"/>
      <c r="E174" s="92"/>
      <c r="F174" s="92"/>
      <c r="G174" s="92"/>
      <c r="H174" s="92"/>
      <c r="I174" s="92"/>
    </row>
    <row r="175" spans="1:14" x14ac:dyDescent="0.25">
      <c r="C175" s="92"/>
      <c r="D175" s="92"/>
      <c r="E175" s="92"/>
      <c r="F175" s="92"/>
      <c r="G175" s="92"/>
      <c r="H175" s="92"/>
      <c r="I175" s="92"/>
    </row>
    <row r="176" spans="1:14" x14ac:dyDescent="0.25">
      <c r="C176" s="92"/>
      <c r="D176" s="92"/>
      <c r="E176" s="92"/>
      <c r="F176" s="92"/>
      <c r="G176" s="92"/>
      <c r="H176" s="92"/>
      <c r="I176" s="92"/>
    </row>
    <row r="177" spans="3:9" x14ac:dyDescent="0.25">
      <c r="C177" s="92"/>
      <c r="D177" s="92"/>
      <c r="E177" s="92"/>
      <c r="F177" s="92"/>
      <c r="G177" s="92"/>
      <c r="H177" s="92"/>
      <c r="I177" s="92"/>
    </row>
    <row r="178" spans="3:9" x14ac:dyDescent="0.25">
      <c r="C178" s="92"/>
      <c r="D178" s="92"/>
      <c r="E178" s="92"/>
      <c r="F178" s="92"/>
      <c r="G178" s="92"/>
      <c r="H178" s="92"/>
      <c r="I178" s="92"/>
    </row>
    <row r="179" spans="3:9" x14ac:dyDescent="0.25">
      <c r="C179" s="92"/>
      <c r="D179" s="92"/>
      <c r="E179" s="92"/>
      <c r="F179" s="92"/>
      <c r="G179" s="92"/>
      <c r="H179" s="92"/>
      <c r="I179" s="92"/>
    </row>
    <row r="180" spans="3:9" x14ac:dyDescent="0.25">
      <c r="C180" s="92"/>
      <c r="D180" s="92"/>
      <c r="E180" s="92"/>
      <c r="F180" s="92"/>
      <c r="G180" s="92"/>
      <c r="H180" s="92"/>
      <c r="I180" s="92"/>
    </row>
  </sheetData>
  <pageMargins left="0.7" right="0.7" top="0.75" bottom="0.75" header="0.3" footer="0.3"/>
  <ignoredErrors>
    <ignoredError sqref="K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80"/>
  <sheetViews>
    <sheetView showGridLines="0" topLeftCell="A16" workbookViewId="0">
      <selection activeCell="E33" sqref="E33"/>
    </sheetView>
  </sheetViews>
  <sheetFormatPr defaultRowHeight="15" x14ac:dyDescent="0.25"/>
  <cols>
    <col min="1" max="3" width="1.28515625" style="12" customWidth="1"/>
    <col min="4" max="4" width="57.140625" style="12" customWidth="1"/>
    <col min="5" max="5" width="10.5703125" style="12" bestFit="1" customWidth="1"/>
    <col min="6" max="6" width="12.5703125" style="12" bestFit="1" customWidth="1"/>
    <col min="7" max="7" width="11" style="12" bestFit="1" customWidth="1"/>
    <col min="8" max="9" width="12.7109375" style="12" bestFit="1" customWidth="1"/>
    <col min="10" max="10" width="8.85546875" style="12" bestFit="1" customWidth="1"/>
    <col min="11" max="11" width="14.140625" style="12" bestFit="1" customWidth="1"/>
    <col min="12" max="12" width="16" style="12" bestFit="1" customWidth="1"/>
    <col min="13" max="13" width="10.5703125" style="12" bestFit="1" customWidth="1"/>
    <col min="14" max="14" width="10.85546875" style="12" bestFit="1" customWidth="1"/>
    <col min="15" max="16384" width="9.140625" style="12"/>
  </cols>
  <sheetData>
    <row r="1" spans="1:16" customFormat="1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customFormat="1" ht="15.75" x14ac:dyDescent="0.25">
      <c r="A2" s="3" t="s">
        <v>313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" ht="14.25" customHeight="1" x14ac:dyDescent="0.25">
      <c r="A3" s="80"/>
      <c r="B3" s="80"/>
      <c r="C3" s="80"/>
      <c r="D3" s="80"/>
      <c r="E3" s="80"/>
      <c r="F3" s="80"/>
      <c r="G3" s="80"/>
      <c r="H3" s="80"/>
      <c r="I3" s="80"/>
    </row>
    <row r="4" spans="1:16" s="88" customFormat="1" ht="15.75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6" x14ac:dyDescent="0.25">
      <c r="A5" s="191" t="s">
        <v>314</v>
      </c>
      <c r="B5" s="164"/>
      <c r="C5" s="164"/>
      <c r="D5" s="165"/>
      <c r="E5" s="166"/>
      <c r="F5" s="165"/>
      <c r="G5" s="165"/>
      <c r="H5" s="167"/>
      <c r="I5" s="168"/>
      <c r="J5" s="168"/>
      <c r="K5" s="168"/>
      <c r="L5" s="168"/>
      <c r="M5" s="164"/>
      <c r="N5" s="164"/>
      <c r="O5" s="164"/>
      <c r="P5" s="164"/>
    </row>
    <row r="6" spans="1:16" x14ac:dyDescent="0.25">
      <c r="D6" s="6"/>
      <c r="E6" s="100"/>
      <c r="F6" s="7"/>
      <c r="G6" s="7"/>
      <c r="H6" s="102"/>
      <c r="I6" s="104"/>
      <c r="J6" s="104"/>
      <c r="K6" s="104"/>
      <c r="L6" s="104"/>
    </row>
    <row r="7" spans="1:16" x14ac:dyDescent="0.25">
      <c r="C7" s="92"/>
      <c r="D7" s="186" t="s">
        <v>315</v>
      </c>
      <c r="E7" s="187"/>
      <c r="F7" s="188" t="s">
        <v>316</v>
      </c>
      <c r="G7" s="188" t="s">
        <v>317</v>
      </c>
      <c r="H7" s="189" t="s">
        <v>318</v>
      </c>
      <c r="I7" s="190" t="s">
        <v>319</v>
      </c>
      <c r="J7" s="190" t="s">
        <v>320</v>
      </c>
      <c r="K7" s="190" t="s">
        <v>321</v>
      </c>
      <c r="L7" s="190" t="s">
        <v>322</v>
      </c>
      <c r="M7" s="191"/>
      <c r="N7" s="191"/>
      <c r="O7" s="191"/>
      <c r="P7" s="191"/>
    </row>
    <row r="8" spans="1:16" x14ac:dyDescent="0.25">
      <c r="C8" s="92"/>
      <c r="D8" s="83" t="str">
        <f>'Comps data'!A5</f>
        <v>Dr. Reddy's Laboratories Limited</v>
      </c>
      <c r="E8" s="184"/>
      <c r="F8" s="33">
        <f>Comps!I8</f>
        <v>977686.37999999989</v>
      </c>
      <c r="G8" s="33">
        <f>Comps!J8</f>
        <v>50973.567599999995</v>
      </c>
      <c r="H8" s="185">
        <f>G8/F8</f>
        <v>5.2136931272377958E-2</v>
      </c>
      <c r="I8" s="185">
        <f>G8/(F8+G8)</f>
        <v>4.9553370595334337E-2</v>
      </c>
      <c r="J8" s="170">
        <f>'Comps data'!J5</f>
        <v>0.252</v>
      </c>
      <c r="K8" s="169">
        <v>0.48</v>
      </c>
      <c r="L8" s="172">
        <f>K8/(1+H8*(1-J8))</f>
        <v>0.46198337614285595</v>
      </c>
      <c r="M8" s="169"/>
      <c r="N8" s="169"/>
      <c r="O8" s="169"/>
      <c r="P8" s="169"/>
    </row>
    <row r="9" spans="1:16" x14ac:dyDescent="0.25">
      <c r="C9" s="92"/>
      <c r="D9" s="83" t="str">
        <f>'Comps data'!A6</f>
        <v>Lupin Limited</v>
      </c>
      <c r="E9" s="84"/>
      <c r="F9" s="84">
        <f>Comps!I9</f>
        <v>920570.14829999988</v>
      </c>
      <c r="G9" s="84">
        <f>Comps!J9</f>
        <v>34350.081599999998</v>
      </c>
      <c r="H9" s="173">
        <f t="shared" ref="H9:H16" si="0">G9/F9</f>
        <v>3.7313920795100368E-2</v>
      </c>
      <c r="I9" s="173">
        <f t="shared" ref="I9:I16" si="1">G9/(F9+G9)</f>
        <v>3.5971676507049355E-2</v>
      </c>
      <c r="J9" s="181">
        <f>'Comps data'!J6</f>
        <v>0.2</v>
      </c>
      <c r="K9" s="183">
        <v>0.56999999999999995</v>
      </c>
      <c r="L9" s="182">
        <f t="shared" ref="L9:L16" si="2">K9/(1+H9*(1-J9))</f>
        <v>0.55347805107236725</v>
      </c>
    </row>
    <row r="10" spans="1:16" x14ac:dyDescent="0.25">
      <c r="C10" s="92"/>
      <c r="D10" s="83" t="str">
        <f>'Comps data'!A7</f>
        <v>Zydus Lifesciences Limited</v>
      </c>
      <c r="E10" s="84"/>
      <c r="F10" s="84">
        <f>Comps!I10</f>
        <v>865278.82871999999</v>
      </c>
      <c r="G10" s="84">
        <f>Comps!J10</f>
        <v>1900.5588</v>
      </c>
      <c r="H10" s="173">
        <f t="shared" si="0"/>
        <v>2.1964697816673514E-3</v>
      </c>
      <c r="I10" s="173">
        <f t="shared" si="1"/>
        <v>2.1916558757644213E-3</v>
      </c>
      <c r="J10" s="181">
        <f>'Comps data'!J7</f>
        <v>0.219</v>
      </c>
      <c r="K10" s="183">
        <v>0.56000000000000005</v>
      </c>
      <c r="L10" s="182">
        <f t="shared" si="2"/>
        <v>0.55904099709102084</v>
      </c>
    </row>
    <row r="11" spans="1:16" x14ac:dyDescent="0.25">
      <c r="C11" s="92"/>
      <c r="D11" s="83" t="str">
        <f>'Comps data'!A8</f>
        <v>Aurobindo Pharma Limited</v>
      </c>
      <c r="E11" s="84"/>
      <c r="F11" s="84">
        <f>Comps!I11</f>
        <v>711164.08661999996</v>
      </c>
      <c r="G11" s="84">
        <f>Comps!J11</f>
        <v>84088.200599999996</v>
      </c>
      <c r="H11" s="173">
        <f t="shared" si="0"/>
        <v>0.11824022357435393</v>
      </c>
      <c r="I11" s="173">
        <f t="shared" si="1"/>
        <v>0.10573776643126799</v>
      </c>
      <c r="J11" s="181">
        <f>'Comps data'!J8</f>
        <v>0.29699999999999999</v>
      </c>
      <c r="K11" s="92">
        <v>0.54</v>
      </c>
      <c r="L11" s="182">
        <f t="shared" si="2"/>
        <v>0.4985583920169232</v>
      </c>
    </row>
    <row r="12" spans="1:16" x14ac:dyDescent="0.25">
      <c r="C12" s="92"/>
      <c r="D12" s="83" t="str">
        <f>'Comps data'!A9</f>
        <v>Abbott India Limited</v>
      </c>
      <c r="E12" s="84"/>
      <c r="F12" s="84">
        <f>Comps!I12</f>
        <v>630985.52159999998</v>
      </c>
      <c r="G12" s="84">
        <f>Comps!J12</f>
        <v>603.63660000000004</v>
      </c>
      <c r="H12" s="173">
        <f t="shared" si="0"/>
        <v>9.5665681594301743E-4</v>
      </c>
      <c r="I12" s="173">
        <f t="shared" si="1"/>
        <v>9.5574249836766765E-4</v>
      </c>
      <c r="J12" s="181">
        <f>'Comps data'!J9</f>
        <v>0.25600000000000001</v>
      </c>
      <c r="K12" s="92">
        <v>0.05</v>
      </c>
      <c r="L12" s="182">
        <f t="shared" si="2"/>
        <v>4.9964437678024574E-2</v>
      </c>
    </row>
    <row r="13" spans="1:16" x14ac:dyDescent="0.25">
      <c r="C13" s="92"/>
      <c r="D13" s="83" t="str">
        <f>'Comps data'!A10</f>
        <v>GlaxoSmithKline Pharmaceuticals Limited</v>
      </c>
      <c r="E13" s="84"/>
      <c r="F13" s="84">
        <f>Comps!I13</f>
        <v>475266.40391999995</v>
      </c>
      <c r="G13" s="84">
        <f>Comps!J13</f>
        <v>147.70739999999998</v>
      </c>
      <c r="H13" s="173">
        <f t="shared" si="0"/>
        <v>3.1078864144763551E-4</v>
      </c>
      <c r="I13" s="173">
        <f t="shared" si="1"/>
        <v>3.1069208187760024E-4</v>
      </c>
      <c r="J13" s="181">
        <f>'Comps data'!J10</f>
        <v>0.26700000000000002</v>
      </c>
      <c r="K13" s="183">
        <v>0.13</v>
      </c>
      <c r="L13" s="182">
        <f t="shared" si="2"/>
        <v>0.12997039169536731</v>
      </c>
    </row>
    <row r="14" spans="1:16" x14ac:dyDescent="0.25">
      <c r="C14" s="92"/>
      <c r="D14" s="83" t="str">
        <f>'Comps data'!A11</f>
        <v>Ipca Laboratories Limited</v>
      </c>
      <c r="E14" s="84"/>
      <c r="F14" s="84">
        <f>Comps!I14</f>
        <v>359929.46483999997</v>
      </c>
      <c r="G14" s="84">
        <f>Comps!J14</f>
        <v>11995.89</v>
      </c>
      <c r="H14" s="173">
        <f t="shared" si="0"/>
        <v>3.3328446742565382E-2</v>
      </c>
      <c r="I14" s="173">
        <f t="shared" si="1"/>
        <v>3.225348808273789E-2</v>
      </c>
      <c r="J14" s="181">
        <f>'Comps data'!J11</f>
        <v>0.32900000000000001</v>
      </c>
      <c r="K14" s="183">
        <v>0.36</v>
      </c>
      <c r="L14" s="182">
        <f t="shared" si="2"/>
        <v>0.35212528569441454</v>
      </c>
    </row>
    <row r="15" spans="1:16" x14ac:dyDescent="0.25">
      <c r="C15" s="92"/>
      <c r="D15" s="83" t="str">
        <f>'Comps data'!A12</f>
        <v>Laurus Labs Limited</v>
      </c>
      <c r="E15" s="84"/>
      <c r="F15" s="84">
        <f>Comps!I15</f>
        <v>337200.11351999996</v>
      </c>
      <c r="G15" s="84">
        <f>Comps!J15</f>
        <v>27620.43</v>
      </c>
      <c r="H15" s="173">
        <f t="shared" si="0"/>
        <v>8.1911093420678163E-2</v>
      </c>
      <c r="I15" s="173">
        <f t="shared" si="1"/>
        <v>7.5709634478097337E-2</v>
      </c>
      <c r="J15" s="181">
        <f>'Comps data'!J12</f>
        <v>0.26600000000000001</v>
      </c>
      <c r="K15" s="183">
        <v>1.08</v>
      </c>
      <c r="L15" s="182">
        <f t="shared" si="2"/>
        <v>1.0187499585010509</v>
      </c>
    </row>
    <row r="16" spans="1:16" x14ac:dyDescent="0.25">
      <c r="C16" s="92"/>
      <c r="D16" s="83" t="str">
        <f>'Comps data'!A13</f>
        <v>Ajanta Pharma Limited</v>
      </c>
      <c r="E16" s="84"/>
      <c r="F16" s="84">
        <f>Comps!I16</f>
        <v>335653.54019999999</v>
      </c>
      <c r="G16" s="84">
        <f>Comps!J16</f>
        <v>327.00540000000001</v>
      </c>
      <c r="H16" s="173">
        <f t="shared" si="0"/>
        <v>9.7423492034421277E-4</v>
      </c>
      <c r="I16" s="173">
        <f t="shared" si="1"/>
        <v>9.732867104433918E-4</v>
      </c>
      <c r="J16" s="181">
        <f>'Comps data'!J13</f>
        <v>0.25</v>
      </c>
      <c r="K16" s="183">
        <v>0.25</v>
      </c>
      <c r="L16" s="182">
        <f t="shared" si="2"/>
        <v>0.24981746432690566</v>
      </c>
    </row>
    <row r="17" spans="1:12" x14ac:dyDescent="0.25">
      <c r="C17" s="92"/>
      <c r="D17" s="85"/>
      <c r="E17" s="86"/>
      <c r="F17" s="86"/>
      <c r="G17" s="86"/>
      <c r="H17" s="86"/>
      <c r="I17" s="86"/>
    </row>
    <row r="18" spans="1:12" x14ac:dyDescent="0.25">
      <c r="C18" s="92"/>
      <c r="D18" s="179" t="s">
        <v>284</v>
      </c>
      <c r="E18" s="176"/>
      <c r="F18" s="176"/>
      <c r="G18" s="176"/>
      <c r="H18" s="177">
        <f>AVERAGE(H8:H16)</f>
        <v>3.6374307329386443E-2</v>
      </c>
      <c r="I18" s="177">
        <f>AVERAGE(I8:I16)</f>
        <v>3.3739701473437772E-2</v>
      </c>
      <c r="J18" s="177">
        <f>AVERAGE(J8:J16)</f>
        <v>0.25955555555555559</v>
      </c>
      <c r="K18" s="178">
        <f>AVERAGE(K8:K16)</f>
        <v>0.4466666666666666</v>
      </c>
      <c r="L18" s="178">
        <f>AVERAGE(L8:L16)</f>
        <v>0.43040981713543663</v>
      </c>
    </row>
    <row r="19" spans="1:12" x14ac:dyDescent="0.25">
      <c r="C19" s="92"/>
      <c r="D19" s="179" t="s">
        <v>285</v>
      </c>
      <c r="E19" s="176"/>
      <c r="F19" s="176"/>
      <c r="G19" s="176"/>
      <c r="H19" s="177">
        <f>MEDIAN(H8:H16)</f>
        <v>3.3328446742565382E-2</v>
      </c>
      <c r="I19" s="177">
        <f>MEDIAN(I8:I16)</f>
        <v>3.225348808273789E-2</v>
      </c>
      <c r="J19" s="177">
        <f>MEDIAN(J8:J16)</f>
        <v>0.25600000000000001</v>
      </c>
      <c r="K19" s="178">
        <f>MEDIAN(K8:K16)</f>
        <v>0.48</v>
      </c>
      <c r="L19" s="178">
        <f>MEDIAN(L8:L16)</f>
        <v>0.46198337614285595</v>
      </c>
    </row>
    <row r="20" spans="1:12" x14ac:dyDescent="0.25">
      <c r="C20" s="92"/>
      <c r="D20" s="85"/>
      <c r="E20" s="86"/>
      <c r="F20" s="86"/>
      <c r="G20" s="86"/>
      <c r="H20" s="86"/>
      <c r="I20" s="86"/>
    </row>
    <row r="21" spans="1:12" x14ac:dyDescent="0.25">
      <c r="C21" s="92"/>
      <c r="D21" s="83" t="s">
        <v>323</v>
      </c>
      <c r="E21" s="84"/>
      <c r="F21" s="84">
        <f>Comps!I28</f>
        <v>602475.43200000003</v>
      </c>
      <c r="G21" s="84">
        <f>Comps!J28</f>
        <v>14746.8336</v>
      </c>
      <c r="H21" s="173">
        <f>G21/F21</f>
        <v>2.4477070460858227E-2</v>
      </c>
      <c r="I21" s="173">
        <f>G21/(F21+G21)</f>
        <v>2.389225797884113E-2</v>
      </c>
      <c r="J21" s="192">
        <f>'Comps data'!J4</f>
        <v>0.12</v>
      </c>
      <c r="K21" s="171">
        <v>0.47</v>
      </c>
    </row>
    <row r="22" spans="1:12" x14ac:dyDescent="0.25">
      <c r="C22" s="92"/>
      <c r="D22" s="83"/>
      <c r="E22" s="84"/>
      <c r="F22" s="84"/>
      <c r="G22" s="84"/>
      <c r="H22" s="84"/>
      <c r="I22" s="84"/>
    </row>
    <row r="23" spans="1:12" x14ac:dyDescent="0.25">
      <c r="C23" s="92"/>
      <c r="D23" s="83"/>
      <c r="E23" s="84"/>
      <c r="F23" s="84"/>
      <c r="G23" s="84"/>
      <c r="H23" s="84"/>
      <c r="I23" s="84"/>
    </row>
    <row r="24" spans="1:12" x14ac:dyDescent="0.25">
      <c r="A24" s="191" t="s">
        <v>324</v>
      </c>
      <c r="B24" s="164"/>
      <c r="C24" s="193"/>
      <c r="D24" s="174"/>
      <c r="E24" s="175"/>
      <c r="F24" s="175"/>
      <c r="G24" s="175"/>
      <c r="H24" s="175"/>
      <c r="I24" s="175"/>
    </row>
    <row r="25" spans="1:12" x14ac:dyDescent="0.25">
      <c r="C25" s="92"/>
      <c r="D25" s="83"/>
      <c r="E25" s="84"/>
      <c r="F25" s="84"/>
      <c r="G25" s="84"/>
      <c r="H25" s="84"/>
      <c r="I25" s="84"/>
    </row>
    <row r="26" spans="1:12" x14ac:dyDescent="0.25">
      <c r="C26" s="92"/>
      <c r="D26" s="179" t="s">
        <v>325</v>
      </c>
      <c r="E26" s="188"/>
      <c r="F26" s="86"/>
      <c r="G26" s="86"/>
      <c r="H26" s="86"/>
      <c r="I26" s="86"/>
    </row>
    <row r="27" spans="1:12" x14ac:dyDescent="0.25">
      <c r="C27" s="92"/>
      <c r="D27" s="83"/>
      <c r="E27" s="84"/>
      <c r="F27" s="84"/>
      <c r="G27" s="84"/>
      <c r="H27" s="84"/>
      <c r="I27" s="84"/>
    </row>
    <row r="28" spans="1:12" x14ac:dyDescent="0.25">
      <c r="C28" s="92"/>
      <c r="D28" s="85" t="s">
        <v>326</v>
      </c>
      <c r="E28" s="180">
        <f>I18</f>
        <v>3.3739701473437772E-2</v>
      </c>
      <c r="F28" s="86"/>
      <c r="G28" s="86"/>
      <c r="H28" s="86"/>
      <c r="I28" s="86"/>
    </row>
    <row r="29" spans="1:12" x14ac:dyDescent="0.25">
      <c r="C29" s="92"/>
      <c r="D29" s="89" t="s">
        <v>327</v>
      </c>
      <c r="E29" s="196">
        <f>1-E28</f>
        <v>0.96626029852656226</v>
      </c>
      <c r="F29" s="92"/>
      <c r="G29" s="92"/>
      <c r="H29" s="92"/>
      <c r="I29" s="92"/>
    </row>
    <row r="30" spans="1:12" x14ac:dyDescent="0.25">
      <c r="C30" s="92"/>
      <c r="D30" s="200" t="s">
        <v>328</v>
      </c>
      <c r="E30" s="198"/>
      <c r="F30" s="92"/>
      <c r="G30" s="92"/>
      <c r="H30" s="92"/>
      <c r="I30" s="92"/>
    </row>
    <row r="31" spans="1:12" ht="15.75" x14ac:dyDescent="0.25">
      <c r="A31" s="163"/>
      <c r="B31" s="163"/>
      <c r="C31" s="163"/>
      <c r="D31" s="163" t="s">
        <v>329</v>
      </c>
      <c r="E31" s="199">
        <f>F21</f>
        <v>602475.43200000003</v>
      </c>
      <c r="F31" s="163"/>
      <c r="G31" s="163"/>
      <c r="H31" s="163"/>
      <c r="I31" s="163"/>
    </row>
    <row r="32" spans="1:12" x14ac:dyDescent="0.25">
      <c r="C32" s="92"/>
      <c r="D32" s="89" t="s">
        <v>317</v>
      </c>
      <c r="E32" s="90">
        <f>G21</f>
        <v>14746.8336</v>
      </c>
      <c r="F32" s="92"/>
      <c r="G32" s="92"/>
      <c r="H32" s="92"/>
      <c r="I32" s="96"/>
    </row>
    <row r="33" spans="3:9" x14ac:dyDescent="0.25">
      <c r="C33" s="92"/>
      <c r="D33" s="87" t="s">
        <v>330</v>
      </c>
      <c r="E33" s="203">
        <f>E32/E31</f>
        <v>2.4477070460858227E-2</v>
      </c>
      <c r="F33" s="88"/>
      <c r="G33" s="88"/>
      <c r="H33" s="88"/>
      <c r="I33" s="88"/>
    </row>
    <row r="34" spans="3:9" x14ac:dyDescent="0.25">
      <c r="C34" s="92"/>
      <c r="D34" s="89"/>
      <c r="E34" s="92"/>
      <c r="F34" s="92"/>
      <c r="G34" s="92"/>
      <c r="H34" s="92"/>
      <c r="I34" s="96"/>
    </row>
    <row r="35" spans="3:9" x14ac:dyDescent="0.25">
      <c r="C35" s="92"/>
      <c r="D35" s="200" t="s">
        <v>331</v>
      </c>
      <c r="E35" s="202" t="s">
        <v>158</v>
      </c>
      <c r="F35" s="97"/>
      <c r="G35" s="97"/>
      <c r="H35" s="97"/>
      <c r="I35" s="96"/>
    </row>
    <row r="36" spans="3:9" x14ac:dyDescent="0.25">
      <c r="C36" s="92"/>
      <c r="D36" s="92" t="s">
        <v>332</v>
      </c>
      <c r="E36" s="194">
        <f>model!M12</f>
        <v>4.4244998937986335E-2</v>
      </c>
      <c r="F36" s="97"/>
      <c r="G36" s="97"/>
      <c r="H36" s="97"/>
      <c r="I36" s="96"/>
    </row>
    <row r="37" spans="3:9" x14ac:dyDescent="0.25">
      <c r="C37" s="92"/>
      <c r="D37" s="197" t="s">
        <v>267</v>
      </c>
      <c r="E37" s="194">
        <f>model!M14</f>
        <v>0.14327157630121706</v>
      </c>
      <c r="F37" s="97"/>
      <c r="G37" s="97"/>
      <c r="H37" s="97"/>
      <c r="I37" s="96"/>
    </row>
    <row r="38" spans="3:9" x14ac:dyDescent="0.25">
      <c r="C38" s="92"/>
      <c r="D38" s="54" t="s">
        <v>333</v>
      </c>
      <c r="E38" s="204">
        <f>E36*(1-+E37)</f>
        <v>3.7905948196695356E-2</v>
      </c>
      <c r="F38" s="97"/>
      <c r="G38" s="97"/>
      <c r="H38" s="97"/>
      <c r="I38" s="96"/>
    </row>
    <row r="39" spans="3:9" x14ac:dyDescent="0.25">
      <c r="C39" s="92"/>
      <c r="D39" s="92"/>
      <c r="E39" s="97"/>
      <c r="F39" s="97"/>
      <c r="G39" s="97"/>
      <c r="H39" s="97"/>
      <c r="I39" s="96"/>
    </row>
    <row r="40" spans="3:9" x14ac:dyDescent="0.25">
      <c r="C40" s="92"/>
      <c r="D40" s="200" t="s">
        <v>334</v>
      </c>
      <c r="E40" s="201"/>
      <c r="F40" s="97"/>
      <c r="G40" s="97"/>
      <c r="H40" s="97"/>
      <c r="I40" s="96"/>
    </row>
    <row r="41" spans="3:9" x14ac:dyDescent="0.25">
      <c r="C41" s="92"/>
      <c r="D41" s="61" t="s">
        <v>335</v>
      </c>
      <c r="E41" s="195">
        <v>6.3600000000000004E-2</v>
      </c>
      <c r="F41" s="97"/>
      <c r="G41" s="97"/>
      <c r="H41" s="97"/>
      <c r="I41" s="96"/>
    </row>
    <row r="42" spans="3:9" x14ac:dyDescent="0.25">
      <c r="C42" s="92"/>
      <c r="D42" s="89" t="s">
        <v>336</v>
      </c>
      <c r="E42" s="194">
        <f>'Market return'!I11</f>
        <v>0.12709910272914726</v>
      </c>
      <c r="F42" s="97"/>
      <c r="G42" s="97"/>
      <c r="H42" s="97"/>
      <c r="I42" s="96"/>
    </row>
    <row r="43" spans="3:9" x14ac:dyDescent="0.25">
      <c r="C43" s="92"/>
      <c r="D43" s="61" t="s">
        <v>337</v>
      </c>
      <c r="E43" s="194">
        <f>E42-E41</f>
        <v>6.3499102729147258E-2</v>
      </c>
      <c r="F43" s="97"/>
      <c r="G43" s="97"/>
      <c r="H43" s="97"/>
      <c r="I43" s="96"/>
    </row>
    <row r="44" spans="3:9" x14ac:dyDescent="0.25">
      <c r="C44" s="92"/>
      <c r="D44" s="61" t="s">
        <v>338</v>
      </c>
      <c r="E44" s="96">
        <f>L19*(1+E33*(1-E37))</f>
        <v>0.47167126085783889</v>
      </c>
      <c r="F44" s="97"/>
      <c r="G44" s="97"/>
      <c r="H44" s="97"/>
      <c r="I44" s="96"/>
    </row>
    <row r="45" spans="3:9" x14ac:dyDescent="0.25">
      <c r="C45" s="92"/>
      <c r="D45" s="206" t="s">
        <v>334</v>
      </c>
      <c r="E45" s="207">
        <f>E41+(E43*E44)</f>
        <v>9.3550701847598325E-2</v>
      </c>
      <c r="F45" s="97"/>
      <c r="G45" s="97"/>
      <c r="H45" s="97"/>
      <c r="I45" s="96"/>
    </row>
    <row r="46" spans="3:9" x14ac:dyDescent="0.25">
      <c r="C46" s="92"/>
      <c r="D46" s="92"/>
      <c r="E46" s="97"/>
      <c r="F46" s="97"/>
      <c r="G46" s="97"/>
      <c r="H46" s="97"/>
      <c r="I46" s="96"/>
    </row>
    <row r="47" spans="3:9" x14ac:dyDescent="0.25">
      <c r="C47" s="92"/>
      <c r="D47" s="205" t="s">
        <v>313</v>
      </c>
      <c r="E47" s="208">
        <f>(E38*E28)+(E45*E29)</f>
        <v>9.1673264470853874E-2</v>
      </c>
      <c r="F47" s="97"/>
      <c r="G47" s="97"/>
      <c r="H47" s="97"/>
      <c r="I47" s="96"/>
    </row>
    <row r="48" spans="3:9" x14ac:dyDescent="0.25">
      <c r="C48" s="92"/>
      <c r="D48" s="92"/>
      <c r="E48" s="97"/>
      <c r="F48" s="97"/>
      <c r="G48" s="97"/>
      <c r="H48" s="97"/>
      <c r="I48" s="96"/>
    </row>
    <row r="49" spans="3:9" x14ac:dyDescent="0.25">
      <c r="C49" s="92"/>
      <c r="D49" s="89"/>
      <c r="E49" s="90"/>
      <c r="F49" s="90"/>
      <c r="G49" s="90"/>
      <c r="H49" s="90"/>
      <c r="I49" s="91"/>
    </row>
    <row r="50" spans="3:9" x14ac:dyDescent="0.25">
      <c r="C50" s="92"/>
      <c r="D50" s="89"/>
      <c r="E50" s="97"/>
      <c r="F50" s="97"/>
      <c r="G50" s="97"/>
      <c r="H50" s="97"/>
      <c r="I50" s="96"/>
    </row>
    <row r="51" spans="3:9" x14ac:dyDescent="0.25">
      <c r="C51" s="92"/>
      <c r="D51" s="92"/>
      <c r="E51" s="97"/>
      <c r="F51" s="97"/>
      <c r="G51" s="97"/>
      <c r="H51" s="97"/>
      <c r="I51" s="96"/>
    </row>
    <row r="52" spans="3:9" x14ac:dyDescent="0.25">
      <c r="C52" s="92"/>
      <c r="D52" s="89"/>
      <c r="E52" s="97"/>
      <c r="F52" s="97"/>
      <c r="G52" s="97"/>
      <c r="H52" s="97"/>
      <c r="I52" s="96"/>
    </row>
    <row r="53" spans="3:9" x14ac:dyDescent="0.25">
      <c r="C53" s="92"/>
      <c r="D53" s="88"/>
      <c r="E53" s="97"/>
      <c r="F53" s="97"/>
      <c r="G53" s="97"/>
      <c r="H53" s="97"/>
      <c r="I53" s="96"/>
    </row>
    <row r="54" spans="3:9" x14ac:dyDescent="0.25">
      <c r="C54" s="92"/>
      <c r="D54" s="92"/>
      <c r="E54" s="97"/>
      <c r="F54" s="97"/>
      <c r="G54" s="97"/>
      <c r="H54" s="97"/>
      <c r="I54" s="96"/>
    </row>
    <row r="55" spans="3:9" x14ac:dyDescent="0.25">
      <c r="C55" s="92"/>
      <c r="D55" s="92"/>
      <c r="E55" s="97"/>
      <c r="F55" s="97"/>
      <c r="G55" s="97"/>
      <c r="H55" s="97"/>
      <c r="I55" s="96"/>
    </row>
    <row r="56" spans="3:9" x14ac:dyDescent="0.25">
      <c r="C56" s="92"/>
      <c r="D56" s="92"/>
      <c r="E56" s="97"/>
      <c r="F56" s="97"/>
      <c r="G56" s="97"/>
      <c r="H56" s="97"/>
      <c r="I56" s="96"/>
    </row>
    <row r="57" spans="3:9" x14ac:dyDescent="0.25">
      <c r="C57" s="92"/>
      <c r="D57" s="88"/>
      <c r="E57" s="97"/>
      <c r="F57" s="97"/>
      <c r="G57" s="97"/>
      <c r="H57" s="97"/>
      <c r="I57" s="96"/>
    </row>
    <row r="58" spans="3:9" x14ac:dyDescent="0.25">
      <c r="C58" s="92"/>
      <c r="D58" s="88"/>
      <c r="E58" s="97"/>
      <c r="F58" s="97"/>
      <c r="G58" s="97"/>
      <c r="H58" s="97"/>
      <c r="I58" s="96"/>
    </row>
    <row r="59" spans="3:9" x14ac:dyDescent="0.25">
      <c r="C59" s="92"/>
      <c r="D59" s="92"/>
      <c r="E59" s="97"/>
      <c r="F59" s="97"/>
      <c r="G59" s="97"/>
      <c r="H59" s="97"/>
      <c r="I59" s="96"/>
    </row>
    <row r="60" spans="3:9" x14ac:dyDescent="0.25">
      <c r="C60" s="92"/>
      <c r="D60" s="92"/>
      <c r="E60" s="90"/>
      <c r="F60" s="90"/>
      <c r="G60" s="90"/>
      <c r="H60" s="90"/>
      <c r="I60" s="91"/>
    </row>
    <row r="61" spans="3:9" x14ac:dyDescent="0.25">
      <c r="C61" s="92"/>
      <c r="D61" s="88"/>
      <c r="E61" s="97"/>
      <c r="F61" s="97"/>
      <c r="G61" s="97"/>
      <c r="H61" s="97"/>
      <c r="I61" s="96"/>
    </row>
    <row r="62" spans="3:9" x14ac:dyDescent="0.25">
      <c r="C62" s="92"/>
      <c r="D62" s="89"/>
      <c r="E62" s="90"/>
      <c r="F62" s="90"/>
      <c r="G62" s="90"/>
      <c r="H62" s="90"/>
      <c r="I62" s="91"/>
    </row>
    <row r="63" spans="3:9" x14ac:dyDescent="0.25">
      <c r="C63" s="92"/>
      <c r="D63" s="89"/>
      <c r="E63" s="90"/>
      <c r="F63" s="90"/>
      <c r="G63" s="90"/>
      <c r="H63" s="90"/>
      <c r="I63" s="91"/>
    </row>
    <row r="64" spans="3:9" x14ac:dyDescent="0.25">
      <c r="C64" s="92"/>
      <c r="D64" s="89"/>
      <c r="E64" s="97"/>
      <c r="F64" s="97"/>
      <c r="G64" s="97"/>
      <c r="H64" s="97"/>
      <c r="I64" s="96"/>
    </row>
    <row r="65" spans="3:9" x14ac:dyDescent="0.25">
      <c r="C65" s="92"/>
      <c r="D65" s="89"/>
      <c r="E65" s="97"/>
      <c r="F65" s="97"/>
      <c r="G65" s="97"/>
      <c r="H65" s="97"/>
      <c r="I65" s="96"/>
    </row>
    <row r="66" spans="3:9" x14ac:dyDescent="0.25">
      <c r="C66" s="92"/>
      <c r="D66" s="92"/>
      <c r="E66" s="97"/>
      <c r="F66" s="97"/>
      <c r="G66" s="97"/>
      <c r="H66" s="97"/>
      <c r="I66" s="96"/>
    </row>
    <row r="67" spans="3:9" x14ac:dyDescent="0.25">
      <c r="C67" s="92"/>
      <c r="D67" s="92"/>
      <c r="E67" s="97"/>
      <c r="F67" s="97"/>
      <c r="G67" s="97"/>
      <c r="H67" s="97"/>
      <c r="I67" s="96"/>
    </row>
    <row r="68" spans="3:9" x14ac:dyDescent="0.25">
      <c r="C68" s="92"/>
      <c r="D68" s="92"/>
      <c r="E68" s="97"/>
      <c r="F68" s="97"/>
      <c r="G68" s="97"/>
      <c r="H68" s="97"/>
      <c r="I68" s="96"/>
    </row>
    <row r="69" spans="3:9" x14ac:dyDescent="0.25">
      <c r="C69" s="92"/>
      <c r="D69" s="92"/>
      <c r="E69" s="97"/>
      <c r="F69" s="97"/>
      <c r="G69" s="97"/>
      <c r="H69" s="97"/>
      <c r="I69" s="96"/>
    </row>
    <row r="70" spans="3:9" x14ac:dyDescent="0.25">
      <c r="C70" s="92"/>
      <c r="D70" s="89"/>
      <c r="E70" s="90"/>
      <c r="F70" s="90"/>
      <c r="G70" s="90"/>
      <c r="H70" s="90"/>
      <c r="I70" s="91"/>
    </row>
    <row r="71" spans="3:9" x14ac:dyDescent="0.25">
      <c r="C71" s="92"/>
      <c r="D71" s="89"/>
      <c r="E71" s="97"/>
      <c r="F71" s="97"/>
      <c r="G71" s="97"/>
      <c r="H71" s="97"/>
      <c r="I71" s="96"/>
    </row>
    <row r="72" spans="3:9" x14ac:dyDescent="0.25">
      <c r="C72" s="92"/>
      <c r="D72" s="89"/>
      <c r="E72" s="97"/>
      <c r="F72" s="97"/>
      <c r="G72" s="97"/>
      <c r="H72" s="97"/>
      <c r="I72" s="96"/>
    </row>
    <row r="73" spans="3:9" x14ac:dyDescent="0.25">
      <c r="C73" s="92"/>
      <c r="D73" s="89"/>
      <c r="E73" s="97"/>
      <c r="F73" s="97"/>
      <c r="G73" s="97"/>
      <c r="H73" s="97"/>
      <c r="I73" s="96"/>
    </row>
    <row r="74" spans="3:9" x14ac:dyDescent="0.25">
      <c r="C74" s="92"/>
      <c r="D74" s="92"/>
      <c r="E74" s="97"/>
      <c r="F74" s="97"/>
      <c r="G74" s="97"/>
      <c r="H74" s="97"/>
      <c r="I74" s="96"/>
    </row>
    <row r="75" spans="3:9" x14ac:dyDescent="0.25">
      <c r="C75" s="92"/>
      <c r="D75" s="92"/>
      <c r="E75" s="97"/>
      <c r="F75" s="97"/>
      <c r="G75" s="97"/>
      <c r="H75" s="97"/>
      <c r="I75" s="96"/>
    </row>
    <row r="76" spans="3:9" x14ac:dyDescent="0.25">
      <c r="C76" s="92"/>
      <c r="D76" s="92"/>
      <c r="E76" s="97"/>
      <c r="F76" s="97"/>
      <c r="G76" s="97"/>
      <c r="H76" s="97"/>
      <c r="I76" s="96"/>
    </row>
    <row r="77" spans="3:9" x14ac:dyDescent="0.25">
      <c r="C77" s="92"/>
      <c r="D77" s="92"/>
      <c r="E77" s="97"/>
      <c r="F77" s="97"/>
      <c r="G77" s="97"/>
      <c r="H77" s="97"/>
      <c r="I77" s="96"/>
    </row>
    <row r="78" spans="3:9" x14ac:dyDescent="0.25">
      <c r="C78" s="92"/>
      <c r="D78" s="92"/>
      <c r="E78" s="97"/>
      <c r="F78" s="97"/>
      <c r="G78" s="97"/>
      <c r="H78" s="97"/>
      <c r="I78" s="96"/>
    </row>
    <row r="79" spans="3:9" x14ac:dyDescent="0.25">
      <c r="C79" s="92"/>
      <c r="D79" s="92"/>
      <c r="E79" s="97"/>
      <c r="F79" s="97"/>
      <c r="G79" s="97"/>
      <c r="H79" s="97"/>
      <c r="I79" s="96"/>
    </row>
    <row r="80" spans="3:9" x14ac:dyDescent="0.25">
      <c r="C80" s="92"/>
      <c r="D80" s="89"/>
      <c r="E80" s="90"/>
      <c r="F80" s="90"/>
      <c r="G80" s="90"/>
      <c r="H80" s="90"/>
      <c r="I80" s="91"/>
    </row>
    <row r="81" spans="3:10" x14ac:dyDescent="0.25">
      <c r="C81" s="92"/>
      <c r="D81" s="92"/>
      <c r="E81" s="97"/>
      <c r="F81" s="97"/>
      <c r="G81" s="97"/>
      <c r="H81" s="97"/>
      <c r="I81" s="96"/>
    </row>
    <row r="82" spans="3:10" x14ac:dyDescent="0.25">
      <c r="C82" s="92"/>
      <c r="D82" s="92"/>
      <c r="E82" s="97"/>
      <c r="F82" s="97"/>
      <c r="G82" s="97"/>
      <c r="H82" s="97"/>
      <c r="I82" s="96"/>
    </row>
    <row r="83" spans="3:10" x14ac:dyDescent="0.25">
      <c r="C83" s="92"/>
      <c r="D83" s="92"/>
      <c r="E83" s="97"/>
      <c r="F83" s="97"/>
      <c r="G83" s="97"/>
      <c r="H83" s="97"/>
      <c r="I83" s="96"/>
    </row>
    <row r="84" spans="3:10" x14ac:dyDescent="0.25">
      <c r="C84" s="92"/>
      <c r="D84" s="92"/>
      <c r="E84" s="97"/>
      <c r="F84" s="97"/>
      <c r="G84" s="97"/>
      <c r="H84" s="97"/>
      <c r="I84" s="96"/>
    </row>
    <row r="85" spans="3:10" x14ac:dyDescent="0.25">
      <c r="C85" s="92"/>
      <c r="D85" s="92"/>
      <c r="E85" s="97"/>
      <c r="F85" s="97"/>
      <c r="G85" s="97"/>
      <c r="H85" s="97"/>
      <c r="I85" s="96"/>
    </row>
    <row r="86" spans="3:10" x14ac:dyDescent="0.25">
      <c r="C86" s="92"/>
      <c r="D86" s="92"/>
      <c r="E86" s="97"/>
      <c r="F86" s="97"/>
      <c r="G86" s="97"/>
      <c r="H86" s="97"/>
      <c r="I86" s="96"/>
    </row>
    <row r="87" spans="3:10" x14ac:dyDescent="0.25">
      <c r="C87" s="92"/>
      <c r="D87" s="92"/>
      <c r="E87" s="97"/>
      <c r="F87" s="97"/>
      <c r="G87" s="97"/>
      <c r="H87" s="97"/>
      <c r="I87" s="96"/>
    </row>
    <row r="88" spans="3:10" x14ac:dyDescent="0.25">
      <c r="C88" s="92"/>
      <c r="D88" s="92"/>
      <c r="E88" s="97"/>
      <c r="F88" s="97"/>
      <c r="G88" s="97"/>
      <c r="H88" s="97"/>
      <c r="I88" s="96"/>
    </row>
    <row r="89" spans="3:10" x14ac:dyDescent="0.25">
      <c r="C89" s="92"/>
      <c r="D89" s="92"/>
      <c r="E89" s="97"/>
      <c r="F89" s="97"/>
      <c r="G89" s="97"/>
      <c r="H89" s="97"/>
      <c r="I89" s="96"/>
    </row>
    <row r="90" spans="3:10" x14ac:dyDescent="0.25">
      <c r="C90" s="92"/>
      <c r="D90" s="92"/>
      <c r="E90" s="97"/>
      <c r="F90" s="97"/>
      <c r="G90" s="97"/>
      <c r="H90" s="97"/>
      <c r="I90" s="96"/>
    </row>
    <row r="91" spans="3:10" x14ac:dyDescent="0.25">
      <c r="C91" s="92"/>
      <c r="D91" s="92"/>
      <c r="E91" s="97"/>
      <c r="F91" s="97"/>
      <c r="G91" s="97"/>
      <c r="H91" s="97"/>
      <c r="I91" s="96"/>
    </row>
    <row r="92" spans="3:10" x14ac:dyDescent="0.25">
      <c r="C92" s="92"/>
      <c r="D92" s="92"/>
      <c r="E92" s="97"/>
      <c r="F92" s="97"/>
      <c r="G92" s="97"/>
      <c r="H92" s="97"/>
      <c r="I92" s="96"/>
    </row>
    <row r="93" spans="3:10" x14ac:dyDescent="0.25">
      <c r="C93" s="92"/>
      <c r="D93" s="89"/>
      <c r="E93" s="90"/>
      <c r="F93" s="90"/>
      <c r="G93" s="90"/>
      <c r="H93" s="90"/>
      <c r="I93" s="91"/>
    </row>
    <row r="94" spans="3:10" x14ac:dyDescent="0.25">
      <c r="C94" s="92"/>
      <c r="D94" s="89"/>
      <c r="E94" s="90"/>
      <c r="F94" s="90"/>
      <c r="G94" s="90"/>
      <c r="H94" s="90"/>
      <c r="I94" s="91"/>
    </row>
    <row r="95" spans="3:10" x14ac:dyDescent="0.25">
      <c r="C95" s="92"/>
      <c r="D95" s="92"/>
      <c r="E95" s="97"/>
      <c r="F95" s="97"/>
      <c r="G95" s="97"/>
      <c r="H95" s="97"/>
      <c r="I95" s="96"/>
      <c r="J95" s="59"/>
    </row>
    <row r="96" spans="3:10" x14ac:dyDescent="0.25">
      <c r="C96" s="92"/>
      <c r="D96" s="92"/>
      <c r="E96" s="92"/>
      <c r="F96" s="92"/>
      <c r="G96" s="92"/>
      <c r="H96" s="92"/>
      <c r="I96" s="92"/>
    </row>
    <row r="97" spans="1:10" x14ac:dyDescent="0.25">
      <c r="C97" s="92"/>
      <c r="D97" s="92"/>
      <c r="E97" s="92"/>
      <c r="F97" s="92"/>
      <c r="G97" s="92"/>
      <c r="H97" s="92"/>
      <c r="I97" s="92"/>
    </row>
    <row r="98" spans="1:10" x14ac:dyDescent="0.25">
      <c r="C98" s="92"/>
      <c r="D98" s="92"/>
      <c r="E98" s="92"/>
      <c r="F98" s="92"/>
      <c r="G98" s="92"/>
      <c r="H98" s="92"/>
      <c r="I98" s="92"/>
    </row>
    <row r="99" spans="1:10" ht="15.75" x14ac:dyDescent="0.25">
      <c r="A99" s="5"/>
      <c r="B99" s="5"/>
      <c r="C99" s="19"/>
      <c r="D99" s="19"/>
      <c r="E99" s="19"/>
      <c r="F99" s="19"/>
      <c r="G99" s="19"/>
      <c r="H99" s="19"/>
      <c r="I99" s="19"/>
    </row>
    <row r="100" spans="1:10" x14ac:dyDescent="0.25">
      <c r="C100" s="92"/>
      <c r="D100" s="92"/>
      <c r="E100" s="92"/>
      <c r="F100" s="92"/>
      <c r="G100" s="92"/>
      <c r="H100" s="92"/>
      <c r="I100" s="92"/>
    </row>
    <row r="101" spans="1:10" x14ac:dyDescent="0.25">
      <c r="C101" s="92"/>
      <c r="D101" s="89"/>
      <c r="E101" s="92"/>
      <c r="F101" s="92"/>
      <c r="G101" s="92"/>
      <c r="H101" s="92"/>
      <c r="I101" s="92"/>
    </row>
    <row r="102" spans="1:10" x14ac:dyDescent="0.25">
      <c r="C102" s="92"/>
      <c r="D102" s="92"/>
      <c r="E102" s="96"/>
      <c r="F102" s="96"/>
      <c r="G102" s="96"/>
      <c r="H102" s="96"/>
      <c r="I102" s="96"/>
    </row>
    <row r="103" spans="1:10" x14ac:dyDescent="0.25">
      <c r="C103" s="92"/>
      <c r="D103" s="89"/>
      <c r="E103" s="92"/>
      <c r="F103" s="92"/>
      <c r="G103" s="92"/>
      <c r="H103" s="92"/>
      <c r="I103" s="92"/>
    </row>
    <row r="104" spans="1:10" x14ac:dyDescent="0.25">
      <c r="C104" s="92"/>
      <c r="D104" s="92"/>
      <c r="E104" s="96"/>
      <c r="F104" s="96"/>
      <c r="G104" s="96"/>
      <c r="H104" s="96"/>
      <c r="I104" s="96"/>
    </row>
    <row r="105" spans="1:10" x14ac:dyDescent="0.25">
      <c r="C105" s="92"/>
      <c r="D105" s="92"/>
      <c r="E105" s="96"/>
      <c r="F105" s="96"/>
      <c r="G105" s="96"/>
      <c r="H105" s="92"/>
      <c r="I105" s="92"/>
    </row>
    <row r="106" spans="1:10" x14ac:dyDescent="0.25">
      <c r="C106" s="92"/>
      <c r="D106" s="92"/>
      <c r="E106" s="92"/>
      <c r="F106" s="92"/>
      <c r="G106" s="92"/>
      <c r="H106" s="92"/>
      <c r="I106" s="92"/>
      <c r="J106" s="59"/>
    </row>
    <row r="107" spans="1:10" x14ac:dyDescent="0.25">
      <c r="C107" s="92"/>
      <c r="D107" s="92"/>
      <c r="E107" s="92"/>
      <c r="F107" s="92"/>
      <c r="G107" s="92"/>
      <c r="H107" s="92"/>
      <c r="I107" s="92"/>
    </row>
    <row r="108" spans="1:10" x14ac:dyDescent="0.25">
      <c r="C108" s="92"/>
      <c r="D108" s="92"/>
      <c r="E108" s="92"/>
      <c r="F108" s="92"/>
      <c r="G108" s="92"/>
      <c r="H108" s="92"/>
      <c r="I108" s="92"/>
    </row>
    <row r="109" spans="1:10" x14ac:dyDescent="0.25">
      <c r="C109" s="92"/>
      <c r="D109" s="92"/>
      <c r="E109" s="92"/>
      <c r="F109" s="92"/>
      <c r="G109" s="92"/>
      <c r="H109" s="92"/>
      <c r="I109" s="92"/>
    </row>
    <row r="110" spans="1:10" x14ac:dyDescent="0.25">
      <c r="C110" s="92"/>
      <c r="D110" s="92"/>
      <c r="E110" s="92"/>
      <c r="F110" s="92"/>
      <c r="G110" s="92"/>
      <c r="H110" s="92"/>
      <c r="I110" s="92"/>
    </row>
    <row r="111" spans="1:10" x14ac:dyDescent="0.25">
      <c r="C111" s="92"/>
      <c r="D111" s="92"/>
      <c r="E111" s="92"/>
      <c r="F111" s="92"/>
      <c r="G111" s="92"/>
      <c r="H111" s="92"/>
      <c r="I111" s="92"/>
    </row>
    <row r="112" spans="1:10" x14ac:dyDescent="0.25">
      <c r="C112" s="92"/>
      <c r="D112" s="92"/>
      <c r="E112" s="92"/>
      <c r="F112" s="92"/>
      <c r="G112" s="92"/>
      <c r="H112" s="92"/>
      <c r="I112" s="92"/>
    </row>
    <row r="113" spans="3:9" x14ac:dyDescent="0.25">
      <c r="C113" s="92"/>
      <c r="D113" s="92"/>
      <c r="E113" s="92"/>
      <c r="F113" s="92"/>
      <c r="G113" s="92"/>
      <c r="H113" s="92"/>
      <c r="I113" s="92"/>
    </row>
    <row r="114" spans="3:9" x14ac:dyDescent="0.25">
      <c r="C114" s="92"/>
      <c r="D114" s="92"/>
      <c r="E114" s="92"/>
      <c r="F114" s="92"/>
      <c r="G114" s="92"/>
      <c r="H114" s="92"/>
      <c r="I114" s="96"/>
    </row>
    <row r="115" spans="3:9" x14ac:dyDescent="0.25">
      <c r="C115" s="92"/>
      <c r="D115" s="92"/>
      <c r="E115" s="92"/>
      <c r="F115" s="92"/>
      <c r="G115" s="92"/>
      <c r="H115" s="96"/>
      <c r="I115" s="96"/>
    </row>
    <row r="116" spans="3:9" x14ac:dyDescent="0.25">
      <c r="C116" s="92"/>
      <c r="D116" s="92"/>
      <c r="E116" s="92"/>
      <c r="F116" s="92"/>
      <c r="G116" s="92"/>
      <c r="H116" s="92"/>
      <c r="I116" s="96"/>
    </row>
    <row r="117" spans="3:9" x14ac:dyDescent="0.25">
      <c r="C117" s="92"/>
      <c r="D117" s="92"/>
      <c r="E117" s="92"/>
      <c r="F117" s="92"/>
      <c r="G117" s="92"/>
      <c r="H117" s="92"/>
      <c r="I117" s="92"/>
    </row>
    <row r="118" spans="3:9" x14ac:dyDescent="0.25">
      <c r="C118" s="92"/>
      <c r="D118" s="92"/>
      <c r="E118" s="92"/>
      <c r="F118" s="92"/>
      <c r="G118" s="92"/>
      <c r="H118" s="92"/>
      <c r="I118" s="96"/>
    </row>
    <row r="119" spans="3:9" x14ac:dyDescent="0.25">
      <c r="C119" s="92"/>
      <c r="D119" s="89"/>
      <c r="E119" s="91"/>
      <c r="F119" s="91"/>
      <c r="G119" s="91"/>
      <c r="H119" s="91"/>
      <c r="I119" s="91"/>
    </row>
    <row r="120" spans="3:9" x14ac:dyDescent="0.25">
      <c r="C120" s="92"/>
      <c r="D120" s="89"/>
      <c r="E120" s="91"/>
      <c r="F120" s="91"/>
      <c r="G120" s="91"/>
      <c r="H120" s="91"/>
      <c r="I120" s="91"/>
    </row>
    <row r="121" spans="3:9" x14ac:dyDescent="0.25">
      <c r="C121" s="92"/>
      <c r="D121" s="92"/>
      <c r="E121" s="92"/>
      <c r="F121" s="92"/>
      <c r="G121" s="92"/>
      <c r="H121" s="92"/>
      <c r="I121" s="92"/>
    </row>
    <row r="122" spans="3:9" x14ac:dyDescent="0.25">
      <c r="C122" s="92"/>
      <c r="D122" s="92"/>
      <c r="E122" s="96"/>
      <c r="F122" s="96"/>
      <c r="G122" s="92"/>
      <c r="H122" s="96"/>
      <c r="I122" s="96"/>
    </row>
    <row r="123" spans="3:9" x14ac:dyDescent="0.25">
      <c r="C123" s="92"/>
      <c r="D123" s="92"/>
      <c r="E123" s="92"/>
      <c r="F123" s="96"/>
      <c r="G123" s="92"/>
      <c r="H123" s="92"/>
      <c r="I123" s="92"/>
    </row>
    <row r="124" spans="3:9" x14ac:dyDescent="0.25">
      <c r="C124" s="92"/>
      <c r="D124" s="92"/>
      <c r="E124" s="92"/>
      <c r="F124" s="96"/>
      <c r="G124" s="96"/>
      <c r="H124" s="96"/>
      <c r="I124" s="96"/>
    </row>
    <row r="125" spans="3:9" x14ac:dyDescent="0.25">
      <c r="C125" s="92"/>
      <c r="D125" s="92"/>
      <c r="E125" s="92"/>
      <c r="F125" s="92"/>
      <c r="G125" s="96"/>
      <c r="H125" s="96"/>
      <c r="I125" s="92"/>
    </row>
    <row r="126" spans="3:9" x14ac:dyDescent="0.25">
      <c r="C126" s="92"/>
      <c r="D126" s="92"/>
      <c r="E126" s="92"/>
      <c r="F126" s="92"/>
      <c r="G126" s="92"/>
      <c r="H126" s="92"/>
      <c r="I126" s="92"/>
    </row>
    <row r="127" spans="3:9" x14ac:dyDescent="0.25">
      <c r="C127" s="92"/>
      <c r="D127" s="89"/>
      <c r="E127" s="91"/>
      <c r="F127" s="91"/>
      <c r="G127" s="89"/>
      <c r="H127" s="89"/>
      <c r="I127" s="91"/>
    </row>
    <row r="128" spans="3:9" x14ac:dyDescent="0.25">
      <c r="C128" s="92"/>
      <c r="D128" s="89"/>
      <c r="E128" s="91"/>
      <c r="F128" s="91"/>
      <c r="G128" s="91"/>
      <c r="H128" s="91"/>
      <c r="I128" s="91"/>
    </row>
    <row r="129" spans="1:9" x14ac:dyDescent="0.25">
      <c r="C129" s="92"/>
      <c r="D129" s="92"/>
      <c r="E129" s="96"/>
      <c r="F129" s="96"/>
      <c r="G129" s="96"/>
      <c r="H129" s="96"/>
      <c r="I129" s="96"/>
    </row>
    <row r="130" spans="1:9" x14ac:dyDescent="0.25">
      <c r="A130" s="98"/>
      <c r="B130" s="98"/>
      <c r="C130" s="92"/>
      <c r="D130" s="89"/>
      <c r="E130" s="91"/>
      <c r="F130" s="91"/>
      <c r="G130" s="91"/>
      <c r="H130" s="91"/>
      <c r="I130" s="91"/>
    </row>
    <row r="131" spans="1:9" x14ac:dyDescent="0.25">
      <c r="C131" s="92"/>
      <c r="D131" s="89"/>
      <c r="E131" s="92"/>
      <c r="F131" s="92"/>
      <c r="G131" s="92"/>
      <c r="H131" s="92"/>
      <c r="I131" s="92"/>
    </row>
    <row r="132" spans="1:9" x14ac:dyDescent="0.25">
      <c r="C132" s="92"/>
      <c r="D132" s="92"/>
      <c r="E132" s="96"/>
      <c r="F132" s="96"/>
      <c r="G132" s="96"/>
      <c r="H132" s="96"/>
      <c r="I132" s="96"/>
    </row>
    <row r="133" spans="1:9" x14ac:dyDescent="0.25">
      <c r="C133" s="92"/>
      <c r="D133" s="92"/>
      <c r="E133" s="92"/>
      <c r="F133" s="92"/>
      <c r="G133" s="92"/>
      <c r="H133" s="92"/>
      <c r="I133" s="92"/>
    </row>
    <row r="134" spans="1:9" x14ac:dyDescent="0.25">
      <c r="C134" s="92"/>
      <c r="D134" s="92"/>
      <c r="E134" s="96"/>
      <c r="F134" s="92"/>
      <c r="G134" s="92"/>
      <c r="H134" s="92"/>
      <c r="I134" s="96"/>
    </row>
    <row r="135" spans="1:9" x14ac:dyDescent="0.25">
      <c r="C135" s="92"/>
      <c r="D135" s="92"/>
      <c r="E135" s="96"/>
      <c r="F135" s="92"/>
      <c r="G135" s="92"/>
      <c r="H135" s="92"/>
      <c r="I135" s="92"/>
    </row>
    <row r="136" spans="1:9" x14ac:dyDescent="0.25">
      <c r="C136" s="92"/>
      <c r="D136" s="92"/>
      <c r="E136" s="92"/>
      <c r="F136" s="92"/>
      <c r="G136" s="92"/>
      <c r="H136" s="92"/>
      <c r="I136" s="96"/>
    </row>
    <row r="137" spans="1:9" x14ac:dyDescent="0.25">
      <c r="C137" s="92"/>
      <c r="D137" s="92"/>
      <c r="E137" s="92"/>
      <c r="F137" s="96"/>
      <c r="G137" s="96"/>
      <c r="H137" s="96"/>
      <c r="I137" s="96"/>
    </row>
    <row r="138" spans="1:9" x14ac:dyDescent="0.25">
      <c r="C138" s="92"/>
      <c r="D138" s="92"/>
      <c r="E138" s="92"/>
      <c r="F138" s="92"/>
      <c r="G138" s="92"/>
      <c r="H138" s="92"/>
      <c r="I138" s="92"/>
    </row>
    <row r="139" spans="1:9" x14ac:dyDescent="0.25">
      <c r="C139" s="92"/>
      <c r="D139" s="92"/>
      <c r="E139" s="92"/>
      <c r="F139" s="92"/>
      <c r="G139" s="92"/>
      <c r="H139" s="92"/>
      <c r="I139" s="96"/>
    </row>
    <row r="140" spans="1:9" x14ac:dyDescent="0.25">
      <c r="C140" s="92"/>
      <c r="D140" s="92"/>
      <c r="E140" s="92"/>
      <c r="F140" s="92"/>
      <c r="G140" s="92"/>
      <c r="H140" s="92"/>
      <c r="I140" s="96"/>
    </row>
    <row r="141" spans="1:9" x14ac:dyDescent="0.25">
      <c r="C141" s="92"/>
      <c r="D141" s="89"/>
      <c r="E141" s="91"/>
      <c r="F141" s="91"/>
      <c r="G141" s="91"/>
      <c r="H141" s="91"/>
      <c r="I141" s="91"/>
    </row>
    <row r="142" spans="1:9" x14ac:dyDescent="0.25">
      <c r="C142" s="92"/>
      <c r="D142" s="89"/>
      <c r="E142" s="92"/>
      <c r="F142" s="92"/>
      <c r="G142" s="92"/>
      <c r="H142" s="92"/>
      <c r="I142" s="92"/>
    </row>
    <row r="143" spans="1:9" x14ac:dyDescent="0.25">
      <c r="C143" s="92"/>
      <c r="D143" s="92"/>
      <c r="E143" s="92"/>
      <c r="F143" s="96"/>
      <c r="G143" s="92"/>
      <c r="H143" s="92"/>
      <c r="I143" s="92"/>
    </row>
    <row r="144" spans="1:9" x14ac:dyDescent="0.25">
      <c r="C144" s="92"/>
      <c r="D144" s="92"/>
      <c r="E144" s="92"/>
      <c r="F144" s="96"/>
      <c r="G144" s="96"/>
      <c r="H144" s="96"/>
      <c r="I144" s="96"/>
    </row>
    <row r="145" spans="1:10" x14ac:dyDescent="0.25">
      <c r="C145" s="92"/>
      <c r="D145" s="92"/>
      <c r="E145" s="92"/>
      <c r="F145" s="96"/>
      <c r="G145" s="96"/>
      <c r="H145" s="96"/>
      <c r="I145" s="96"/>
    </row>
    <row r="146" spans="1:10" x14ac:dyDescent="0.25">
      <c r="C146" s="92"/>
      <c r="D146" s="92"/>
      <c r="E146" s="96"/>
      <c r="F146" s="96"/>
      <c r="G146" s="96"/>
      <c r="H146" s="96"/>
      <c r="I146" s="96"/>
    </row>
    <row r="147" spans="1:10" x14ac:dyDescent="0.25">
      <c r="C147" s="92"/>
      <c r="D147" s="92"/>
      <c r="E147" s="92"/>
      <c r="F147" s="92"/>
      <c r="G147" s="92"/>
      <c r="H147" s="92"/>
      <c r="I147" s="92"/>
    </row>
    <row r="148" spans="1:10" x14ac:dyDescent="0.25">
      <c r="C148" s="92"/>
      <c r="D148" s="92"/>
      <c r="E148" s="92"/>
      <c r="F148" s="92"/>
      <c r="G148" s="92"/>
      <c r="H148" s="92"/>
      <c r="I148" s="92"/>
    </row>
    <row r="149" spans="1:10" x14ac:dyDescent="0.25">
      <c r="C149" s="92"/>
      <c r="D149" s="89"/>
      <c r="E149" s="91"/>
      <c r="F149" s="89"/>
      <c r="G149" s="91"/>
      <c r="H149" s="91"/>
      <c r="I149" s="91"/>
    </row>
    <row r="150" spans="1:10" x14ac:dyDescent="0.25">
      <c r="C150" s="92"/>
      <c r="D150" s="89"/>
      <c r="E150" s="89"/>
      <c r="F150" s="89"/>
      <c r="G150" s="89"/>
      <c r="H150" s="89"/>
      <c r="I150" s="89"/>
    </row>
    <row r="151" spans="1:10" x14ac:dyDescent="0.25">
      <c r="C151" s="92"/>
      <c r="D151" s="89"/>
      <c r="E151" s="91"/>
      <c r="F151" s="91"/>
      <c r="G151" s="91"/>
      <c r="H151" s="91"/>
      <c r="I151" s="91"/>
    </row>
    <row r="152" spans="1:10" x14ac:dyDescent="0.25">
      <c r="C152" s="89"/>
      <c r="D152" s="92"/>
      <c r="E152" s="92"/>
      <c r="F152" s="92"/>
      <c r="G152" s="92"/>
      <c r="H152" s="92"/>
      <c r="I152" s="92"/>
    </row>
    <row r="153" spans="1:10" x14ac:dyDescent="0.25">
      <c r="C153" s="92"/>
      <c r="D153" s="89"/>
      <c r="E153" s="91"/>
      <c r="F153" s="91"/>
      <c r="G153" s="91"/>
      <c r="H153" s="91"/>
      <c r="I153" s="91"/>
    </row>
    <row r="154" spans="1:10" x14ac:dyDescent="0.25">
      <c r="C154" s="92"/>
      <c r="D154" s="92"/>
      <c r="E154" s="92"/>
      <c r="F154" s="92"/>
      <c r="G154" s="92"/>
      <c r="H154" s="92"/>
      <c r="I154" s="92"/>
    </row>
    <row r="155" spans="1:10" ht="15.75" x14ac:dyDescent="0.25">
      <c r="A155" s="5"/>
      <c r="B155" s="5"/>
      <c r="C155" s="19"/>
      <c r="D155" s="19"/>
      <c r="E155" s="19"/>
      <c r="F155" s="19"/>
      <c r="G155" s="19"/>
      <c r="H155" s="19"/>
      <c r="I155" s="19"/>
    </row>
    <row r="156" spans="1:10" x14ac:dyDescent="0.25">
      <c r="C156" s="92"/>
      <c r="D156" s="92"/>
      <c r="E156" s="96"/>
      <c r="F156" s="96"/>
      <c r="G156" s="96"/>
      <c r="H156" s="96"/>
      <c r="I156" s="96"/>
    </row>
    <row r="157" spans="1:10" x14ac:dyDescent="0.25">
      <c r="C157" s="92"/>
      <c r="D157" s="92"/>
      <c r="E157" s="96"/>
      <c r="F157" s="96"/>
      <c r="G157" s="96"/>
      <c r="H157" s="96"/>
      <c r="I157" s="96"/>
    </row>
    <row r="158" spans="1:10" x14ac:dyDescent="0.25">
      <c r="C158" s="92"/>
      <c r="D158" s="92"/>
      <c r="E158" s="96"/>
      <c r="F158" s="96"/>
      <c r="G158" s="96"/>
      <c r="H158" s="96"/>
      <c r="I158" s="96"/>
    </row>
    <row r="159" spans="1:10" ht="15.75" thickBot="1" x14ac:dyDescent="0.3">
      <c r="A159" s="99"/>
      <c r="B159" s="99"/>
      <c r="C159" s="92"/>
      <c r="D159" s="89"/>
      <c r="E159" s="91"/>
      <c r="F159" s="91"/>
      <c r="G159" s="91"/>
      <c r="H159" s="91"/>
      <c r="I159" s="91"/>
      <c r="J159" s="10"/>
    </row>
    <row r="160" spans="1:10" ht="15.75" thickTop="1" x14ac:dyDescent="0.25">
      <c r="C160" s="92"/>
      <c r="D160" s="92"/>
      <c r="E160" s="92"/>
      <c r="F160" s="92"/>
      <c r="G160" s="92"/>
      <c r="H160" s="92"/>
      <c r="I160" s="92"/>
    </row>
    <row r="161" spans="1:14" x14ac:dyDescent="0.25">
      <c r="C161" s="92"/>
      <c r="D161" s="92"/>
      <c r="E161" s="92"/>
      <c r="F161" s="92"/>
      <c r="G161" s="92"/>
      <c r="H161" s="92"/>
      <c r="I161" s="92"/>
    </row>
    <row r="162" spans="1:14" ht="15.75" x14ac:dyDescent="0.25">
      <c r="A162" s="5"/>
      <c r="B162" s="5"/>
      <c r="C162" s="19"/>
      <c r="D162" s="19"/>
      <c r="E162" s="93"/>
      <c r="F162" s="93"/>
      <c r="G162" s="93"/>
      <c r="H162" s="93"/>
      <c r="I162" s="93"/>
      <c r="J162" s="18"/>
      <c r="K162" s="18"/>
      <c r="L162" s="18"/>
      <c r="M162" s="18"/>
      <c r="N162" s="18"/>
    </row>
    <row r="163" spans="1:14" x14ac:dyDescent="0.25">
      <c r="C163" s="92"/>
      <c r="D163" s="92"/>
      <c r="E163" s="92"/>
      <c r="F163" s="92"/>
      <c r="G163" s="92"/>
      <c r="H163" s="92"/>
      <c r="I163" s="92"/>
    </row>
    <row r="164" spans="1:14" x14ac:dyDescent="0.25">
      <c r="C164" s="92"/>
      <c r="D164" s="92"/>
      <c r="E164" s="92"/>
      <c r="F164" s="92"/>
      <c r="G164" s="92"/>
      <c r="H164" s="92"/>
      <c r="I164" s="92"/>
    </row>
    <row r="165" spans="1:14" x14ac:dyDescent="0.25">
      <c r="C165" s="92"/>
      <c r="D165" s="92"/>
      <c r="E165" s="92"/>
      <c r="F165" s="92"/>
      <c r="G165" s="92"/>
      <c r="H165" s="92"/>
      <c r="I165" s="92"/>
    </row>
    <row r="166" spans="1:14" x14ac:dyDescent="0.25">
      <c r="C166" s="92"/>
      <c r="D166" s="92"/>
      <c r="E166" s="92"/>
      <c r="F166" s="92"/>
      <c r="G166" s="92"/>
      <c r="H166" s="92"/>
      <c r="I166" s="92"/>
    </row>
    <row r="167" spans="1:14" x14ac:dyDescent="0.25">
      <c r="C167" s="92"/>
      <c r="D167" s="92"/>
      <c r="E167" s="92"/>
      <c r="F167" s="92"/>
      <c r="G167" s="92"/>
      <c r="H167" s="92"/>
      <c r="I167" s="92"/>
    </row>
    <row r="168" spans="1:14" x14ac:dyDescent="0.25">
      <c r="C168" s="92"/>
      <c r="D168" s="92"/>
      <c r="E168" s="92"/>
      <c r="F168" s="92"/>
      <c r="G168" s="92"/>
      <c r="H168" s="92"/>
      <c r="I168" s="92"/>
    </row>
    <row r="169" spans="1:14" x14ac:dyDescent="0.25">
      <c r="C169" s="92"/>
      <c r="D169" s="92"/>
      <c r="E169" s="92"/>
      <c r="F169" s="92"/>
      <c r="G169" s="92"/>
      <c r="H169" s="92"/>
      <c r="I169" s="92"/>
    </row>
    <row r="170" spans="1:14" x14ac:dyDescent="0.25">
      <c r="C170" s="92"/>
      <c r="D170" s="92"/>
      <c r="E170" s="92"/>
      <c r="F170" s="92"/>
      <c r="G170" s="92"/>
      <c r="H170" s="92"/>
      <c r="I170" s="92"/>
    </row>
    <row r="171" spans="1:14" x14ac:dyDescent="0.25">
      <c r="C171" s="92"/>
      <c r="D171" s="92"/>
      <c r="E171" s="92"/>
      <c r="F171" s="92"/>
      <c r="G171" s="92"/>
      <c r="H171" s="92"/>
      <c r="I171" s="92"/>
    </row>
    <row r="172" spans="1:14" x14ac:dyDescent="0.25">
      <c r="C172" s="92"/>
      <c r="D172" s="92"/>
      <c r="E172" s="92"/>
      <c r="F172" s="92"/>
      <c r="G172" s="92"/>
      <c r="H172" s="92"/>
      <c r="I172" s="92"/>
    </row>
    <row r="173" spans="1:14" x14ac:dyDescent="0.25">
      <c r="C173" s="92"/>
      <c r="D173" s="92"/>
      <c r="E173" s="92"/>
      <c r="F173" s="92"/>
      <c r="G173" s="92"/>
      <c r="H173" s="92"/>
      <c r="I173" s="92"/>
    </row>
    <row r="174" spans="1:14" x14ac:dyDescent="0.25">
      <c r="C174" s="92"/>
      <c r="D174" s="92"/>
      <c r="E174" s="92"/>
      <c r="F174" s="92"/>
      <c r="G174" s="92"/>
      <c r="H174" s="92"/>
      <c r="I174" s="92"/>
    </row>
    <row r="175" spans="1:14" x14ac:dyDescent="0.25">
      <c r="C175" s="92"/>
      <c r="D175" s="92"/>
      <c r="E175" s="92"/>
      <c r="F175" s="92"/>
      <c r="G175" s="92"/>
      <c r="H175" s="92"/>
      <c r="I175" s="92"/>
    </row>
    <row r="176" spans="1:14" x14ac:dyDescent="0.25">
      <c r="C176" s="92"/>
      <c r="D176" s="92"/>
      <c r="E176" s="92"/>
      <c r="F176" s="92"/>
      <c r="G176" s="92"/>
      <c r="H176" s="92"/>
      <c r="I176" s="92"/>
    </row>
    <row r="177" spans="3:9" x14ac:dyDescent="0.25">
      <c r="C177" s="92"/>
      <c r="D177" s="92"/>
      <c r="E177" s="92"/>
      <c r="F177" s="92"/>
      <c r="G177" s="92"/>
      <c r="H177" s="92"/>
      <c r="I177" s="92"/>
    </row>
    <row r="178" spans="3:9" x14ac:dyDescent="0.25">
      <c r="C178" s="92"/>
      <c r="D178" s="92"/>
      <c r="E178" s="92"/>
      <c r="F178" s="92"/>
      <c r="G178" s="92"/>
      <c r="H178" s="92"/>
      <c r="I178" s="92"/>
    </row>
    <row r="179" spans="3:9" x14ac:dyDescent="0.25">
      <c r="C179" s="92"/>
      <c r="D179" s="92"/>
      <c r="E179" s="92"/>
      <c r="F179" s="92"/>
      <c r="G179" s="92"/>
      <c r="H179" s="92"/>
      <c r="I179" s="92"/>
    </row>
    <row r="180" spans="3:9" x14ac:dyDescent="0.25">
      <c r="C180" s="92"/>
      <c r="D180" s="92"/>
      <c r="E180" s="92"/>
      <c r="F180" s="92"/>
      <c r="G180" s="92"/>
      <c r="H180" s="92"/>
      <c r="I180" s="9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1"/>
  <sheetViews>
    <sheetView showGridLines="0" workbookViewId="0">
      <selection activeCell="D19" sqref="D19"/>
    </sheetView>
  </sheetViews>
  <sheetFormatPr defaultRowHeight="15" x14ac:dyDescent="0.25"/>
  <cols>
    <col min="1" max="3" width="1.28515625" customWidth="1"/>
    <col min="4" max="4" width="57.140625" customWidth="1"/>
    <col min="5" max="5" width="10.5703125" bestFit="1" customWidth="1"/>
    <col min="6" max="6" width="10.85546875" bestFit="1" customWidth="1"/>
    <col min="7" max="7" width="11.85546875" bestFit="1" customWidth="1"/>
    <col min="8" max="9" width="12.140625" bestFit="1" customWidth="1"/>
    <col min="10" max="10" width="14.42578125" bestFit="1" customWidth="1"/>
    <col min="11" max="11" width="11.28515625" bestFit="1" customWidth="1"/>
    <col min="12" max="12" width="10.42578125" bestFit="1" customWidth="1"/>
    <col min="13" max="13" width="10.5703125" bestFit="1" customWidth="1"/>
    <col min="14" max="14" width="10.85546875" bestFit="1" customWidth="1"/>
  </cols>
  <sheetData>
    <row r="1" spans="1:12" ht="36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411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4.25" customHeight="1" x14ac:dyDescent="0.25"/>
    <row r="4" spans="1:12" x14ac:dyDescent="0.25">
      <c r="D4" s="264" t="s">
        <v>419</v>
      </c>
      <c r="E4" s="222"/>
      <c r="F4" s="222"/>
      <c r="G4" s="222"/>
      <c r="H4" s="222"/>
      <c r="I4" s="222"/>
      <c r="J4" s="222"/>
      <c r="K4" s="222"/>
      <c r="L4" s="222"/>
    </row>
    <row r="5" spans="1:12" x14ac:dyDescent="0.25">
      <c r="D5" s="10"/>
      <c r="E5" s="10"/>
      <c r="F5" s="10"/>
      <c r="G5" s="10"/>
      <c r="H5" s="10" t="s">
        <v>288</v>
      </c>
      <c r="I5" s="10" t="s">
        <v>412</v>
      </c>
      <c r="J5" s="10" t="s">
        <v>413</v>
      </c>
      <c r="K5" s="10" t="s">
        <v>418</v>
      </c>
      <c r="L5" s="10"/>
    </row>
    <row r="6" spans="1:12" x14ac:dyDescent="0.25">
      <c r="D6" t="s">
        <v>414</v>
      </c>
      <c r="H6" s="233">
        <f>MAX(Comps!L31:L33)</f>
        <v>6656.1578473054342</v>
      </c>
      <c r="I6" s="233">
        <v>7481.3567070055788</v>
      </c>
      <c r="J6" s="233">
        <f>Beta!K7</f>
        <v>6167.8</v>
      </c>
      <c r="K6" s="82">
        <v>5500</v>
      </c>
    </row>
    <row r="7" spans="1:12" x14ac:dyDescent="0.25">
      <c r="D7" t="s">
        <v>414</v>
      </c>
      <c r="H7" s="233">
        <f>H6</f>
        <v>6656.1578473054342</v>
      </c>
      <c r="I7" s="233">
        <f>I6</f>
        <v>7481.3567070055788</v>
      </c>
      <c r="J7" s="233">
        <f>J6</f>
        <v>6167.8</v>
      </c>
      <c r="K7" s="233">
        <v>5500</v>
      </c>
    </row>
    <row r="8" spans="1:12" x14ac:dyDescent="0.25">
      <c r="D8" t="s">
        <v>415</v>
      </c>
      <c r="H8" s="233">
        <f>MIN(Comps!L31:L33)</f>
        <v>4581.1472561639021</v>
      </c>
      <c r="I8" s="233">
        <v>5359.987939138784</v>
      </c>
      <c r="J8" s="233">
        <f>Beta!K6</f>
        <v>4634.8999999999996</v>
      </c>
      <c r="K8" s="233">
        <v>4800</v>
      </c>
    </row>
    <row r="9" spans="1:12" x14ac:dyDescent="0.25">
      <c r="D9" t="s">
        <v>415</v>
      </c>
      <c r="H9" s="233">
        <f>H8</f>
        <v>4581.1472561639021</v>
      </c>
      <c r="I9" s="233">
        <f>I8</f>
        <v>5359.987939138784</v>
      </c>
      <c r="J9" s="233">
        <f>J8</f>
        <v>4634.8999999999996</v>
      </c>
      <c r="K9" s="233">
        <v>4800</v>
      </c>
    </row>
    <row r="11" spans="1:12" x14ac:dyDescent="0.25">
      <c r="D11" s="264" t="s">
        <v>420</v>
      </c>
      <c r="E11" s="222"/>
      <c r="F11" s="222"/>
      <c r="G11" s="222"/>
      <c r="H11" s="222"/>
      <c r="I11" s="222"/>
      <c r="J11" s="222"/>
      <c r="K11" s="222"/>
      <c r="L11" s="22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6"/>
  <sheetViews>
    <sheetView showGridLines="0" workbookViewId="0">
      <selection activeCell="R9" sqref="R9"/>
    </sheetView>
  </sheetViews>
  <sheetFormatPr defaultRowHeight="15" x14ac:dyDescent="0.25"/>
  <cols>
    <col min="1" max="1" width="3.140625" customWidth="1"/>
    <col min="2" max="2" width="23" customWidth="1"/>
    <col min="13" max="13" width="17.42578125" customWidth="1"/>
  </cols>
  <sheetData>
    <row r="3" spans="2:14" x14ac:dyDescent="0.25">
      <c r="B3" s="308" t="s">
        <v>449</v>
      </c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</row>
    <row r="5" spans="2:14" x14ac:dyDescent="0.25">
      <c r="B5" s="277" t="s">
        <v>421</v>
      </c>
      <c r="C5" s="276">
        <v>2019</v>
      </c>
      <c r="D5" s="276">
        <v>2020</v>
      </c>
      <c r="E5" s="276">
        <v>2021</v>
      </c>
      <c r="F5" s="276">
        <v>2022</v>
      </c>
      <c r="G5" s="276">
        <v>2023</v>
      </c>
      <c r="H5" s="276">
        <v>2024</v>
      </c>
      <c r="I5" s="278">
        <v>2025</v>
      </c>
      <c r="J5" s="278">
        <v>2026</v>
      </c>
      <c r="K5" s="278">
        <v>2027</v>
      </c>
      <c r="L5" s="278">
        <v>2028</v>
      </c>
      <c r="M5" s="288" t="s">
        <v>447</v>
      </c>
      <c r="N5" s="288" t="s">
        <v>448</v>
      </c>
    </row>
    <row r="7" spans="2:14" x14ac:dyDescent="0.25">
      <c r="B7" s="54" t="s">
        <v>422</v>
      </c>
      <c r="C7" s="56"/>
      <c r="D7" s="285">
        <f>model!I25/model!H25-1</f>
        <v>0.13417758682323022</v>
      </c>
      <c r="E7" s="285">
        <f>model!J25/model!I25-1</f>
        <v>6.2395438355967281E-2</v>
      </c>
      <c r="F7" s="285">
        <f>model!K25/model!J25-1</f>
        <v>0.19956886681458896</v>
      </c>
      <c r="G7" s="285">
        <f>model!L25/model!K25-1</f>
        <v>9.0751622831640288E-2</v>
      </c>
      <c r="H7" s="285">
        <f>model!M25/model!L25-1</f>
        <v>0.12172337870635674</v>
      </c>
      <c r="I7" s="285">
        <f>model!N25/model!M25-1</f>
        <v>0.10346487190040321</v>
      </c>
      <c r="J7" s="285">
        <f>model!O25/model!N25-1</f>
        <v>8.7945141115342684E-2</v>
      </c>
      <c r="K7" s="285">
        <f>model!P25/model!O25-1</f>
        <v>7.4753369948041382E-2</v>
      </c>
      <c r="L7" s="285">
        <f>model!Q25/model!P25-1</f>
        <v>6.3540364455834997E-2</v>
      </c>
      <c r="M7" s="56"/>
      <c r="N7" s="289">
        <f>AVERAGE(D7:L7)</f>
        <v>0.10425784899460064</v>
      </c>
    </row>
    <row r="8" spans="2:14" x14ac:dyDescent="0.25">
      <c r="B8" s="89" t="s">
        <v>423</v>
      </c>
      <c r="C8" s="41"/>
      <c r="D8" s="286">
        <f>model!I31/model!H31-1</f>
        <v>0.32169864635754597</v>
      </c>
      <c r="E8" s="286">
        <f>model!J31/model!I31-1</f>
        <v>0.31831354902639553</v>
      </c>
      <c r="F8" s="286">
        <f>model!K31/model!J31-1</f>
        <v>5.6904123270815177E-2</v>
      </c>
      <c r="G8" s="286">
        <f>model!L31/model!K31-1</f>
        <v>-0.21601913372172266</v>
      </c>
      <c r="H8" s="286">
        <f>model!M31/model!L31-1</f>
        <v>0.42121600201743647</v>
      </c>
      <c r="I8" s="286">
        <f>model!N31/model!M31-1</f>
        <v>0.10346487190040365</v>
      </c>
      <c r="J8" s="286">
        <f>model!O31/model!N31-1</f>
        <v>8.7945141115342906E-2</v>
      </c>
      <c r="K8" s="286">
        <f>model!P31/model!O31-1</f>
        <v>7.4753369948041604E-2</v>
      </c>
      <c r="L8" s="286">
        <f>model!Q31/model!P31-1</f>
        <v>6.3540364455834775E-2</v>
      </c>
      <c r="M8" s="41"/>
      <c r="N8" s="290">
        <f t="shared" ref="N8:N11" si="0">AVERAGE(D8:L8)</f>
        <v>0.13686854826334371</v>
      </c>
    </row>
    <row r="9" spans="2:14" x14ac:dyDescent="0.25">
      <c r="B9" s="89" t="s">
        <v>424</v>
      </c>
      <c r="C9" s="41"/>
      <c r="D9" s="286">
        <f>model!I33/model!H33-1</f>
        <v>0.32448268752916309</v>
      </c>
      <c r="E9" s="286">
        <f>model!J33/model!I33-1</f>
        <v>0.36635180193834427</v>
      </c>
      <c r="F9" s="286">
        <f>model!K33/model!J33-1</f>
        <v>4.8656621557610746E-2</v>
      </c>
      <c r="G9" s="286">
        <f>model!L33/model!K33-1</f>
        <v>-0.25725574055438616</v>
      </c>
      <c r="H9" s="286">
        <f>model!M33/model!L33-1</f>
        <v>0.55648297228978616</v>
      </c>
      <c r="I9" s="286">
        <f>model!N33/model!M33-1</f>
        <v>0.11611567651785903</v>
      </c>
      <c r="J9" s="286">
        <f>model!O33/model!N33-1</f>
        <v>9.9334395134348386E-2</v>
      </c>
      <c r="K9" s="286">
        <f>model!P33/model!O33-1</f>
        <v>8.4962215394767782E-2</v>
      </c>
      <c r="L9" s="286">
        <f>model!Q33/model!P33-1</f>
        <v>7.268503641008861E-2</v>
      </c>
      <c r="M9" s="41"/>
      <c r="N9" s="290">
        <f t="shared" si="0"/>
        <v>0.15686840735750909</v>
      </c>
    </row>
    <row r="10" spans="2:14" x14ac:dyDescent="0.25">
      <c r="B10" s="89" t="s">
        <v>425</v>
      </c>
      <c r="C10" s="41"/>
      <c r="D10" s="286">
        <f>model!I38/model!H38-1</f>
        <v>0.48558761180911203</v>
      </c>
      <c r="E10" s="286">
        <f>model!J38/model!I38-1</f>
        <v>0.4076010823885643</v>
      </c>
      <c r="F10" s="286">
        <f>model!K38/model!J38-1</f>
        <v>3.8664334237870079E-2</v>
      </c>
      <c r="G10" s="286">
        <f>model!L38/model!K38-1</f>
        <v>-0.40082246238811614</v>
      </c>
      <c r="H10" s="286">
        <f>model!M38/model!L38-1</f>
        <v>0.83258167050522269</v>
      </c>
      <c r="I10" s="286">
        <f>model!N38/model!M38-1</f>
        <v>0.11831090748011386</v>
      </c>
      <c r="J10" s="286">
        <f>model!O38/model!N38-1</f>
        <v>0.10087348238109795</v>
      </c>
      <c r="K10" s="286">
        <f>model!P38/model!O38-1</f>
        <v>8.6048054293195619E-2</v>
      </c>
      <c r="L10" s="286">
        <f>model!Q38/model!P38-1</f>
        <v>7.3452067761325512E-2</v>
      </c>
      <c r="M10" s="41"/>
      <c r="N10" s="290">
        <f t="shared" si="0"/>
        <v>0.19358852760759843</v>
      </c>
    </row>
    <row r="11" spans="2:14" x14ac:dyDescent="0.25">
      <c r="B11" s="224" t="s">
        <v>426</v>
      </c>
      <c r="C11" s="280"/>
      <c r="D11" s="287">
        <f>model!I96/model!H96-1</f>
        <v>1.0109799615701345</v>
      </c>
      <c r="E11" s="287">
        <f>model!J96/model!I96-1</f>
        <v>-0.23837473837473844</v>
      </c>
      <c r="F11" s="287">
        <f>model!K96/model!J96-1</f>
        <v>0.26026046956210047</v>
      </c>
      <c r="G11" s="287">
        <f>model!L96/model!K96-1</f>
        <v>0.25505439548718911</v>
      </c>
      <c r="H11" s="287">
        <f>model!M96/model!L96-1</f>
        <v>0.14912622496144556</v>
      </c>
      <c r="I11" s="287">
        <f>model!N96/model!M96-1</f>
        <v>0.11831090748011386</v>
      </c>
      <c r="J11" s="287">
        <f>model!O96/model!N96-1</f>
        <v>0.10087348238109795</v>
      </c>
      <c r="K11" s="287">
        <f>model!P96/model!O96-1</f>
        <v>8.6048054293195619E-2</v>
      </c>
      <c r="L11" s="287">
        <f>model!Q96/model!P96-1</f>
        <v>7.3452067761325512E-2</v>
      </c>
      <c r="M11" s="280"/>
      <c r="N11" s="292">
        <f t="shared" si="0"/>
        <v>0.2017478694579849</v>
      </c>
    </row>
    <row r="12" spans="2:14" x14ac:dyDescent="0.25">
      <c r="B12" s="10"/>
    </row>
    <row r="13" spans="2:14" x14ac:dyDescent="0.25">
      <c r="B13" s="54" t="s">
        <v>427</v>
      </c>
      <c r="C13" s="285">
        <f>model!H27/model!H25</f>
        <v>0.59971538046455231</v>
      </c>
      <c r="D13" s="285">
        <f>model!I27/model!I25</f>
        <v>0.59913762109976076</v>
      </c>
      <c r="E13" s="285">
        <f>model!J27/model!J25</f>
        <v>0.60536310731741982</v>
      </c>
      <c r="F13" s="285">
        <f>model!K27/model!K25</f>
        <v>0.60690094873234357</v>
      </c>
      <c r="G13" s="285">
        <f>model!L27/model!L25</f>
        <v>0.57696956529985544</v>
      </c>
      <c r="H13" s="285">
        <f>model!M27/model!M25</f>
        <v>0.59761732458278627</v>
      </c>
      <c r="I13" s="285">
        <f>model!N27/model!N25</f>
        <v>0.59761732458278638</v>
      </c>
      <c r="J13" s="285">
        <f>model!O27/model!O25</f>
        <v>0.59761732458278638</v>
      </c>
      <c r="K13" s="285">
        <f>model!P27/model!P25</f>
        <v>0.59761732458278638</v>
      </c>
      <c r="L13" s="285">
        <f>model!Q27/model!Q25</f>
        <v>0.59761732458278638</v>
      </c>
      <c r="M13" s="56"/>
      <c r="N13" s="289">
        <f>AVERAGE(C13:L13)</f>
        <v>0.59761732458278627</v>
      </c>
    </row>
    <row r="14" spans="2:14" x14ac:dyDescent="0.25">
      <c r="B14" s="89" t="s">
        <v>428</v>
      </c>
      <c r="C14" s="286">
        <f>model!H31/model!H25</f>
        <v>0.15152116501001048</v>
      </c>
      <c r="D14" s="286">
        <f>model!I31/model!I25</f>
        <v>0.17657315839680934</v>
      </c>
      <c r="E14" s="286">
        <f>model!J31/model!J25</f>
        <v>0.21910747985619883</v>
      </c>
      <c r="F14" s="286">
        <f>model!K31/model!K25</f>
        <v>0.19304902395010812</v>
      </c>
      <c r="G14" s="286">
        <f>model!L31/model!L25</f>
        <v>0.13875454123797562</v>
      </c>
      <c r="H14" s="286">
        <f>model!M31/model!M25</f>
        <v>0.17580107369022038</v>
      </c>
      <c r="I14" s="286">
        <f>model!N31/model!N25</f>
        <v>0.17580107369022044</v>
      </c>
      <c r="J14" s="286">
        <f>model!O31/model!O25</f>
        <v>0.17580107369022047</v>
      </c>
      <c r="K14" s="286">
        <f>model!P31/model!P25</f>
        <v>0.17580107369022052</v>
      </c>
      <c r="L14" s="286">
        <f>model!Q31/model!Q25</f>
        <v>0.17580107369022049</v>
      </c>
      <c r="M14" s="41"/>
      <c r="N14" s="290">
        <f t="shared" ref="N14:N17" si="1">AVERAGE(C14:L14)</f>
        <v>0.17580107369022047</v>
      </c>
    </row>
    <row r="15" spans="2:14" x14ac:dyDescent="0.25">
      <c r="B15" s="89" t="s">
        <v>429</v>
      </c>
      <c r="C15" s="286">
        <f>model!H33/model!H25</f>
        <v>0.12526385753256328</v>
      </c>
      <c r="D15" s="286">
        <f>model!I33/model!I25</f>
        <v>0.1462820396051944</v>
      </c>
      <c r="E15" s="286">
        <f>model!J33/model!J25</f>
        <v>0.18813402353748063</v>
      </c>
      <c r="F15" s="286">
        <f>model!K33/model!K25</f>
        <v>0.16446574680347073</v>
      </c>
      <c r="G15" s="286">
        <f>model!L33/model!L25</f>
        <v>0.11199248917603373</v>
      </c>
      <c r="H15" s="286">
        <f>model!M33/model!M25</f>
        <v>0.15539874244920809</v>
      </c>
      <c r="I15" s="286">
        <f>model!N33/model!N25</f>
        <v>0.15718032986407299</v>
      </c>
      <c r="J15" s="286">
        <f>model!O33/model!O25</f>
        <v>0.15882578663938224</v>
      </c>
      <c r="K15" s="286">
        <f>model!P33/model!P25</f>
        <v>0.16033443779051523</v>
      </c>
      <c r="L15" s="286">
        <f>model!Q33/model!Q25</f>
        <v>0.16171304633755818</v>
      </c>
      <c r="M15" s="41"/>
      <c r="N15" s="290">
        <f t="shared" si="1"/>
        <v>0.15295904997354798</v>
      </c>
    </row>
    <row r="16" spans="2:14" x14ac:dyDescent="0.25">
      <c r="B16" s="89" t="s">
        <v>430</v>
      </c>
      <c r="C16" s="286">
        <f>model!H36/model!H25</f>
        <v>0.12975878018645695</v>
      </c>
      <c r="D16" s="286">
        <f>model!I36/model!I25</f>
        <v>0.15097502984051503</v>
      </c>
      <c r="E16" s="286">
        <f>model!J36/model!J25</f>
        <v>0.20779446385283276</v>
      </c>
      <c r="F16" s="286">
        <f>model!K36/model!K25</f>
        <v>0.17342928798526266</v>
      </c>
      <c r="G16" s="286">
        <f>model!L36/model!L25</f>
        <v>0.11248734833084187</v>
      </c>
      <c r="H16" s="286">
        <f>model!M36/model!M25</f>
        <v>0.16552043856717946</v>
      </c>
      <c r="I16" s="286">
        <f>model!N36/model!N25</f>
        <v>0.16774735342664901</v>
      </c>
      <c r="J16" s="286">
        <f>model!O36/model!O25</f>
        <v>0.16974073981128204</v>
      </c>
      <c r="K16" s="286">
        <f>model!P36/model!P25</f>
        <v>0.17152456122583973</v>
      </c>
      <c r="L16" s="286">
        <f>model!Q36/model!Q25</f>
        <v>0.17312309064446207</v>
      </c>
      <c r="M16" s="41"/>
      <c r="N16" s="290">
        <f t="shared" si="1"/>
        <v>0.16221010938713215</v>
      </c>
    </row>
    <row r="17" spans="2:14" x14ac:dyDescent="0.25">
      <c r="B17" s="224" t="s">
        <v>431</v>
      </c>
      <c r="C17" s="287">
        <f>model!H38/model!H25</f>
        <v>0.10515427765220134</v>
      </c>
      <c r="D17" s="287">
        <f>model!I38/model!I25</f>
        <v>0.1377349491153306</v>
      </c>
      <c r="E17" s="287">
        <f>model!J38/model!J25</f>
        <v>0.18248935985407813</v>
      </c>
      <c r="F17" s="287">
        <f>model!K38/model!K25</f>
        <v>0.15801109440399322</v>
      </c>
      <c r="G17" s="287">
        <f>model!L38/model!L25</f>
        <v>8.6799502726898167E-2</v>
      </c>
      <c r="H17" s="287">
        <f>model!M38/model!M25</f>
        <v>0.14180606442359089</v>
      </c>
      <c r="I17" s="287">
        <f>model!N38/model!N25</f>
        <v>0.14371392568085564</v>
      </c>
      <c r="J17" s="287">
        <f>model!O38/model!O25</f>
        <v>0.14542171645598492</v>
      </c>
      <c r="K17" s="287">
        <f>model!P38/model!P25</f>
        <v>0.14694996696463905</v>
      </c>
      <c r="L17" s="287">
        <f>model!Q38/model!Q25</f>
        <v>0.14831947255369149</v>
      </c>
      <c r="M17" s="280"/>
      <c r="N17" s="292">
        <f t="shared" si="1"/>
        <v>0.13964003298312636</v>
      </c>
    </row>
    <row r="18" spans="2:14" x14ac:dyDescent="0.25">
      <c r="B18" s="10"/>
    </row>
    <row r="19" spans="2:14" x14ac:dyDescent="0.25">
      <c r="B19" s="54" t="s">
        <v>432</v>
      </c>
      <c r="C19" s="285">
        <f>-model!H30/model!H25</f>
        <v>0.26300666422914187</v>
      </c>
      <c r="D19" s="285">
        <f>-model!I30/model!I25</f>
        <v>0.24214439453714845</v>
      </c>
      <c r="E19" s="285">
        <f>-model!J30/model!J25</f>
        <v>0.20339852972529077</v>
      </c>
      <c r="F19" s="285">
        <f>-model!K30/model!K25</f>
        <v>0.22928591646378335</v>
      </c>
      <c r="G19" s="285">
        <f>-model!L30/model!L25</f>
        <v>0.25446623319073802</v>
      </c>
      <c r="H19" s="285">
        <f>-model!M30/model!M25</f>
        <v>0.2384603476292205</v>
      </c>
      <c r="I19" s="285">
        <f>-model!N30/model!N25</f>
        <v>0.2384603476292205</v>
      </c>
      <c r="J19" s="285">
        <f>-model!O30/model!O25</f>
        <v>0.23846034762922053</v>
      </c>
      <c r="K19" s="285">
        <f>-model!P30/model!P25</f>
        <v>0.2384603476292205</v>
      </c>
      <c r="L19" s="285">
        <f>-model!Q30/model!Q25</f>
        <v>0.2384603476292205</v>
      </c>
      <c r="M19" s="56"/>
      <c r="N19" s="289">
        <f t="shared" ref="N19:N21" si="2">AVERAGE(C19:L19)</f>
        <v>0.23846034762922047</v>
      </c>
    </row>
    <row r="20" spans="2:14" x14ac:dyDescent="0.25">
      <c r="B20" s="89" t="s">
        <v>433</v>
      </c>
      <c r="C20" s="286">
        <f>-model!H32/model!H25</f>
        <v>2.6257307477447232E-2</v>
      </c>
      <c r="D20" s="286">
        <f>-model!I32/model!I25</f>
        <v>3.0291118791614932E-2</v>
      </c>
      <c r="E20" s="286">
        <f>-model!J32/model!J25</f>
        <v>3.0973456318718198E-2</v>
      </c>
      <c r="F20" s="286">
        <f>-model!K32/model!K25</f>
        <v>2.8583277146637404E-2</v>
      </c>
      <c r="G20" s="286">
        <f>-model!L32/model!L25</f>
        <v>2.676205206194188E-2</v>
      </c>
      <c r="H20" s="286">
        <f>-model!M32/model!M25</f>
        <v>2.0402331241012293E-2</v>
      </c>
      <c r="I20" s="286">
        <f>-model!N32/model!N25</f>
        <v>1.862074382614743E-2</v>
      </c>
      <c r="J20" s="286">
        <f>-model!O32/model!O25</f>
        <v>1.6975287050838214E-2</v>
      </c>
      <c r="K20" s="286">
        <f>-model!P32/model!P25</f>
        <v>1.5466635899705273E-2</v>
      </c>
      <c r="L20" s="286">
        <f>-model!Q32/model!Q25</f>
        <v>1.408802735266234E-2</v>
      </c>
      <c r="M20" s="41"/>
      <c r="N20" s="290">
        <f t="shared" si="2"/>
        <v>2.2842023716672516E-2</v>
      </c>
    </row>
    <row r="21" spans="2:14" x14ac:dyDescent="0.25">
      <c r="B21" s="224" t="s">
        <v>434</v>
      </c>
      <c r="C21" s="287">
        <f>model!H33/model!H25</f>
        <v>0.12526385753256328</v>
      </c>
      <c r="D21" s="287">
        <f>model!I33/model!I25</f>
        <v>0.1462820396051944</v>
      </c>
      <c r="E21" s="287">
        <f>model!J33/model!J25</f>
        <v>0.18813402353748063</v>
      </c>
      <c r="F21" s="287">
        <f>model!K33/model!K25</f>
        <v>0.16446574680347073</v>
      </c>
      <c r="G21" s="287">
        <f>model!L33/model!L25</f>
        <v>0.11199248917603373</v>
      </c>
      <c r="H21" s="287">
        <f>model!M33/model!M25</f>
        <v>0.15539874244920809</v>
      </c>
      <c r="I21" s="287">
        <f>model!N33/model!N25</f>
        <v>0.15718032986407299</v>
      </c>
      <c r="J21" s="287">
        <f>model!O33/model!O25</f>
        <v>0.15882578663938224</v>
      </c>
      <c r="K21" s="287">
        <f>model!P33/model!P25</f>
        <v>0.16033443779051523</v>
      </c>
      <c r="L21" s="287">
        <f>model!Q33/model!Q25</f>
        <v>0.16171304633755818</v>
      </c>
      <c r="M21" s="280"/>
      <c r="N21" s="292">
        <f t="shared" si="2"/>
        <v>0.15295904997354798</v>
      </c>
    </row>
    <row r="22" spans="2:14" x14ac:dyDescent="0.25">
      <c r="B22" s="10"/>
    </row>
    <row r="23" spans="2:14" x14ac:dyDescent="0.25">
      <c r="B23" s="54" t="s">
        <v>435</v>
      </c>
      <c r="C23" s="285">
        <f>model!H33/(model!H56-SUM(model!H60:H61))</f>
        <v>0.13833678828807855</v>
      </c>
      <c r="D23" s="285">
        <f>model!I33/(model!I56-SUM(model!I60:I61))</f>
        <v>0.14879326338783427</v>
      </c>
      <c r="E23" s="285">
        <f>model!J33/(model!J56-SUM(model!J60:J61))</f>
        <v>0.17355755472420684</v>
      </c>
      <c r="F23" s="285">
        <f>model!K33/(model!K56-SUM(model!K60:K61))</f>
        <v>0.14751450508131198</v>
      </c>
      <c r="G23" s="285">
        <f>model!L33/(model!L56-SUM(model!L60:L61))</f>
        <v>0.11419190653885214</v>
      </c>
      <c r="H23" s="285">
        <f>model!M33/(model!M56-SUM(model!M60:M61))</f>
        <v>0.16031158780512372</v>
      </c>
      <c r="I23" s="285">
        <f>model!N33/(model!N56-SUM(model!N60:N61))</f>
        <v>0.16124656059317719</v>
      </c>
      <c r="J23" s="285">
        <f>model!O33/(model!O56-SUM(model!O60:O61))</f>
        <v>0.15987329339752396</v>
      </c>
      <c r="K23" s="285">
        <f>model!P33/(model!P56-SUM(model!P60:P61))</f>
        <v>0.1567546653755208</v>
      </c>
      <c r="L23" s="285">
        <f>model!Q33/(model!Q56-SUM(model!Q60:Q61))</f>
        <v>0.15239655464391963</v>
      </c>
      <c r="M23" s="56"/>
      <c r="N23" s="289">
        <f t="shared" ref="N23:N25" si="3">AVERAGE(C23:L23)</f>
        <v>0.1512976679835549</v>
      </c>
    </row>
    <row r="24" spans="2:14" x14ac:dyDescent="0.25">
      <c r="B24" s="89" t="s">
        <v>436</v>
      </c>
      <c r="C24" s="286">
        <f>model!H38/model!H69</f>
        <v>0.14223049119929976</v>
      </c>
      <c r="D24" s="286">
        <f>model!I38/model!I69</f>
        <v>0.18655600770695399</v>
      </c>
      <c r="E24" s="286">
        <f>model!J38/model!J69</f>
        <v>0.21930719980262273</v>
      </c>
      <c r="F24" s="286">
        <f>model!K38/model!K69</f>
        <v>0.19452876277799008</v>
      </c>
      <c r="G24" s="286">
        <f>model!L38/model!L69</f>
        <v>0.11130765293318411</v>
      </c>
      <c r="H24" s="286">
        <f>model!M38/model!M69</f>
        <v>0.17944811864527457</v>
      </c>
      <c r="I24" s="286">
        <f>model!N38/model!N69</f>
        <v>0.17688794960572235</v>
      </c>
      <c r="J24" s="286">
        <f>model!O38/model!O69</f>
        <v>0.17225071380408891</v>
      </c>
      <c r="K24" s="286">
        <f>model!P38/model!P69</f>
        <v>0.16623091225948908</v>
      </c>
      <c r="L24" s="286">
        <f>model!Q38/model!Q69</f>
        <v>0.15938021461659049</v>
      </c>
      <c r="M24" s="41"/>
      <c r="N24" s="290">
        <f t="shared" si="3"/>
        <v>0.17081280233512164</v>
      </c>
    </row>
    <row r="25" spans="2:14" x14ac:dyDescent="0.25">
      <c r="B25" s="224" t="s">
        <v>437</v>
      </c>
      <c r="C25" s="281">
        <f>-model!H33/model!H34</f>
        <v>16.869668680212321</v>
      </c>
      <c r="D25" s="281">
        <f>-model!I33/model!I34</f>
        <v>18.761604672609899</v>
      </c>
      <c r="E25" s="281">
        <f>-model!J33/model!J34</f>
        <v>28.306347589952498</v>
      </c>
      <c r="F25" s="281">
        <f>-model!K33/model!K34</f>
        <v>33.39621920947107</v>
      </c>
      <c r="G25" s="281">
        <f>-model!L33/model!L34</f>
        <v>12.099757824143081</v>
      </c>
      <c r="H25" s="281">
        <f>-model!M33/model!M34</f>
        <v>32.719183056521977</v>
      </c>
      <c r="I25" s="281">
        <f>-model!N33/model!N34</f>
        <v>36.518393132241691</v>
      </c>
      <c r="J25" s="281">
        <f>-model!O33/model!O34</f>
        <v>40.145925625311264</v>
      </c>
      <c r="K25" s="281">
        <f>-model!P33/model!P34</f>
        <v>43.55681240551128</v>
      </c>
      <c r="L25" s="281">
        <f>-model!Q33/model!Q34</f>
        <v>46.722740901113269</v>
      </c>
      <c r="M25" s="280"/>
      <c r="N25" s="291">
        <f t="shared" si="3"/>
        <v>30.909665309708839</v>
      </c>
    </row>
    <row r="26" spans="2:14" x14ac:dyDescent="0.25">
      <c r="B26" s="10"/>
    </row>
    <row r="27" spans="2:14" x14ac:dyDescent="0.25">
      <c r="B27" s="54" t="s">
        <v>438</v>
      </c>
      <c r="C27" s="282">
        <f>model!H25/model!H47</f>
        <v>5.8932482117253135</v>
      </c>
      <c r="D27" s="282">
        <f>model!I25/model!I47</f>
        <v>5.0591502158412966</v>
      </c>
      <c r="E27" s="282">
        <f>model!J25/model!J47</f>
        <v>5.5157757853671896</v>
      </c>
      <c r="F27" s="282">
        <f>model!K25/model!K47</f>
        <v>5.6426774912448261</v>
      </c>
      <c r="G27" s="282">
        <f>model!L25/model!L47</f>
        <v>5.4400941759138535</v>
      </c>
      <c r="H27" s="282">
        <f>model!M25/model!M47</f>
        <v>5.4963978138804181</v>
      </c>
      <c r="I27" s="282">
        <f>model!N25/model!N47</f>
        <v>5.4963978138804173</v>
      </c>
      <c r="J27" s="282">
        <f>model!O25/model!O47</f>
        <v>5.4963978138804181</v>
      </c>
      <c r="K27" s="282">
        <f>model!P25/model!P47</f>
        <v>5.4963978138804181</v>
      </c>
      <c r="L27" s="282">
        <f>model!Q25/model!Q47</f>
        <v>5.4963978138804181</v>
      </c>
      <c r="M27" s="56"/>
      <c r="N27" s="282">
        <f t="shared" ref="N27:N31" si="4">AVERAGE(C27:L27)</f>
        <v>5.5032934949494576</v>
      </c>
    </row>
    <row r="28" spans="2:14" x14ac:dyDescent="0.25">
      <c r="B28" s="89" t="s">
        <v>439</v>
      </c>
      <c r="C28" s="283">
        <f>-model!H26/model!H60</f>
        <v>3.0605040270200057</v>
      </c>
      <c r="D28" s="283">
        <f>-model!I26/model!I60</f>
        <v>3.5060426602379331</v>
      </c>
      <c r="E28" s="283">
        <f>-model!J26/model!J60</f>
        <v>3.2713926370615569</v>
      </c>
      <c r="F28" s="283">
        <f>-model!K26/model!K60</f>
        <v>3.5626054645553862</v>
      </c>
      <c r="G28" s="283">
        <f>-model!L26/model!L60</f>
        <v>4.2118436751615862</v>
      </c>
      <c r="H28" s="283">
        <f>-model!M26/model!M60</f>
        <v>3.4824645425265945</v>
      </c>
      <c r="I28" s="283">
        <f>-model!N26/model!N60</f>
        <v>3.482464542526595</v>
      </c>
      <c r="J28" s="283">
        <f>-model!O26/model!O60</f>
        <v>3.4824645425265945</v>
      </c>
      <c r="K28" s="283">
        <f>-model!P26/model!P60</f>
        <v>3.4824645425265945</v>
      </c>
      <c r="L28" s="283">
        <f>-model!Q26/model!Q60</f>
        <v>3.482464542526595</v>
      </c>
      <c r="M28" s="41"/>
      <c r="N28" s="283">
        <f t="shared" si="4"/>
        <v>3.5024711176669441</v>
      </c>
    </row>
    <row r="29" spans="2:14" x14ac:dyDescent="0.25">
      <c r="B29" s="89" t="s">
        <v>440</v>
      </c>
      <c r="C29" s="283">
        <f>-model!H26/model!H48</f>
        <v>1.9634835019034984</v>
      </c>
      <c r="D29" s="283">
        <f>-model!I26/model!I48</f>
        <v>1.839071485908446</v>
      </c>
      <c r="E29" s="283">
        <f>-model!J26/model!J48</f>
        <v>1.5128868208472435</v>
      </c>
      <c r="F29" s="283">
        <f>-model!K26/model!K48</f>
        <v>1.3908661700265841</v>
      </c>
      <c r="G29" s="283">
        <f>-model!L26/model!L48</f>
        <v>1.8817961825942557</v>
      </c>
      <c r="H29" s="283">
        <f>-model!M26/model!M48</f>
        <v>1.6866687873136861</v>
      </c>
      <c r="I29" s="283">
        <f>-model!N26/model!N48</f>
        <v>1.6866687873136863</v>
      </c>
      <c r="J29" s="283">
        <f>-model!O26/model!O48</f>
        <v>1.6866687873136861</v>
      </c>
      <c r="K29" s="283">
        <f>-model!P26/model!P48</f>
        <v>1.6866687873136861</v>
      </c>
      <c r="L29" s="283">
        <f>-model!Q26/model!Q48</f>
        <v>1.6866687873136861</v>
      </c>
      <c r="M29" s="41"/>
      <c r="N29" s="283">
        <f t="shared" si="4"/>
        <v>1.7021448097848455</v>
      </c>
    </row>
    <row r="30" spans="2:14" x14ac:dyDescent="0.25">
      <c r="B30" s="89" t="s">
        <v>441</v>
      </c>
      <c r="C30" s="283">
        <f>model!H25/model!H52</f>
        <v>2.7838196788303486</v>
      </c>
      <c r="D30" s="283">
        <f>model!I25/model!I52</f>
        <v>2.9048817592853684</v>
      </c>
      <c r="E30" s="283">
        <f>model!J25/model!J52</f>
        <v>3.1764324386302483</v>
      </c>
      <c r="F30" s="283">
        <f>model!K25/model!K52</f>
        <v>3.7469134497484249</v>
      </c>
      <c r="G30" s="283">
        <f>model!L25/model!L52</f>
        <v>4.4734698600023144</v>
      </c>
      <c r="H30" s="283">
        <f>model!M25/model!M52</f>
        <v>4.9825830206898756</v>
      </c>
      <c r="I30" s="283">
        <f>model!N25/model!N52</f>
        <v>5.543524324349776</v>
      </c>
      <c r="J30" s="283">
        <f>model!O25/model!O52</f>
        <v>6.1589319252836798</v>
      </c>
      <c r="K30" s="283">
        <f>model!P25/model!P52</f>
        <v>6.8329134209150126</v>
      </c>
      <c r="L30" s="283">
        <f>model!Q25/model!Q52</f>
        <v>7.5708139143616426</v>
      </c>
      <c r="M30" s="41"/>
      <c r="N30" s="283">
        <f t="shared" si="4"/>
        <v>4.8174283792096686</v>
      </c>
    </row>
    <row r="31" spans="2:14" x14ac:dyDescent="0.25">
      <c r="B31" s="224" t="s">
        <v>442</v>
      </c>
      <c r="C31" s="284">
        <f>model!H25/model!H69</f>
        <v>1.3525887331918944</v>
      </c>
      <c r="D31" s="284">
        <f>model!I25/model!I69</f>
        <v>1.35445657696322</v>
      </c>
      <c r="E31" s="284">
        <f>model!J25/model!J69</f>
        <v>1.2017533514172269</v>
      </c>
      <c r="F31" s="284">
        <f>model!K25/model!K69</f>
        <v>1.2311082554787622</v>
      </c>
      <c r="G31" s="284">
        <f>model!L25/model!L69</f>
        <v>1.2823535784922317</v>
      </c>
      <c r="H31" s="284">
        <f>model!M25/model!M69</f>
        <v>1.2654474219751459</v>
      </c>
      <c r="I31" s="284">
        <f>model!N25/model!N69</f>
        <v>1.2308337467486345</v>
      </c>
      <c r="J31" s="284">
        <f>model!O25/model!O69</f>
        <v>1.1844909962689401</v>
      </c>
      <c r="K31" s="284">
        <f>model!P25/model!P69</f>
        <v>1.1312075510672939</v>
      </c>
      <c r="L31" s="284">
        <f>model!Q25/model!Q69</f>
        <v>1.0745737688548953</v>
      </c>
      <c r="M31" s="280"/>
      <c r="N31" s="284">
        <f t="shared" si="4"/>
        <v>1.2308813980458244</v>
      </c>
    </row>
    <row r="33" spans="2:14" x14ac:dyDescent="0.25">
      <c r="B33" s="54" t="s">
        <v>443</v>
      </c>
      <c r="C33" s="236">
        <f>1/C27*365</f>
        <v>61.935283715657754</v>
      </c>
      <c r="D33" s="236">
        <f t="shared" ref="D33:L33" si="5">1/D27*365</f>
        <v>72.146503746242956</v>
      </c>
      <c r="E33" s="236">
        <f t="shared" si="5"/>
        <v>66.173828343115233</v>
      </c>
      <c r="F33" s="236">
        <f t="shared" si="5"/>
        <v>64.685603699012347</v>
      </c>
      <c r="G33" s="236">
        <f t="shared" si="5"/>
        <v>67.094426713428263</v>
      </c>
      <c r="H33" s="236">
        <f t="shared" si="5"/>
        <v>66.407129243491312</v>
      </c>
      <c r="I33" s="236">
        <f t="shared" si="5"/>
        <v>66.407129243491312</v>
      </c>
      <c r="J33" s="236">
        <f t="shared" si="5"/>
        <v>66.407129243491312</v>
      </c>
      <c r="K33" s="236">
        <f t="shared" si="5"/>
        <v>66.407129243491312</v>
      </c>
      <c r="L33" s="236">
        <f t="shared" si="5"/>
        <v>66.407129243491312</v>
      </c>
      <c r="M33" s="56"/>
      <c r="N33" s="236">
        <f t="shared" ref="N33:N36" si="6">AVERAGE(C33:L33)</f>
        <v>66.407129243491326</v>
      </c>
    </row>
    <row r="34" spans="2:14" x14ac:dyDescent="0.25">
      <c r="B34" s="89" t="s">
        <v>444</v>
      </c>
      <c r="C34" s="279">
        <f>1/C28*365</f>
        <v>119.26140164415935</v>
      </c>
      <c r="D34" s="279">
        <f t="shared" ref="D34:L34" si="7">1/D28*365</f>
        <v>104.10597798465743</v>
      </c>
      <c r="E34" s="279">
        <f t="shared" si="7"/>
        <v>111.57327795658662</v>
      </c>
      <c r="F34" s="279">
        <f t="shared" si="7"/>
        <v>102.45310732030555</v>
      </c>
      <c r="G34" s="279">
        <f t="shared" si="7"/>
        <v>86.660386317874654</v>
      </c>
      <c r="H34" s="279">
        <f t="shared" si="7"/>
        <v>104.81083024471673</v>
      </c>
      <c r="I34" s="279">
        <f t="shared" si="7"/>
        <v>104.81083024471671</v>
      </c>
      <c r="J34" s="279">
        <f t="shared" si="7"/>
        <v>104.81083024471673</v>
      </c>
      <c r="K34" s="279">
        <f t="shared" si="7"/>
        <v>104.81083024471673</v>
      </c>
      <c r="L34" s="279">
        <f t="shared" si="7"/>
        <v>104.81083024471671</v>
      </c>
      <c r="M34" s="41"/>
      <c r="N34" s="279">
        <f t="shared" si="6"/>
        <v>104.81083024471673</v>
      </c>
    </row>
    <row r="35" spans="2:14" x14ac:dyDescent="0.25">
      <c r="B35" s="89" t="s">
        <v>445</v>
      </c>
      <c r="C35" s="279">
        <f>1/C29*365</f>
        <v>185.8941007888026</v>
      </c>
      <c r="D35" s="279">
        <f t="shared" ref="D35:L35" si="8">1/D29*365</f>
        <v>198.46971844039058</v>
      </c>
      <c r="E35" s="279">
        <f t="shared" si="8"/>
        <v>241.26061181205449</v>
      </c>
      <c r="F35" s="279">
        <f t="shared" si="8"/>
        <v>262.42639864698384</v>
      </c>
      <c r="G35" s="279">
        <f t="shared" si="8"/>
        <v>193.96362017102661</v>
      </c>
      <c r="H35" s="279">
        <f t="shared" si="8"/>
        <v>216.40288997185164</v>
      </c>
      <c r="I35" s="279">
        <f t="shared" si="8"/>
        <v>216.40288997185158</v>
      </c>
      <c r="J35" s="279">
        <f t="shared" si="8"/>
        <v>216.40288997185164</v>
      </c>
      <c r="K35" s="279">
        <f t="shared" si="8"/>
        <v>216.40288997185164</v>
      </c>
      <c r="L35" s="279">
        <f t="shared" si="8"/>
        <v>216.40288997185164</v>
      </c>
      <c r="M35" s="41"/>
      <c r="N35" s="279">
        <f t="shared" si="6"/>
        <v>216.40288997185161</v>
      </c>
    </row>
    <row r="36" spans="2:14" x14ac:dyDescent="0.25">
      <c r="B36" s="224" t="s">
        <v>446</v>
      </c>
      <c r="C36" s="281">
        <f>C33+C35-C34</f>
        <v>128.56798286030102</v>
      </c>
      <c r="D36" s="281">
        <f t="shared" ref="D36:L36" si="9">D33+D35-D34</f>
        <v>166.51024420197609</v>
      </c>
      <c r="E36" s="281">
        <f t="shared" si="9"/>
        <v>195.86116219858312</v>
      </c>
      <c r="F36" s="281">
        <f t="shared" si="9"/>
        <v>224.65889502569064</v>
      </c>
      <c r="G36" s="281">
        <f t="shared" si="9"/>
        <v>174.39766056658021</v>
      </c>
      <c r="H36" s="281">
        <f t="shared" si="9"/>
        <v>177.99918897062622</v>
      </c>
      <c r="I36" s="281">
        <f t="shared" si="9"/>
        <v>177.99918897062616</v>
      </c>
      <c r="J36" s="281">
        <f t="shared" si="9"/>
        <v>177.99918897062622</v>
      </c>
      <c r="K36" s="281">
        <f t="shared" si="9"/>
        <v>177.99918897062622</v>
      </c>
      <c r="L36" s="281">
        <f t="shared" si="9"/>
        <v>177.99918897062622</v>
      </c>
      <c r="M36" s="280"/>
      <c r="N36" s="281">
        <f t="shared" si="6"/>
        <v>177.99918897062619</v>
      </c>
    </row>
  </sheetData>
  <mergeCells count="1">
    <mergeCell ref="B3:N3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historical</vt:lpstr>
      <vt:lpstr>model</vt:lpstr>
      <vt:lpstr>Scenarios</vt:lpstr>
      <vt:lpstr>Comps</vt:lpstr>
      <vt:lpstr>Comps data</vt:lpstr>
      <vt:lpstr>Market return</vt:lpstr>
      <vt:lpstr>Beta</vt:lpstr>
      <vt:lpstr>WACC</vt:lpstr>
      <vt:lpstr>Summary</vt:lpstr>
      <vt:lpstr>ratio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</dc:creator>
  <cp:lastModifiedBy>Dhiraj Kumar</cp:lastModifiedBy>
  <dcterms:created xsi:type="dcterms:W3CDTF">2025-04-22T14:32:29Z</dcterms:created>
  <dcterms:modified xsi:type="dcterms:W3CDTF">2025-07-19T13:02:25Z</dcterms:modified>
</cp:coreProperties>
</file>