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 activeTab="1"/>
  </bookViews>
  <sheets>
    <sheet name="Template" sheetId="5" r:id="rId1"/>
    <sheet name="09-Nov-2023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E40" i="5"/>
  <c r="C40" i="5"/>
  <c r="C38" i="5"/>
  <c r="I38" i="5" s="1"/>
  <c r="G36" i="5"/>
  <c r="E36" i="5"/>
  <c r="C36" i="5"/>
  <c r="L33" i="5"/>
  <c r="K33" i="5"/>
  <c r="C33" i="5" s="1"/>
  <c r="G33" i="5"/>
  <c r="D33" i="5"/>
  <c r="L32" i="5"/>
  <c r="K32" i="5"/>
  <c r="C32" i="5" s="1"/>
  <c r="G32" i="5"/>
  <c r="D32" i="5"/>
  <c r="E22" i="5"/>
  <c r="C22" i="5"/>
  <c r="B32" i="5" s="1"/>
  <c r="J20" i="5"/>
  <c r="H20" i="5"/>
  <c r="M15" i="5"/>
  <c r="D19" i="5" s="1"/>
  <c r="K15" i="5"/>
  <c r="I15" i="5"/>
  <c r="E20" i="5" s="1"/>
  <c r="G15" i="5"/>
  <c r="C15" i="5"/>
  <c r="M14" i="5"/>
  <c r="B19" i="5" s="1"/>
  <c r="K14" i="5"/>
  <c r="I14" i="5"/>
  <c r="C20" i="5" s="1"/>
  <c r="G14" i="5"/>
  <c r="C14" i="5"/>
  <c r="D7" i="5"/>
  <c r="H4" i="5"/>
  <c r="I40" i="5" l="1"/>
  <c r="H40" i="5" s="1"/>
  <c r="E33" i="5"/>
  <c r="E32" i="5"/>
  <c r="D36" i="5"/>
  <c r="B33" i="5"/>
  <c r="I36" i="5"/>
  <c r="H36" i="5" s="1"/>
  <c r="I32" i="5"/>
  <c r="H32" i="5"/>
  <c r="H33" i="5"/>
  <c r="C37" i="5"/>
  <c r="E38" i="5"/>
  <c r="C42" i="5"/>
  <c r="D40" i="5"/>
  <c r="I33" i="5"/>
  <c r="G38" i="5"/>
  <c r="H38" i="5"/>
  <c r="C41" i="5"/>
  <c r="D38" i="5"/>
  <c r="G42" i="5"/>
  <c r="H37" i="5" l="1"/>
  <c r="G37" i="5"/>
  <c r="E37" i="5"/>
  <c r="D37" i="5"/>
  <c r="I37" i="5"/>
  <c r="E41" i="5"/>
  <c r="D41" i="5"/>
  <c r="H41" i="5"/>
  <c r="G41" i="5"/>
  <c r="I41" i="5"/>
  <c r="H42" i="5"/>
  <c r="E42" i="5"/>
  <c r="D42" i="5"/>
  <c r="I42" i="5"/>
  <c r="C43" i="5"/>
  <c r="C40" i="3"/>
  <c r="C38" i="3"/>
  <c r="I38" i="3" s="1"/>
  <c r="C36" i="3"/>
  <c r="G36" i="3" s="1"/>
  <c r="L33" i="3"/>
  <c r="K33" i="3"/>
  <c r="C33" i="3" s="1"/>
  <c r="G33" i="3"/>
  <c r="G42" i="3" s="1"/>
  <c r="D33" i="3"/>
  <c r="L32" i="3"/>
  <c r="K32" i="3"/>
  <c r="C32" i="3" s="1"/>
  <c r="G32" i="3"/>
  <c r="D32" i="3"/>
  <c r="E22" i="3"/>
  <c r="C22" i="3"/>
  <c r="J20" i="3"/>
  <c r="H20" i="3"/>
  <c r="M15" i="3"/>
  <c r="D19" i="3" s="1"/>
  <c r="K15" i="3"/>
  <c r="I15" i="3"/>
  <c r="E20" i="3" s="1"/>
  <c r="G15" i="3"/>
  <c r="C15" i="3"/>
  <c r="M14" i="3"/>
  <c r="B19" i="3" s="1"/>
  <c r="K14" i="3"/>
  <c r="I14" i="3"/>
  <c r="C20" i="3" s="1"/>
  <c r="G14" i="3"/>
  <c r="C14" i="3"/>
  <c r="D7" i="3"/>
  <c r="B32" i="3" l="1"/>
  <c r="D36" i="3"/>
  <c r="D40" i="3"/>
  <c r="E40" i="3"/>
  <c r="C41" i="3"/>
  <c r="B33" i="3"/>
  <c r="E33" i="3"/>
  <c r="H33" i="3"/>
  <c r="H32" i="3"/>
  <c r="E32" i="3"/>
  <c r="I32" i="3"/>
  <c r="I33" i="3"/>
  <c r="I36" i="3"/>
  <c r="H36" i="3" s="1"/>
  <c r="D38" i="3"/>
  <c r="G40" i="3"/>
  <c r="I41" i="3"/>
  <c r="C37" i="3"/>
  <c r="E38" i="3"/>
  <c r="C42" i="3"/>
  <c r="G38" i="3"/>
  <c r="I40" i="3"/>
  <c r="H40" i="3" s="1"/>
  <c r="H38" i="3"/>
  <c r="E36" i="3"/>
  <c r="E41" i="3"/>
  <c r="G41" i="3" l="1"/>
  <c r="H41" i="3"/>
  <c r="D41" i="3"/>
  <c r="I42" i="3"/>
  <c r="H42" i="3"/>
  <c r="E42" i="3"/>
  <c r="D42" i="3"/>
  <c r="I37" i="3"/>
  <c r="H37" i="3"/>
  <c r="G37" i="3"/>
  <c r="E37" i="3"/>
  <c r="D37" i="3"/>
  <c r="C43" i="3" l="1"/>
</calcChain>
</file>

<file path=xl/sharedStrings.xml><?xml version="1.0" encoding="utf-8"?>
<sst xmlns="http://schemas.openxmlformats.org/spreadsheetml/2006/main" count="249" uniqueCount="88">
  <si>
    <t>May The Peaceful Prosperity Be With You Always..!!</t>
  </si>
  <si>
    <t>Symbol</t>
  </si>
  <si>
    <t>Lot Size</t>
  </si>
  <si>
    <t>Tick Price</t>
  </si>
  <si>
    <t>Strike Factor</t>
  </si>
  <si>
    <t>Week Day</t>
  </si>
  <si>
    <t>Time</t>
  </si>
  <si>
    <t>Trade Type</t>
  </si>
  <si>
    <t>Position Status</t>
  </si>
  <si>
    <t>Strike Price</t>
  </si>
  <si>
    <t>Entry Price</t>
  </si>
  <si>
    <t>Target  Status</t>
  </si>
  <si>
    <t>02:15 PM To 03:30 PM</t>
  </si>
  <si>
    <t>Auto</t>
  </si>
  <si>
    <t>Instructions</t>
  </si>
  <si>
    <t>SPOT : P 1D</t>
  </si>
  <si>
    <t>Call Buy</t>
  </si>
  <si>
    <t>Put Buy</t>
  </si>
  <si>
    <t>Close</t>
  </si>
  <si>
    <t>Final Strike Price</t>
  </si>
  <si>
    <t>Call or Put Buy Entry : Missed</t>
  </si>
  <si>
    <t>Call or Put Buy SL : Missed</t>
  </si>
  <si>
    <t>09:25 AM HH</t>
  </si>
  <si>
    <t>09:25 AM LL</t>
  </si>
  <si>
    <t>Call Buy SL : Missed</t>
  </si>
  <si>
    <t>Put Buy SL : Missed</t>
  </si>
  <si>
    <t>Call Buy SL Hit During Day</t>
  </si>
  <si>
    <t>Put Buy SL Hit During Day</t>
  </si>
  <si>
    <t>09:30 AM LL</t>
  </si>
  <si>
    <t>Spot Current Day HH</t>
  </si>
  <si>
    <t>Current Day LL</t>
  </si>
  <si>
    <t>Call Buy Entry : Missed</t>
  </si>
  <si>
    <t>Put Buy Entry : Missed</t>
  </si>
  <si>
    <t>Final Strike</t>
  </si>
  <si>
    <t>Spot 09:30 AM HH</t>
  </si>
  <si>
    <t>Spot 09:30 AM LL</t>
  </si>
  <si>
    <t>Current Day HH</t>
  </si>
  <si>
    <t>09:30 AM HH</t>
  </si>
  <si>
    <t>Trade Details</t>
  </si>
  <si>
    <t>Entry : 2 Lots</t>
  </si>
  <si>
    <t>Our Entry</t>
  </si>
  <si>
    <t>Target : 1 Lot</t>
  </si>
  <si>
    <t>Status</t>
  </si>
  <si>
    <t>Stop Loss After Entry : 2 Lots</t>
  </si>
  <si>
    <t>Stop Loss After Target : 1 Lot</t>
  </si>
  <si>
    <t>Call BUY</t>
  </si>
  <si>
    <t>1. NO TGT
2. TGT 1</t>
  </si>
  <si>
    <t>PUT BUY</t>
  </si>
  <si>
    <t>TGT</t>
  </si>
  <si>
    <t>Data For Entry</t>
  </si>
  <si>
    <t>Data For SL</t>
  </si>
  <si>
    <t>Buffer</t>
  </si>
  <si>
    <t>CALL</t>
  </si>
  <si>
    <t>Yes | No</t>
  </si>
  <si>
    <t>Order Type</t>
  </si>
  <si>
    <t>Qty</t>
  </si>
  <si>
    <t>Price ( 5%)</t>
  </si>
  <si>
    <t>Trigger Price</t>
  </si>
  <si>
    <t>System Entry</t>
  </si>
  <si>
    <t>Target 1</t>
  </si>
  <si>
    <t>Final Stop Loss</t>
  </si>
  <si>
    <t>PUT</t>
  </si>
  <si>
    <t>Price ( 5% )</t>
  </si>
  <si>
    <t>Final Total</t>
  </si>
  <si>
    <t>Orders</t>
  </si>
  <si>
    <t xml:space="preserve">   All Materials are Strictly Confidential. Please keep them for your Personal Use ONLY.</t>
  </si>
  <si>
    <t xml:space="preserve">   The purpose of all the materials is strictly educational and should not be considered as financial advice. Please trade responsibly and at your own risk.</t>
  </si>
  <si>
    <t xml:space="preserve">   Any copying, distributing and sharing of the material without prior written permission from the owner is strictly prohibited and  may invoke legal action.</t>
  </si>
  <si>
    <t xml:space="preserve">   All Rights Reserved by Asmita Patel Global School of Trading</t>
  </si>
  <si>
    <t>May the Peaceful Prosperity be with You.</t>
  </si>
  <si>
    <t>BANKNIFTY OPTIONS</t>
  </si>
  <si>
    <r>
      <rPr>
        <sz val="12"/>
        <color rgb="FF000000"/>
        <rFont val="Calibri"/>
        <family val="2"/>
      </rPr>
      <t xml:space="preserve">Last 75 mins </t>
    </r>
    <r>
      <rPr>
        <b/>
        <sz val="12"/>
        <color rgb="FF000000"/>
        <rFont val="Calibri"/>
        <family val="2"/>
      </rPr>
      <t>HH</t>
    </r>
  </si>
  <si>
    <r>
      <rPr>
        <sz val="12"/>
        <color rgb="FF000000"/>
        <rFont val="Calibri"/>
        <family val="2"/>
      </rPr>
      <t xml:space="preserve">Last 75 mins </t>
    </r>
    <r>
      <rPr>
        <b/>
        <sz val="12"/>
        <color rgb="FF000000"/>
        <rFont val="Calibri"/>
        <family val="2"/>
      </rPr>
      <t>LL</t>
    </r>
  </si>
  <si>
    <r>
      <rPr>
        <sz val="12"/>
        <color rgb="FF000000"/>
        <rFont val="Calibri"/>
        <family val="2"/>
      </rPr>
      <t xml:space="preserve">OPT : P 1D : Last 75 mins </t>
    </r>
    <r>
      <rPr>
        <b/>
        <sz val="12"/>
        <color rgb="FF000000"/>
        <rFont val="Calibri"/>
        <family val="2"/>
      </rPr>
      <t>HH</t>
    </r>
  </si>
  <si>
    <r>
      <rPr>
        <sz val="12"/>
        <color rgb="FF000000"/>
        <rFont val="Calibri"/>
        <family val="2"/>
      </rPr>
      <t xml:space="preserve">OPT : P 1D : Last 75 mins </t>
    </r>
    <r>
      <rPr>
        <b/>
        <sz val="12"/>
        <color rgb="FF000000"/>
        <rFont val="Calibri"/>
        <family val="2"/>
      </rPr>
      <t>LL</t>
    </r>
  </si>
  <si>
    <r>
      <rPr>
        <sz val="12"/>
        <color rgb="FF000000"/>
        <rFont val="Calibri"/>
        <family val="2"/>
      </rPr>
      <t xml:space="preserve">75 mins High </t>
    </r>
    <r>
      <rPr>
        <b/>
        <sz val="12"/>
        <color rgb="FF000000"/>
        <rFont val="Calibri"/>
        <family val="2"/>
      </rPr>
      <t>+ 10%</t>
    </r>
  </si>
  <si>
    <r>
      <rPr>
        <sz val="12"/>
        <color rgb="FF000000"/>
        <rFont val="Calibri"/>
        <family val="2"/>
      </rPr>
      <t>Call Buy</t>
    </r>
    <r>
      <rPr>
        <b/>
        <sz val="12"/>
        <color rgb="FF000000"/>
        <rFont val="Calibri"/>
        <family val="2"/>
      </rPr>
      <t xml:space="preserve"> Triggered Price</t>
    </r>
  </si>
  <si>
    <r>
      <rPr>
        <sz val="12"/>
        <color rgb="FF000000"/>
        <rFont val="Calibri"/>
        <family val="2"/>
      </rPr>
      <t xml:space="preserve">Call Buy </t>
    </r>
    <r>
      <rPr>
        <b/>
        <sz val="12"/>
        <color rgb="FF000000"/>
        <rFont val="Calibri"/>
        <family val="2"/>
      </rPr>
      <t>Entry + 70%</t>
    </r>
  </si>
  <si>
    <r>
      <rPr>
        <sz val="12"/>
        <color rgb="FF000000"/>
        <rFont val="Calibri"/>
        <family val="2"/>
      </rPr>
      <t>Max ( Call Buy</t>
    </r>
    <r>
      <rPr>
        <b/>
        <sz val="12"/>
        <color rgb="FF000000"/>
        <rFont val="Calibri"/>
        <family val="2"/>
      </rPr>
      <t xml:space="preserve"> Entry - 70%</t>
    </r>
    <r>
      <rPr>
        <sz val="12"/>
        <color rgb="FF000000"/>
        <rFont val="Calibri"/>
        <family val="2"/>
      </rPr>
      <t xml:space="preserve"> or 
75 mins Low </t>
    </r>
    <r>
      <rPr>
        <b/>
        <sz val="12"/>
        <color rgb="FF000000"/>
        <rFont val="Calibri"/>
        <family val="2"/>
      </rPr>
      <t>- 10%</t>
    </r>
    <r>
      <rPr>
        <sz val="12"/>
        <color rgb="FF000000"/>
        <rFont val="Calibri"/>
        <family val="2"/>
      </rPr>
      <t xml:space="preserve"> )</t>
    </r>
  </si>
  <si>
    <r>
      <rPr>
        <sz val="12"/>
        <color rgb="FF000000"/>
        <rFont val="Calibri"/>
        <family val="2"/>
      </rPr>
      <t>Max ( Call Buy</t>
    </r>
    <r>
      <rPr>
        <b/>
        <sz val="12"/>
        <color rgb="FF000000"/>
        <rFont val="Calibri"/>
        <family val="2"/>
      </rPr>
      <t xml:space="preserve"> Entry</t>
    </r>
    <r>
      <rPr>
        <sz val="12"/>
        <color rgb="FF000000"/>
        <rFont val="Calibri"/>
        <family val="2"/>
      </rPr>
      <t xml:space="preserve"> or 
75 mins Low </t>
    </r>
    <r>
      <rPr>
        <b/>
        <sz val="12"/>
        <color rgb="FF000000"/>
        <rFont val="Calibri"/>
        <family val="2"/>
      </rPr>
      <t>- 10%</t>
    </r>
    <r>
      <rPr>
        <sz val="12"/>
        <color rgb="FF000000"/>
        <rFont val="Calibri"/>
        <family val="2"/>
      </rPr>
      <t xml:space="preserve"> )</t>
    </r>
  </si>
  <si>
    <r>
      <rPr>
        <sz val="12"/>
        <color rgb="FF000000"/>
        <rFont val="Calibri"/>
        <family val="2"/>
      </rPr>
      <t>Put Buy</t>
    </r>
    <r>
      <rPr>
        <b/>
        <sz val="12"/>
        <color rgb="FF000000"/>
        <rFont val="Calibri"/>
        <family val="2"/>
      </rPr>
      <t xml:space="preserve"> Triggered Price</t>
    </r>
  </si>
  <si>
    <r>
      <rPr>
        <sz val="12"/>
        <color rgb="FF000000"/>
        <rFont val="Calibri"/>
        <family val="2"/>
      </rPr>
      <t xml:space="preserve">Put Buy </t>
    </r>
    <r>
      <rPr>
        <b/>
        <sz val="12"/>
        <color rgb="FF000000"/>
        <rFont val="Calibri"/>
        <family val="2"/>
      </rPr>
      <t>Entry + 70%</t>
    </r>
  </si>
  <si>
    <r>
      <rPr>
        <sz val="12"/>
        <color rgb="FF000000"/>
        <rFont val="Calibri"/>
        <family val="2"/>
      </rPr>
      <t>Max ( Put Buy</t>
    </r>
    <r>
      <rPr>
        <b/>
        <sz val="12"/>
        <color rgb="FF000000"/>
        <rFont val="Calibri"/>
        <family val="2"/>
      </rPr>
      <t xml:space="preserve"> Entry - 70%</t>
    </r>
    <r>
      <rPr>
        <sz val="12"/>
        <color rgb="FF000000"/>
        <rFont val="Calibri"/>
        <family val="2"/>
      </rPr>
      <t xml:space="preserve"> or 
75 mins Low </t>
    </r>
    <r>
      <rPr>
        <b/>
        <sz val="12"/>
        <color rgb="FF000000"/>
        <rFont val="Calibri"/>
        <family val="2"/>
      </rPr>
      <t>- 10%</t>
    </r>
    <r>
      <rPr>
        <sz val="12"/>
        <color rgb="FF000000"/>
        <rFont val="Calibri"/>
        <family val="2"/>
      </rPr>
      <t xml:space="preserve"> )</t>
    </r>
  </si>
  <si>
    <r>
      <rPr>
        <sz val="12"/>
        <color rgb="FF000000"/>
        <rFont val="Calibri"/>
        <family val="2"/>
      </rPr>
      <t>Max ( Put Buy</t>
    </r>
    <r>
      <rPr>
        <b/>
        <sz val="12"/>
        <color rgb="FF000000"/>
        <rFont val="Calibri"/>
        <family val="2"/>
      </rPr>
      <t xml:space="preserve"> Entry </t>
    </r>
    <r>
      <rPr>
        <sz val="12"/>
        <color rgb="FF000000"/>
        <rFont val="Calibri"/>
        <family val="2"/>
      </rPr>
      <t xml:space="preserve">or 
75 mins Low </t>
    </r>
    <r>
      <rPr>
        <b/>
        <sz val="12"/>
        <color rgb="FF000000"/>
        <rFont val="Calibri"/>
        <family val="2"/>
      </rPr>
      <t>- 10%</t>
    </r>
    <r>
      <rPr>
        <sz val="12"/>
        <color rgb="FF000000"/>
        <rFont val="Calibri"/>
        <family val="2"/>
      </rPr>
      <t xml:space="preserve"> )</t>
    </r>
  </si>
  <si>
    <t>Note:</t>
  </si>
  <si>
    <t>Trading Date 
DD-MMM-YYYY</t>
  </si>
  <si>
    <t>Expiry Date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</si>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</sst>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"/>
    <numFmt numFmtId="165" formatCode="dd/mmm/yyyy"/>
  </numFmts>
  <fonts count="19" x14ac:knownFonts="1">
    <font>
      <sz val="10"/>
      <color rgb="FF000000"/>
      <name val="Arial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3"/>
      <color theme="1"/>
      <name val="Calibri"/>
      <family val="2"/>
    </font>
    <font>
      <sz val="13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3"/>
      <color theme="1"/>
      <name val="Arial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3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9E0FF"/>
        <bgColor rgb="FFE9E0FF"/>
      </patternFill>
    </fill>
    <fill>
      <patternFill patternType="solid">
        <fgColor rgb="FFFFFFFF"/>
        <bgColor rgb="FFFFFFFF"/>
      </patternFill>
    </fill>
    <fill>
      <patternFill patternType="solid">
        <fgColor rgb="FFE7FFE7"/>
        <bgColor rgb="FFE7FFE7"/>
      </patternFill>
    </fill>
    <fill>
      <patternFill patternType="solid">
        <fgColor rgb="FFFFDDDD"/>
        <bgColor rgb="FFFFDDDD"/>
      </patternFill>
    </fill>
    <fill>
      <patternFill patternType="solid">
        <fgColor theme="2" tint="-4.9989318521683403E-2"/>
        <bgColor rgb="FFFFF2CC"/>
      </patternFill>
    </fill>
  </fills>
  <borders count="1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8" fontId="4" fillId="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/>
    </xf>
    <xf numFmtId="2" fontId="2" fillId="7" borderId="3" xfId="0" applyNumberFormat="1" applyFont="1" applyFill="1" applyBorder="1" applyAlignment="1">
      <alignment horizontal="center" vertical="center" wrapText="1"/>
    </xf>
    <xf numFmtId="2" fontId="2" fillId="6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2" fontId="10" fillId="6" borderId="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0" fillId="7" borderId="3" xfId="0" applyNumberFormat="1" applyFont="1" applyFill="1" applyBorder="1" applyAlignment="1">
      <alignment horizontal="center" vertical="center" wrapText="1"/>
    </xf>
    <xf numFmtId="2" fontId="10" fillId="2" borderId="3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4" fillId="0" borderId="4" xfId="0" applyFont="1" applyBorder="1" applyAlignment="1">
      <alignment horizontal="center" vertical="center" wrapText="1"/>
    </xf>
    <xf numFmtId="2" fontId="2" fillId="8" borderId="4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2" fontId="18" fillId="2" borderId="3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/>
    <xf numFmtId="0" fontId="5" fillId="2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0" fillId="0" borderId="0" xfId="0"/>
    <xf numFmtId="0" fontId="11" fillId="0" borderId="4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2" fontId="2" fillId="4" borderId="9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4" xfId="0" applyFont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2" fontId="2" fillId="4" borderId="7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left" vertical="center"/>
    </xf>
    <xf numFmtId="2" fontId="2" fillId="7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5" xfId="0" applyFont="1" applyBorder="1"/>
    <xf numFmtId="1" fontId="10" fillId="6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i/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E7FFE7"/>
          <bgColor rgb="FFE7FFE7"/>
        </patternFill>
      </fill>
    </dxf>
    <dxf>
      <font>
        <color rgb="FF9C0006"/>
      </font>
      <fill>
        <patternFill patternType="solid">
          <fgColor rgb="FFFFDDDD"/>
          <bgColor rgb="FFFFDDD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i/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E7FFE7"/>
          <bgColor rgb="FFE7FFE7"/>
        </patternFill>
      </fill>
    </dxf>
    <dxf>
      <font>
        <color rgb="FF9C0006"/>
      </font>
      <fill>
        <patternFill patternType="solid">
          <fgColor rgb="FFFFDDDD"/>
          <bgColor rgb="FFFFDD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46</xdr:row>
      <xdr:rowOff>57150</xdr:rowOff>
    </xdr:from>
    <xdr:ext cx="4105275" cy="752475"/>
    <xdr:pic>
      <xdr:nvPicPr>
        <xdr:cNvPr id="2" name="image1.jpg" title="Image">
          <a:extLst>
            <a:ext uri="{FF2B5EF4-FFF2-40B4-BE49-F238E27FC236}">
              <a16:creationId xmlns="" xmlns:a16="http://schemas.microsoft.com/office/drawing/2014/main" id="{3660631B-BBDA-4D71-97B5-5666AC5494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16440" y="15495270"/>
          <a:ext cx="4105275" cy="7524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46</xdr:row>
      <xdr:rowOff>57150</xdr:rowOff>
    </xdr:from>
    <xdr:ext cx="4105275" cy="752475"/>
    <xdr:pic>
      <xdr:nvPicPr>
        <xdr:cNvPr id="2" name="image1.jpg" title="Image">
          <a:extLst>
            <a:ext uri="{FF2B5EF4-FFF2-40B4-BE49-F238E27FC236}">
              <a16:creationId xmlns="" xmlns:a16="http://schemas.microsoft.com/office/drawing/2014/main" id="{7F287EEA-8945-4C50-89FF-CF7112AE22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14451330"/>
          <a:ext cx="4105275" cy="75247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showGridLines="0" zoomScale="90" zoomScaleNormal="90" workbookViewId="0">
      <selection activeCell="L7" sqref="L7"/>
    </sheetView>
  </sheetViews>
  <sheetFormatPr defaultColWidth="12.7109375" defaultRowHeight="15" customHeight="1" x14ac:dyDescent="0.2"/>
  <cols>
    <col min="1" max="1" width="2.42578125" customWidth="1"/>
    <col min="2" max="2" width="25" customWidth="1"/>
    <col min="3" max="3" width="20" customWidth="1"/>
    <col min="4" max="4" width="19.28515625" customWidth="1"/>
    <col min="5" max="5" width="18.7109375" customWidth="1"/>
    <col min="6" max="6" width="1.7109375" customWidth="1"/>
    <col min="7" max="7" width="19.42578125" customWidth="1"/>
    <col min="8" max="8" width="28" customWidth="1"/>
    <col min="9" max="9" width="25.140625" customWidth="1"/>
    <col min="10" max="10" width="2.28515625" customWidth="1"/>
    <col min="11" max="12" width="18.42578125" customWidth="1"/>
    <col min="13" max="13" width="15" customWidth="1"/>
    <col min="14" max="14" width="17.28515625" customWidth="1"/>
    <col min="15" max="16" width="15.7109375" customWidth="1"/>
    <col min="17" max="17" width="16.140625" customWidth="1"/>
    <col min="18" max="18" width="13.28515625" customWidth="1"/>
    <col min="19" max="19" width="15" customWidth="1"/>
    <col min="20" max="21" width="13.28515625" customWidth="1"/>
    <col min="22" max="26" width="7.42578125" customWidth="1"/>
  </cols>
  <sheetData>
    <row r="1" spans="1:26" ht="15.75" x14ac:dyDescent="0.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5.7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ht="34.5" x14ac:dyDescent="0.2">
      <c r="A3" s="6"/>
      <c r="B3" s="7" t="s">
        <v>1</v>
      </c>
      <c r="C3" s="7" t="s">
        <v>2</v>
      </c>
      <c r="D3" s="7" t="s">
        <v>3</v>
      </c>
      <c r="E3" s="7" t="s">
        <v>4</v>
      </c>
      <c r="F3" s="8"/>
      <c r="G3" s="9" t="s">
        <v>85</v>
      </c>
      <c r="H3" s="9" t="s">
        <v>5</v>
      </c>
      <c r="I3" s="9" t="s">
        <v>6</v>
      </c>
      <c r="J3" s="8"/>
      <c r="K3" s="8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0.25" customHeight="1" x14ac:dyDescent="0.2">
      <c r="A4" s="6"/>
      <c r="B4" s="11" t="s">
        <v>70</v>
      </c>
      <c r="C4" s="12">
        <v>15</v>
      </c>
      <c r="D4" s="11">
        <v>0.05</v>
      </c>
      <c r="E4" s="12">
        <v>100</v>
      </c>
      <c r="F4" s="8"/>
      <c r="G4" s="63"/>
      <c r="H4" s="62" t="str">
        <f>IF(G4="","",TEXT(G4,"dddd"))</f>
        <v/>
      </c>
      <c r="I4" s="13"/>
      <c r="J4" s="8"/>
      <c r="K4" s="8"/>
      <c r="L4" s="10"/>
      <c r="M4" s="10"/>
      <c r="N4" s="10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x14ac:dyDescent="0.2">
      <c r="A5" s="14"/>
      <c r="B5" s="15"/>
      <c r="C5" s="1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4"/>
      <c r="S5" s="4"/>
      <c r="T5" s="4"/>
      <c r="U5" s="4"/>
      <c r="V5" s="4"/>
      <c r="W5" s="4"/>
      <c r="X5" s="4"/>
      <c r="Y5" s="4"/>
      <c r="Z5" s="4"/>
    </row>
    <row r="6" spans="1:26" ht="29.25" customHeight="1" x14ac:dyDescent="0.2">
      <c r="A6" s="15"/>
      <c r="B6" s="17" t="s">
        <v>7</v>
      </c>
      <c r="C6" s="17" t="s">
        <v>8</v>
      </c>
      <c r="D6" s="17" t="s">
        <v>9</v>
      </c>
      <c r="E6" s="69" t="s">
        <v>10</v>
      </c>
      <c r="F6" s="70"/>
      <c r="G6" s="17" t="s">
        <v>11</v>
      </c>
      <c r="H6" s="71" t="s">
        <v>12</v>
      </c>
      <c r="I6" s="70"/>
      <c r="J6" s="72"/>
      <c r="O6" s="73"/>
      <c r="P6" s="73"/>
      <c r="R6" s="5"/>
      <c r="S6" s="5"/>
      <c r="T6" s="5"/>
      <c r="U6" s="5"/>
      <c r="V6" s="5"/>
      <c r="W6" s="5"/>
      <c r="X6" s="5"/>
      <c r="Y6" s="5"/>
      <c r="Z6" s="5"/>
    </row>
    <row r="7" spans="1:26" ht="22.5" customHeight="1" x14ac:dyDescent="0.2">
      <c r="A7" s="15"/>
      <c r="B7" s="18" t="s">
        <v>13</v>
      </c>
      <c r="C7" s="18" t="s">
        <v>14</v>
      </c>
      <c r="D7" s="74" t="str">
        <f>IF(C8="","",IF(AND(C8="Close",C9="Close"),"Do Not Fill : Call Buy &amp; Put Buy Details",IF(AND(C8="Open",C9="Close"),"Fill : Call Buy Details",IF(AND(C8="Close",C9="Open"),"Fill : Put Buy Details",IF(AND(C8="Open",C9="Open"),"Fill : Call Buy &amp; Put Buy Details")))))</f>
        <v>Do Not Fill : Call Buy &amp; Put Buy Details</v>
      </c>
      <c r="E7" s="70"/>
      <c r="F7" s="70"/>
      <c r="G7" s="70"/>
      <c r="H7" s="71" t="s">
        <v>15</v>
      </c>
      <c r="I7" s="70"/>
      <c r="J7" s="72"/>
      <c r="O7" s="73"/>
      <c r="P7" s="73"/>
      <c r="R7" s="5"/>
      <c r="S7" s="5"/>
      <c r="T7" s="5"/>
      <c r="U7" s="5"/>
      <c r="V7" s="5"/>
      <c r="W7" s="5"/>
      <c r="X7" s="5"/>
      <c r="Y7" s="5"/>
      <c r="Z7" s="5"/>
    </row>
    <row r="8" spans="1:26" ht="30" customHeight="1" x14ac:dyDescent="0.2">
      <c r="A8" s="15"/>
      <c r="B8" s="19" t="s">
        <v>16</v>
      </c>
      <c r="C8" s="20" t="s">
        <v>18</v>
      </c>
      <c r="D8" s="21"/>
      <c r="E8" s="76"/>
      <c r="F8" s="72"/>
      <c r="G8" s="22"/>
      <c r="H8" s="2" t="s">
        <v>71</v>
      </c>
      <c r="I8" s="76"/>
      <c r="J8" s="72"/>
      <c r="R8" s="5"/>
      <c r="S8" s="5"/>
      <c r="T8" s="5"/>
      <c r="U8" s="5"/>
      <c r="V8" s="5"/>
      <c r="W8" s="5"/>
      <c r="X8" s="5"/>
      <c r="Y8" s="5"/>
      <c r="Z8" s="5"/>
    </row>
    <row r="9" spans="1:26" ht="30" customHeight="1" x14ac:dyDescent="0.2">
      <c r="A9" s="15"/>
      <c r="B9" s="19" t="s">
        <v>17</v>
      </c>
      <c r="C9" s="20" t="s">
        <v>18</v>
      </c>
      <c r="D9" s="21"/>
      <c r="E9" s="76"/>
      <c r="F9" s="72"/>
      <c r="G9" s="22"/>
      <c r="H9" s="2" t="s">
        <v>72</v>
      </c>
      <c r="I9" s="76"/>
      <c r="J9" s="72"/>
      <c r="R9" s="5"/>
      <c r="S9" s="5"/>
      <c r="T9" s="5"/>
      <c r="U9" s="5"/>
      <c r="V9" s="5"/>
      <c r="W9" s="5"/>
      <c r="X9" s="5"/>
      <c r="Y9" s="5"/>
      <c r="Z9" s="5"/>
    </row>
    <row r="10" spans="1:26" ht="15.75" x14ac:dyDescent="0.2">
      <c r="A10" s="5"/>
      <c r="B10" s="5"/>
      <c r="C10" s="1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9.25" customHeight="1" x14ac:dyDescent="0.25">
      <c r="A11" s="15"/>
      <c r="B11" s="7" t="s">
        <v>7</v>
      </c>
      <c r="C11" s="77" t="s">
        <v>19</v>
      </c>
      <c r="D11" s="71" t="s">
        <v>12</v>
      </c>
      <c r="E11" s="72"/>
      <c r="F11" s="23"/>
      <c r="G11" s="80" t="s">
        <v>20</v>
      </c>
      <c r="H11" s="70"/>
      <c r="I11" s="72"/>
      <c r="J11" s="24"/>
      <c r="K11" s="80" t="s">
        <v>21</v>
      </c>
      <c r="L11" s="70"/>
      <c r="M11" s="72"/>
      <c r="V11" s="5"/>
      <c r="W11" s="5"/>
      <c r="X11" s="5"/>
      <c r="Y11" s="5"/>
      <c r="Z11" s="5"/>
    </row>
    <row r="12" spans="1:26" ht="33" customHeight="1" x14ac:dyDescent="0.25">
      <c r="A12" s="15"/>
      <c r="B12" s="18" t="s">
        <v>13</v>
      </c>
      <c r="C12" s="78"/>
      <c r="D12" s="2" t="s">
        <v>73</v>
      </c>
      <c r="E12" s="2" t="s">
        <v>74</v>
      </c>
      <c r="F12" s="23"/>
      <c r="G12" s="85" t="s">
        <v>22</v>
      </c>
      <c r="H12" s="70"/>
      <c r="I12" s="72"/>
      <c r="J12" s="24"/>
      <c r="K12" s="85" t="s">
        <v>23</v>
      </c>
      <c r="L12" s="70"/>
      <c r="M12" s="72"/>
      <c r="V12" s="5"/>
      <c r="W12" s="5"/>
      <c r="X12" s="5"/>
      <c r="Y12" s="5"/>
      <c r="Z12" s="5"/>
    </row>
    <row r="13" spans="1:26" ht="18.600000000000001" customHeight="1" x14ac:dyDescent="0.25">
      <c r="A13" s="15"/>
      <c r="B13" s="64" t="s">
        <v>86</v>
      </c>
      <c r="C13" s="79"/>
      <c r="D13" s="86"/>
      <c r="E13" s="87"/>
      <c r="F13" s="23"/>
      <c r="G13" s="61"/>
      <c r="H13" s="59"/>
      <c r="I13" s="60"/>
      <c r="J13" s="24"/>
      <c r="K13" s="61"/>
      <c r="L13" s="59"/>
      <c r="M13" s="60"/>
      <c r="V13" s="5"/>
      <c r="W13" s="5"/>
      <c r="X13" s="5"/>
      <c r="Y13" s="5"/>
      <c r="Z13" s="5"/>
    </row>
    <row r="14" spans="1:26" ht="63" customHeight="1" x14ac:dyDescent="0.2">
      <c r="A14" s="15"/>
      <c r="B14" s="19" t="s">
        <v>16</v>
      </c>
      <c r="C14" s="25">
        <f>IF(AND(C8="Open",D8&gt;0),D8,MROUND(I8,E4))</f>
        <v>0</v>
      </c>
      <c r="D14" s="26"/>
      <c r="E14" s="26"/>
      <c r="F14" s="23"/>
      <c r="G14" s="1" t="str">
        <f>IF(C8="","",IF(C8="Close","Fill",IF(C8="Open","Do Not Fill","")))</f>
        <v>Fill</v>
      </c>
      <c r="H14" s="26"/>
      <c r="I14" s="65" t="str">
        <f>IF(H14="","",IF(AND(C8="Close",H14&gt;=MROUND(D14*(1+C31),0.05)),"CB Entry Missed, Wait Till 09.30 AM","CB Entry Not Missed, Place The Order at 09.25 AM"))</f>
        <v/>
      </c>
      <c r="K14" s="1" t="str">
        <f>IF(C8="","",IF(C8="Close","Do Not Fill",IF(C8="Open","Fill","")))</f>
        <v>Do Not Fill</v>
      </c>
      <c r="L14" s="27"/>
      <c r="M14" s="28" t="str">
        <f>IF(L14="","",IF(AND(AND(AND(C8="Open",B8="Call Buy"),G32="NO TGT"),L14&lt;=MAX(MROUND(E8*(1-E31),0.05),MROUND(E14*(1-C31),0.05))),"CB SL Missed",IF(AND(AND(AND(C8="Open",B8="Call Buy"),G32="TGT 1"),L14&lt;=MAX(E8,MROUND(E14*(1-C31),0.05))),"CB SL Missed","CB SL Not Missed")))</f>
        <v/>
      </c>
      <c r="V14" s="5"/>
      <c r="W14" s="5"/>
      <c r="X14" s="5"/>
      <c r="Y14" s="5"/>
      <c r="Z14" s="5"/>
    </row>
    <row r="15" spans="1:26" ht="60.6" customHeight="1" x14ac:dyDescent="0.2">
      <c r="A15" s="15"/>
      <c r="B15" s="19" t="s">
        <v>17</v>
      </c>
      <c r="C15" s="25">
        <f>IF(AND(C9="Open",D9&gt;0),D9,MROUND(I9,E4))</f>
        <v>0</v>
      </c>
      <c r="D15" s="26"/>
      <c r="E15" s="20"/>
      <c r="F15" s="23"/>
      <c r="G15" s="1" t="str">
        <f>IF(C9="","",IF(C9="Close","Fill",IF(C9="Open","Do Not Fill","")))</f>
        <v>Fill</v>
      </c>
      <c r="H15" s="26"/>
      <c r="I15" s="65" t="str">
        <f>IF(H15="","",IF(AND(C9="Close",H15&gt;=MROUND(D15*(1+C31),0.05)),"PB Entry Missed, Wait Till 09.30 AM","PB Entry Not Missed, Place The Order at 09.25 AM"))</f>
        <v/>
      </c>
      <c r="K15" s="1" t="str">
        <f>IF(C9="","",IF(C9="Close","Do Not Fill",IF(C9="Open","Fill","")))</f>
        <v>Do Not Fill</v>
      </c>
      <c r="L15" s="27"/>
      <c r="M15" s="28" t="str">
        <f>IF(L15="","",IF(AND(AND(AND(C9="Open",B9="Put Buy"),G33="NO TGT"),L15&lt;=MAX(MROUND(E9*(1-E31),0.05),MROUND(E15*(1-C31),0.05))),"PB SL Missed",IF(AND(AND(AND(C9="Open",B9="Put Buy"),G33="TGT 1"),L15&lt;=MAX(E9,MROUND(E15*(1-C31),0.05))),"PB SL Missed","PB SL Not Missed")))</f>
        <v/>
      </c>
      <c r="V15" s="5"/>
      <c r="W15" s="5"/>
      <c r="X15" s="5"/>
      <c r="Y15" s="5"/>
      <c r="Z15" s="5"/>
    </row>
    <row r="16" spans="1:26" ht="15.75" customHeight="1" x14ac:dyDescent="0.2">
      <c r="A16" s="5"/>
      <c r="B16" s="29"/>
      <c r="C16" s="29"/>
      <c r="D16" s="5"/>
      <c r="E16" s="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U16" s="5"/>
      <c r="V16" s="5"/>
      <c r="W16" s="5"/>
      <c r="X16" s="5"/>
      <c r="Y16" s="5"/>
      <c r="Z16" s="5"/>
    </row>
    <row r="17" spans="1:26" ht="26.25" customHeight="1" x14ac:dyDescent="0.2">
      <c r="A17" s="5"/>
      <c r="B17" s="75" t="s">
        <v>24</v>
      </c>
      <c r="C17" s="72"/>
      <c r="D17" s="75" t="s">
        <v>25</v>
      </c>
      <c r="E17" s="72"/>
      <c r="G17" s="71" t="s">
        <v>26</v>
      </c>
      <c r="H17" s="72"/>
      <c r="I17" s="71" t="s">
        <v>27</v>
      </c>
      <c r="J17" s="70"/>
      <c r="K17" s="72"/>
      <c r="M17" s="14"/>
      <c r="N17" s="14"/>
      <c r="O17" s="14"/>
      <c r="P17" s="14"/>
      <c r="Q17" s="14"/>
      <c r="R17" s="14"/>
      <c r="S17" s="14"/>
      <c r="T17" s="14"/>
      <c r="U17" s="14"/>
      <c r="V17" s="5"/>
      <c r="W17" s="5"/>
      <c r="X17" s="5"/>
      <c r="Y17" s="5"/>
      <c r="Z17" s="5"/>
    </row>
    <row r="18" spans="1:26" ht="26.25" customHeight="1" x14ac:dyDescent="0.2">
      <c r="A18" s="5"/>
      <c r="B18" s="88" t="s">
        <v>28</v>
      </c>
      <c r="C18" s="72"/>
      <c r="D18" s="88" t="s">
        <v>28</v>
      </c>
      <c r="E18" s="72"/>
      <c r="G18" s="89" t="s">
        <v>29</v>
      </c>
      <c r="H18" s="91"/>
      <c r="I18" s="89" t="s">
        <v>30</v>
      </c>
      <c r="J18" s="81"/>
      <c r="K18" s="82"/>
      <c r="M18" s="14"/>
      <c r="N18" s="14"/>
      <c r="O18" s="14"/>
      <c r="P18" s="14"/>
      <c r="Q18" s="14"/>
      <c r="R18" s="14"/>
      <c r="S18" s="14"/>
      <c r="T18" s="14"/>
      <c r="U18" s="14"/>
      <c r="V18" s="5"/>
      <c r="W18" s="5"/>
      <c r="X18" s="5"/>
      <c r="Y18" s="5"/>
      <c r="Z18" s="5"/>
    </row>
    <row r="19" spans="1:26" ht="26.25" customHeight="1" x14ac:dyDescent="0.2">
      <c r="A19" s="5"/>
      <c r="B19" s="1" t="str">
        <f>IF(M14="CB SL Missed","Fill",IF(OR(M14="CB SL Not Missed",M14=""),"Do Not Fill"))</f>
        <v>Do Not Fill</v>
      </c>
      <c r="C19" s="27"/>
      <c r="D19" s="1" t="str">
        <f>IF(M15="PB SL Missed","Fill",IF(OR(M15="PB SL Not Missed",M15=""),"Do Not Fill"))</f>
        <v>Do Not Fill</v>
      </c>
      <c r="E19" s="27"/>
      <c r="G19" s="90"/>
      <c r="H19" s="90"/>
      <c r="I19" s="90"/>
      <c r="J19" s="83"/>
      <c r="K19" s="84"/>
      <c r="M19" s="14"/>
      <c r="N19" s="14"/>
      <c r="O19" s="14"/>
      <c r="P19" s="14"/>
      <c r="Q19" s="14"/>
      <c r="R19" s="14"/>
      <c r="S19" s="14"/>
      <c r="T19" s="14"/>
      <c r="U19" s="14"/>
      <c r="V19" s="5"/>
      <c r="W19" s="5"/>
      <c r="X19" s="5"/>
      <c r="Y19" s="5"/>
      <c r="Z19" s="5"/>
    </row>
    <row r="20" spans="1:26" ht="26.25" customHeight="1" x14ac:dyDescent="0.2">
      <c r="A20" s="5"/>
      <c r="B20" s="2" t="s">
        <v>31</v>
      </c>
      <c r="C20" s="2" t="str">
        <f>IF(I14="CB Entry Missed, Wait Till 09.30 AM","Fill",IF(OR(I14="CB Entry Not Missed, Place The Order at 09.25 AM",I14=""),"Do Not Fill"))</f>
        <v>Do Not Fill</v>
      </c>
      <c r="D20" s="2" t="s">
        <v>32</v>
      </c>
      <c r="E20" s="2" t="str">
        <f>IF(I15="PB Entry Missed, Wait Till 09.30 AM","Fill",IF(OR(I15="PB Entry Not Missed, Place The Order at 09.25 AM",I15=""),"Do Not Fill"))</f>
        <v>Do Not Fill</v>
      </c>
      <c r="G20" s="2" t="s">
        <v>33</v>
      </c>
      <c r="H20" s="1" t="str">
        <f>IF(H18&gt;0,MROUND(MAX(H18,I8),E4),"")</f>
        <v/>
      </c>
      <c r="I20" s="2" t="s">
        <v>33</v>
      </c>
      <c r="J20" s="88" t="str">
        <f>IF(J18&gt;0,MROUND(MIN(J18,I9),E4),"")</f>
        <v/>
      </c>
      <c r="K20" s="72"/>
      <c r="M20" s="14"/>
      <c r="N20" s="14"/>
      <c r="O20" s="14"/>
      <c r="P20" s="14"/>
      <c r="Q20" s="14"/>
      <c r="R20" s="14"/>
      <c r="S20" s="14"/>
      <c r="T20" s="14"/>
      <c r="U20" s="14"/>
      <c r="V20" s="5"/>
      <c r="W20" s="5"/>
      <c r="X20" s="5"/>
      <c r="Y20" s="5"/>
      <c r="Z20" s="5"/>
    </row>
    <row r="21" spans="1:26" ht="26.25" customHeight="1" x14ac:dyDescent="0.2">
      <c r="A21" s="5"/>
      <c r="B21" s="1" t="s">
        <v>34</v>
      </c>
      <c r="C21" s="27"/>
      <c r="D21" s="1" t="s">
        <v>35</v>
      </c>
      <c r="E21" s="27"/>
      <c r="G21" s="2" t="s">
        <v>71</v>
      </c>
      <c r="H21" s="2" t="s">
        <v>72</v>
      </c>
      <c r="I21" s="2" t="s">
        <v>71</v>
      </c>
      <c r="J21" s="71" t="s">
        <v>72</v>
      </c>
      <c r="K21" s="72"/>
      <c r="M21" s="14"/>
      <c r="N21" s="14"/>
      <c r="O21" s="14"/>
      <c r="P21" s="14"/>
      <c r="Q21" s="14"/>
      <c r="R21" s="14"/>
      <c r="S21" s="14"/>
      <c r="T21" s="14"/>
      <c r="U21" s="14"/>
      <c r="V21" s="5"/>
      <c r="W21" s="5"/>
      <c r="X21" s="5"/>
      <c r="Y21" s="5"/>
      <c r="Z21" s="5"/>
    </row>
    <row r="22" spans="1:26" ht="26.25" customHeight="1" x14ac:dyDescent="0.2">
      <c r="A22" s="5"/>
      <c r="B22" s="2" t="s">
        <v>33</v>
      </c>
      <c r="C22" s="1" t="str">
        <f>IF(C21&gt;0,MROUND(MAX(C21,I8),E4),"")</f>
        <v/>
      </c>
      <c r="D22" s="2" t="s">
        <v>33</v>
      </c>
      <c r="E22" s="1" t="str">
        <f>IF(E21&gt;0,MROUND(MIN(E21,I9),E4),"")</f>
        <v/>
      </c>
      <c r="G22" s="27"/>
      <c r="H22" s="27"/>
      <c r="I22" s="27"/>
      <c r="J22" s="94"/>
      <c r="K22" s="72"/>
      <c r="M22" s="14"/>
      <c r="N22" s="14"/>
      <c r="O22" s="14"/>
      <c r="P22" s="14"/>
      <c r="Q22" s="14"/>
      <c r="R22" s="14"/>
      <c r="S22" s="14"/>
      <c r="T22" s="14"/>
      <c r="U22" s="14"/>
      <c r="V22" s="5"/>
      <c r="W22" s="5"/>
      <c r="X22" s="5"/>
      <c r="Y22" s="5"/>
      <c r="Z22" s="5"/>
    </row>
    <row r="23" spans="1:26" ht="26.25" customHeight="1" x14ac:dyDescent="0.2">
      <c r="A23" s="5"/>
      <c r="B23" s="2" t="s">
        <v>71</v>
      </c>
      <c r="C23" s="27"/>
      <c r="D23" s="2" t="s">
        <v>71</v>
      </c>
      <c r="E23" s="27"/>
      <c r="G23" s="1" t="s">
        <v>36</v>
      </c>
      <c r="H23" s="1" t="s">
        <v>30</v>
      </c>
      <c r="I23" s="1" t="s">
        <v>36</v>
      </c>
      <c r="J23" s="88" t="s">
        <v>30</v>
      </c>
      <c r="K23" s="72"/>
      <c r="M23" s="14"/>
      <c r="N23" s="14"/>
      <c r="O23" s="14"/>
      <c r="P23" s="14"/>
      <c r="Q23" s="14"/>
      <c r="R23" s="14"/>
      <c r="S23" s="14"/>
      <c r="T23" s="14"/>
      <c r="U23" s="14"/>
      <c r="V23" s="5"/>
      <c r="W23" s="5"/>
      <c r="X23" s="5"/>
      <c r="Y23" s="5"/>
      <c r="Z23" s="5"/>
    </row>
    <row r="24" spans="1:26" ht="26.25" customHeight="1" x14ac:dyDescent="0.2">
      <c r="A24" s="5"/>
      <c r="B24" s="1" t="s">
        <v>37</v>
      </c>
      <c r="C24" s="27"/>
      <c r="D24" s="1" t="s">
        <v>37</v>
      </c>
      <c r="E24" s="27"/>
      <c r="G24" s="27"/>
      <c r="H24" s="27"/>
      <c r="I24" s="27"/>
      <c r="J24" s="94"/>
      <c r="K24" s="72"/>
      <c r="M24" s="14"/>
      <c r="N24" s="14"/>
      <c r="O24" s="14"/>
      <c r="P24" s="14"/>
      <c r="Q24" s="14"/>
      <c r="R24" s="14"/>
      <c r="S24" s="14"/>
      <c r="T24" s="14"/>
      <c r="U24" s="14"/>
      <c r="V24" s="5"/>
      <c r="W24" s="5"/>
      <c r="X24" s="5"/>
      <c r="Y24" s="5"/>
      <c r="Z24" s="5"/>
    </row>
    <row r="25" spans="1:26" ht="15.75" customHeight="1" x14ac:dyDescent="0.2">
      <c r="A25" s="5"/>
      <c r="M25" s="14"/>
      <c r="N25" s="14"/>
      <c r="O25" s="14"/>
      <c r="P25" s="14"/>
      <c r="Q25" s="14"/>
      <c r="R25" s="14"/>
      <c r="S25" s="14"/>
      <c r="T25" s="14"/>
      <c r="U25" s="14"/>
      <c r="V25" s="5"/>
      <c r="W25" s="5"/>
      <c r="X25" s="5"/>
      <c r="Y25" s="5"/>
      <c r="Z25" s="5"/>
    </row>
    <row r="26" spans="1:26" ht="30" customHeight="1" x14ac:dyDescent="0.2">
      <c r="A26" s="23"/>
      <c r="B26" s="30" t="s">
        <v>38</v>
      </c>
      <c r="C26" s="30" t="s">
        <v>39</v>
      </c>
      <c r="D26" s="30" t="s">
        <v>40</v>
      </c>
      <c r="E26" s="95" t="s">
        <v>41</v>
      </c>
      <c r="F26" s="72"/>
      <c r="G26" s="31" t="s">
        <v>42</v>
      </c>
      <c r="H26" s="30" t="s">
        <v>43</v>
      </c>
      <c r="I26" s="31" t="s">
        <v>44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41.25" customHeight="1" x14ac:dyDescent="0.2">
      <c r="A27" s="15"/>
      <c r="B27" s="31" t="s">
        <v>45</v>
      </c>
      <c r="C27" s="32" t="s">
        <v>75</v>
      </c>
      <c r="D27" s="32" t="s">
        <v>76</v>
      </c>
      <c r="E27" s="33" t="s">
        <v>77</v>
      </c>
      <c r="F27" s="34"/>
      <c r="G27" s="35" t="s">
        <v>46</v>
      </c>
      <c r="H27" s="32" t="s">
        <v>78</v>
      </c>
      <c r="I27" s="36" t="s">
        <v>79</v>
      </c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41.25" customHeight="1" x14ac:dyDescent="0.2">
      <c r="A28" s="15"/>
      <c r="B28" s="31" t="s">
        <v>47</v>
      </c>
      <c r="C28" s="32" t="s">
        <v>75</v>
      </c>
      <c r="D28" s="32" t="s">
        <v>80</v>
      </c>
      <c r="E28" s="33" t="s">
        <v>81</v>
      </c>
      <c r="F28" s="34"/>
      <c r="G28" s="35" t="s">
        <v>46</v>
      </c>
      <c r="H28" s="32" t="s">
        <v>82</v>
      </c>
      <c r="I28" s="36" t="s">
        <v>83</v>
      </c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37"/>
      <c r="C29" s="29"/>
      <c r="D29" s="29"/>
      <c r="E29" s="29"/>
      <c r="F29" s="29"/>
      <c r="G29" s="29"/>
      <c r="I29" s="29"/>
      <c r="J29" s="29"/>
      <c r="K29" s="29"/>
      <c r="M29" s="29"/>
      <c r="N29" s="29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30.75" customHeight="1" x14ac:dyDescent="0.2">
      <c r="A30" s="23"/>
      <c r="B30" s="30" t="s">
        <v>38</v>
      </c>
      <c r="C30" s="30" t="s">
        <v>39</v>
      </c>
      <c r="D30" s="96" t="s">
        <v>40</v>
      </c>
      <c r="E30" s="95" t="s">
        <v>48</v>
      </c>
      <c r="F30" s="72"/>
      <c r="G30" s="92" t="s">
        <v>42</v>
      </c>
      <c r="H30" s="96" t="s">
        <v>43</v>
      </c>
      <c r="I30" s="92" t="s">
        <v>44</v>
      </c>
      <c r="K30" s="31" t="s">
        <v>49</v>
      </c>
      <c r="L30" s="92" t="s">
        <v>50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ht="25.5" customHeight="1" x14ac:dyDescent="0.2">
      <c r="A31" s="23"/>
      <c r="B31" s="30" t="s">
        <v>51</v>
      </c>
      <c r="C31" s="38">
        <v>0.1</v>
      </c>
      <c r="D31" s="83"/>
      <c r="E31" s="93">
        <v>0.7</v>
      </c>
      <c r="F31" s="72"/>
      <c r="G31" s="90"/>
      <c r="H31" s="83"/>
      <c r="I31" s="90"/>
      <c r="K31" s="39">
        <v>0.1</v>
      </c>
      <c r="L31" s="90"/>
      <c r="R31" s="5"/>
      <c r="S31" s="5"/>
      <c r="T31" s="5"/>
      <c r="U31" s="5"/>
      <c r="V31" s="5"/>
      <c r="W31" s="5"/>
      <c r="X31" s="5"/>
      <c r="Y31" s="5"/>
      <c r="Z31" s="5"/>
    </row>
    <row r="32" spans="1:26" ht="48" customHeight="1" x14ac:dyDescent="0.2">
      <c r="A32" s="15"/>
      <c r="B32" s="31" t="str">
        <f>IF(AND(C8="Open",B8="Call Buy"),CONCATENATE("BANKNIFTY ",TEXT(D13,"DD-MMM-YYYY")," CE ",D8),IF(C22&lt;&gt;"",CONCATENATE("BANKNIFTY ",TEXT(D13,"DD-MMM-YYYY")," CE ",C22),IF(H20&lt;&gt;"",CONCATENATE("BANKNIFTY ",TEXT(D13,"DD-MMM-YYYY")," CE ",H20),IF(AND(C8="Close",B8="Call Buy"),CONCATENATE("BANKNIFTY ",TEXT(D13,"DD-MMM-YYYY")," CE ",C14)))))</f>
        <v>BANKNIFTY 00-Jan-1900 CE 0</v>
      </c>
      <c r="C32" s="40">
        <f>MROUND(IF(AND(C8="Open",B8="Call Buy"),E8,K32*(1+C31)),0.05)</f>
        <v>0</v>
      </c>
      <c r="D32" s="40" t="str">
        <f>IF(AND(C8="Open",B8="Call Buy"),E8,"")</f>
        <v/>
      </c>
      <c r="E32" s="98">
        <f>IF(G32="TGT 1","N.A.",MROUND(C32*(1+E31),0.05))</f>
        <v>0</v>
      </c>
      <c r="F32" s="72"/>
      <c r="G32" s="42" t="str">
        <f>IF(AND(B8="Call Buy",G8="Target Not Achieved"),"NO TGT",IF(AND(B8="Call Buy",G8="Target 1 Achieved"),"TGT 1",""))</f>
        <v/>
      </c>
      <c r="H32" s="41">
        <f>IF(C19&gt;0,MROUND(L32*(1-C31),0.05),IF(OR(G32="",G32="NO TGT"),MAX(MROUND(C32*(1-E31),0.05),MROUND(L32*(1-C31),0.05)),"N.A."))</f>
        <v>0</v>
      </c>
      <c r="I32" s="43">
        <f>IF(C19&gt;0,MROUND(L32*(1-C31),0.05),IF(OR(G32="",G32="NO TGT",G32="TGT 1"),MAX(C32,MROUND(L32*(1-C31),0.05)),"N.A."))</f>
        <v>0</v>
      </c>
      <c r="K32" s="44">
        <f>IF(C24&gt;0,MAX(C24,C23),IF(G24&gt;0,MAX(G24,G22),D14))</f>
        <v>0</v>
      </c>
      <c r="L32" s="43">
        <f>IF(C19&gt;0,C19,IF(H24&gt;0,MIN(H22,H24),E14))</f>
        <v>0</v>
      </c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48" customHeight="1" x14ac:dyDescent="0.2">
      <c r="A33" s="15"/>
      <c r="B33" s="31" t="str">
        <f>IF(AND(C9="Open",B9="Put Buy"),CONCATENATE("BAKNIFTY ",TEXT(D13,"DD-MMM-YYYY")," PE ",D9),IF(E22&lt;&gt;"",CONCATENATE("BAKNIFTY ",TEXT(D13,"DD-MMM-YYYY")," PE ",E22),IF(J20&lt;&gt;"",CONCATENATE("BAKNIFTY ",TEXT(D13,"DD-MMM-YYYY")," PE ",J20),IF(AND(C9="Close",B9="Put Buy"),CONCATENATE("BAKNIFTY ",TEXT(D13,"DD-MMM-YYYY")," PE ",C15)))))</f>
        <v>BAKNIFTY 00-Jan-1900 PE 0</v>
      </c>
      <c r="C33" s="40">
        <f>MROUND(IF(AND(C9="Open",B9="Put Buy"),E9,K33*(1+C31)),0.05)</f>
        <v>0</v>
      </c>
      <c r="D33" s="40" t="str">
        <f>IF(AND(C9="Open",B9="Put Buy"),E9,"")</f>
        <v/>
      </c>
      <c r="E33" s="98">
        <f>IF(G33="TGT 1","N.A.",MROUND(C33*(1+E31),0.05))</f>
        <v>0</v>
      </c>
      <c r="F33" s="72"/>
      <c r="G33" s="45" t="str">
        <f>IF(AND(B9="Put Buy",G9="Target Not Achieved"),"NO TGT",IF(AND(B9="Put Buy",G9="Target 1 Achieved"),"TGT 1",""))</f>
        <v/>
      </c>
      <c r="H33" s="41">
        <f>IF(E19&gt;0,MROUND(L33*(1-C31),0.05),IF(OR(G33="",G33="NO TGT"),MAX(MROUND(C33*(1-E31),0.05),MROUND(L33*(1-C31),0.05)),"N.A."))</f>
        <v>0</v>
      </c>
      <c r="I33" s="43">
        <f>IF(E19&gt;0,MROUND(L33*(1-C31),0.05),IF(OR(G33="",G33="NO TGT",G33="TGT 1"),MAX(C33,MROUND(L33*(1-C31),0.05)),"N.A."))</f>
        <v>0</v>
      </c>
      <c r="K33" s="44">
        <f>IF(E24&gt;0,MAX(E24,E23),IF(I24&gt;0,MAX(I24,I22),D15))</f>
        <v>0</v>
      </c>
      <c r="L33" s="43">
        <f>IF(E19&gt;0,E19,IF(J24&gt;0,MIN(J24,J22),E15))</f>
        <v>0</v>
      </c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9" customHeight="1" x14ac:dyDescent="0.2">
      <c r="A34" s="15"/>
      <c r="B34" s="37"/>
      <c r="C34" s="29"/>
      <c r="D34" s="29"/>
      <c r="E34" s="29"/>
      <c r="F34" s="29"/>
      <c r="G34" s="29"/>
      <c r="H34" s="29"/>
      <c r="I34" s="29"/>
      <c r="J34" s="29"/>
      <c r="K34" s="29"/>
      <c r="L34" s="37"/>
      <c r="M34" s="29"/>
      <c r="N34" s="29"/>
      <c r="O34" s="29"/>
      <c r="P34" s="29"/>
      <c r="Q34" s="29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3.25" customHeight="1" x14ac:dyDescent="0.2">
      <c r="A35" s="15"/>
      <c r="B35" s="46" t="s">
        <v>52</v>
      </c>
      <c r="C35" s="31" t="s">
        <v>53</v>
      </c>
      <c r="D35" s="31" t="s">
        <v>6</v>
      </c>
      <c r="E35" s="95" t="s">
        <v>54</v>
      </c>
      <c r="F35" s="72"/>
      <c r="G35" s="31" t="s">
        <v>55</v>
      </c>
      <c r="H35" s="30" t="s">
        <v>56</v>
      </c>
      <c r="I35" s="31" t="s">
        <v>57</v>
      </c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3.25" customHeight="1" x14ac:dyDescent="0.2">
      <c r="A36" s="5"/>
      <c r="B36" s="31" t="s">
        <v>58</v>
      </c>
      <c r="C36" s="19" t="str">
        <f>IF(AND(C8="Open",B8="Call Buy"),"No","Yes")</f>
        <v>Yes</v>
      </c>
      <c r="D36" s="66" t="str">
        <f>IF(AND(C36="Yes",I14="CB Entry Missed, Wait Till 09.30 AM"),"09:30 AM",IF(AND(OR(I14="",I14="CB Entry Not Missed, Place The Order at 09.25 AM"),C36="Yes"),"09:25 AM","-"))</f>
        <v>09:25 AM</v>
      </c>
      <c r="E36" s="99" t="str">
        <f>IF(C36="Yes","B.O.","-")</f>
        <v>B.O.</v>
      </c>
      <c r="F36" s="72"/>
      <c r="G36" s="19">
        <f>IF(C36="Yes",C4*2,"-")</f>
        <v>30</v>
      </c>
      <c r="H36" s="48">
        <f>IF(C36="Yes",MROUND(I36*(1+5%),0.05),"-")</f>
        <v>0</v>
      </c>
      <c r="I36" s="49">
        <f>IF(C36="Yes",C32,"-")</f>
        <v>0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2">
      <c r="A37" s="5"/>
      <c r="B37" s="31" t="s">
        <v>59</v>
      </c>
      <c r="C37" s="19" t="str">
        <f>IF(G32="NO TGT","Yes","No")</f>
        <v>No</v>
      </c>
      <c r="D37" s="19" t="str">
        <f>IF(C37="Yes","09:15 AM","-")</f>
        <v>-</v>
      </c>
      <c r="E37" s="99" t="str">
        <f t="shared" ref="E37:E38" si="0">IF(C37="Yes","S.O.","-")</f>
        <v>-</v>
      </c>
      <c r="F37" s="72"/>
      <c r="G37" s="19" t="str">
        <f>IF(C37="Yes",C4*1,"-")</f>
        <v>-</v>
      </c>
      <c r="H37" s="48" t="str">
        <f>IF(C37="Yes",E32,"-")</f>
        <v>-</v>
      </c>
      <c r="I37" s="49" t="str">
        <f>IF(C37="Yes",0,"-")</f>
        <v>-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ht="23.25" customHeight="1" x14ac:dyDescent="0.2">
      <c r="A38" s="5"/>
      <c r="B38" s="31" t="s">
        <v>60</v>
      </c>
      <c r="C38" s="19" t="str">
        <f>IF(OR(G32="NO TGT",G32="TGT 1"),"Yes","No")</f>
        <v>No</v>
      </c>
      <c r="D38" s="19" t="str">
        <f>IF(AND(C38="Yes",M14="CB SL Missed"),"09:30 AM",IF(AND(OR(M14="",M14="CB SL Not Missed"),C38="Yes"),"09:25 AM","-"))</f>
        <v>-</v>
      </c>
      <c r="E38" s="99" t="str">
        <f t="shared" si="0"/>
        <v>-</v>
      </c>
      <c r="F38" s="72"/>
      <c r="G38" s="19" t="str">
        <f>IF(G32="NO TGT",C4*2,IF(G32="TGT 1",C4*1,"-"))</f>
        <v>-</v>
      </c>
      <c r="H38" s="48" t="str">
        <f>IF(C38="Yes",MROUND(I38*(1-5%),0.05),"-")</f>
        <v>-</v>
      </c>
      <c r="I38" s="49" t="str">
        <f>IF(AND(C38="Yes",G32="NO TGT"),H32,IF(AND(C38="Yes",G32="TGT 1"),I32,"-"))</f>
        <v>-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24.75" customHeight="1" x14ac:dyDescent="0.2">
      <c r="A39" s="5"/>
      <c r="B39" s="50" t="s">
        <v>61</v>
      </c>
      <c r="C39" s="30" t="s">
        <v>53</v>
      </c>
      <c r="D39" s="31" t="s">
        <v>6</v>
      </c>
      <c r="E39" s="95" t="s">
        <v>54</v>
      </c>
      <c r="F39" s="72"/>
      <c r="G39" s="31" t="s">
        <v>55</v>
      </c>
      <c r="H39" s="31" t="s">
        <v>62</v>
      </c>
      <c r="I39" s="51" t="s">
        <v>57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24.75" customHeight="1" x14ac:dyDescent="0.2">
      <c r="A40" s="5"/>
      <c r="B40" s="31" t="s">
        <v>58</v>
      </c>
      <c r="C40" s="47" t="str">
        <f>IF(AND(C9="Open",B9="Put Buy"),"No","Yes")</f>
        <v>Yes</v>
      </c>
      <c r="D40" s="66" t="str">
        <f>IF(AND(C40="Yes",I15="PB Entry Missed, Wait Till 09.30 AM"),"09:30 AM",IF(AND(OR(I15="",I15="PB Entry Not Missed, Place The Order at 09.25 AM"),C40="Yes"),"09:25 AM","-"))</f>
        <v>09:25 AM</v>
      </c>
      <c r="E40" s="99" t="str">
        <f>IF(C40="Yes","B.O.","-")</f>
        <v>B.O.</v>
      </c>
      <c r="F40" s="72"/>
      <c r="G40" s="19">
        <f>IF(C40="Yes",C4*2,"-")</f>
        <v>30</v>
      </c>
      <c r="H40" s="49">
        <f>IF(C40="Yes",MROUND(I40*(1+5%),0.05),"-")</f>
        <v>0</v>
      </c>
      <c r="I40" s="49">
        <f>IF(C40="Yes",C33,"-")</f>
        <v>0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24.75" customHeight="1" x14ac:dyDescent="0.2">
      <c r="A41" s="5"/>
      <c r="B41" s="31" t="s">
        <v>59</v>
      </c>
      <c r="C41" s="47" t="str">
        <f>IF(G33="NO TGT","Yes","No")</f>
        <v>No</v>
      </c>
      <c r="D41" s="19" t="str">
        <f>IF(C41="Yes","09:15 AM","-")</f>
        <v>-</v>
      </c>
      <c r="E41" s="99" t="str">
        <f t="shared" ref="E41:E42" si="1">IF(C41="Yes","S.O.","-")</f>
        <v>-</v>
      </c>
      <c r="F41" s="72"/>
      <c r="G41" s="19" t="str">
        <f>IF(C41="Yes",C4*1,"-")</f>
        <v>-</v>
      </c>
      <c r="H41" s="49" t="str">
        <f>IF(C41="Yes",E33,"-")</f>
        <v>-</v>
      </c>
      <c r="I41" s="49" t="str">
        <f>IF(C41="Yes",0,"-")</f>
        <v>-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24.75" customHeight="1" x14ac:dyDescent="0.2">
      <c r="A42" s="5"/>
      <c r="B42" s="31" t="s">
        <v>60</v>
      </c>
      <c r="C42" s="47" t="str">
        <f>IF(OR(G33="NO TGT",G33="TGT 1"),"Yes","No")</f>
        <v>No</v>
      </c>
      <c r="D42" s="19" t="str">
        <f>IF(AND(C42="Yes",M15="PB SL Missed"),"09:30 AM",IF(AND(OR(M15="",M15="PB SL Not Missed"),C42="Yes"),"09:25 AM","-"))</f>
        <v>-</v>
      </c>
      <c r="E42" s="99" t="str">
        <f t="shared" si="1"/>
        <v>-</v>
      </c>
      <c r="F42" s="72"/>
      <c r="G42" s="52" t="str">
        <f>IF(G33="NO TGT",C4*2,IF(G33="TGT 1",C4*1,"-"))</f>
        <v>-</v>
      </c>
      <c r="H42" s="53" t="str">
        <f>IF(C42="Yes",MROUND(I42*(1-5%),0.05),"-")</f>
        <v>-</v>
      </c>
      <c r="I42" s="53" t="str">
        <f>IF(AND(C42="Yes",G33="NO TGT"),H33,IF(AND(C42="Yes",G33="TGT 1"),I33,IF(AND(C42="Yes",G33="TGT 2"),#REF!,"-")))</f>
        <v>-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24.75" customHeight="1" x14ac:dyDescent="0.2">
      <c r="A43" s="5"/>
      <c r="B43" s="46" t="s">
        <v>63</v>
      </c>
      <c r="C43" s="103">
        <f>COUNTIF(C36:Q42,"Yes")</f>
        <v>2</v>
      </c>
      <c r="D43" s="70"/>
      <c r="E43" s="70"/>
      <c r="F43" s="70"/>
      <c r="G43" s="97" t="s">
        <v>64</v>
      </c>
      <c r="H43" s="70"/>
      <c r="I43" s="72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00" t="s">
        <v>84</v>
      </c>
      <c r="B45" s="101"/>
      <c r="C45" s="102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4"/>
      <c r="B46" s="56" t="s">
        <v>65</v>
      </c>
      <c r="C46" s="1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4"/>
      <c r="B47" s="56" t="s">
        <v>66</v>
      </c>
      <c r="C47" s="1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4"/>
      <c r="B48" s="56" t="s">
        <v>67</v>
      </c>
      <c r="C48" s="1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4"/>
      <c r="B49" s="56" t="s">
        <v>68</v>
      </c>
      <c r="C49" s="1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4"/>
      <c r="B50" s="4"/>
      <c r="C50" s="4"/>
      <c r="D50" s="4"/>
      <c r="E50" s="4"/>
      <c r="F50" s="15"/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4"/>
      <c r="B51" s="4"/>
      <c r="C51" s="4"/>
      <c r="D51" s="56"/>
      <c r="E51" s="56"/>
      <c r="F51" s="57"/>
      <c r="G51" s="57" t="s">
        <v>69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</sheetData>
  <sheetProtection algorithmName="SHA-512" hashValue="VYagCsc8Z9QROKj+ApcfjNrFqPwDDYMqy715vZPZTR4GJJJXRX0IcuznV7Dt+fwv9wOW6NB8BdlZaIhjZ7F3Lw==" saltValue="MfIrSxdI0fnLOfHKmibGsw==" spinCount="100000" sheet="1" objects="1" scenarios="1"/>
  <protectedRanges>
    <protectedRange sqref="C4 E4 G4 I4 C8:G9 I8:J9 D13:E15 H14:H15 L14:L15 C19 E19 C21 E21 C23:C24 E23:E24 H18 J18 G22:K22 G24:K24" name="Edit"/>
  </protectedRanges>
  <mergeCells count="53">
    <mergeCell ref="A45:C45"/>
    <mergeCell ref="E39:F39"/>
    <mergeCell ref="E40:F40"/>
    <mergeCell ref="E41:F41"/>
    <mergeCell ref="E42:F42"/>
    <mergeCell ref="C43:F43"/>
    <mergeCell ref="G43:I43"/>
    <mergeCell ref="E32:F32"/>
    <mergeCell ref="E33:F33"/>
    <mergeCell ref="E35:F35"/>
    <mergeCell ref="E36:F36"/>
    <mergeCell ref="E37:F37"/>
    <mergeCell ref="E38:F38"/>
    <mergeCell ref="D30:D31"/>
    <mergeCell ref="E30:F30"/>
    <mergeCell ref="G30:G31"/>
    <mergeCell ref="H30:H31"/>
    <mergeCell ref="I30:I31"/>
    <mergeCell ref="L30:L31"/>
    <mergeCell ref="E31:F31"/>
    <mergeCell ref="J20:K20"/>
    <mergeCell ref="J21:K21"/>
    <mergeCell ref="J22:K22"/>
    <mergeCell ref="J23:K23"/>
    <mergeCell ref="J24:K24"/>
    <mergeCell ref="E26:F26"/>
    <mergeCell ref="B18:C18"/>
    <mergeCell ref="D18:E18"/>
    <mergeCell ref="G18:G19"/>
    <mergeCell ref="H18:H19"/>
    <mergeCell ref="I18:I19"/>
    <mergeCell ref="J18:K19"/>
    <mergeCell ref="K11:M11"/>
    <mergeCell ref="G12:I12"/>
    <mergeCell ref="K12:M12"/>
    <mergeCell ref="D13:E13"/>
    <mergeCell ref="B17:C17"/>
    <mergeCell ref="D17:E17"/>
    <mergeCell ref="G17:H17"/>
    <mergeCell ref="I17:K17"/>
    <mergeCell ref="E8:F8"/>
    <mergeCell ref="I8:J8"/>
    <mergeCell ref="E9:F9"/>
    <mergeCell ref="I9:J9"/>
    <mergeCell ref="C11:C13"/>
    <mergeCell ref="D11:E11"/>
    <mergeCell ref="G11:I11"/>
    <mergeCell ref="A1:K1"/>
    <mergeCell ref="E6:F6"/>
    <mergeCell ref="H6:J6"/>
    <mergeCell ref="O6:P7"/>
    <mergeCell ref="D7:G7"/>
    <mergeCell ref="H7:J7"/>
  </mergeCells>
  <conditionalFormatting sqref="C36:E38 B40:F42 H40:I42 G40:G43">
    <cfRule type="cellIs" dxfId="23" priority="1" operator="equal">
      <formula>"S.O."</formula>
    </cfRule>
    <cfRule type="cellIs" dxfId="22" priority="2" operator="equal">
      <formula>"B.O."</formula>
    </cfRule>
  </conditionalFormatting>
  <conditionalFormatting sqref="D7:G7">
    <cfRule type="cellIs" dxfId="21" priority="3" operator="equal">
      <formula>"Fill : Call Buy &amp; Put Buy Details"</formula>
    </cfRule>
    <cfRule type="containsText" dxfId="20" priority="4" operator="containsText" text="Fill : Put Buy Details">
      <formula>NOT(ISERROR(SEARCH(("Fill : Put Buy Details"),(D7))))</formula>
    </cfRule>
    <cfRule type="cellIs" dxfId="19" priority="5" operator="equal">
      <formula>"Fill : Call Buy Details"</formula>
    </cfRule>
    <cfRule type="cellIs" dxfId="18" priority="6" operator="equal">
      <formula>"Do Not Fill : Call Buy &amp; Put Buy Details"</formula>
    </cfRule>
  </conditionalFormatting>
  <conditionalFormatting sqref="G14:G15 K14:K15 B19 D19 C20 E20">
    <cfRule type="cellIs" dxfId="17" priority="11" operator="equal">
      <formula>"Do Not Fill"</formula>
    </cfRule>
    <cfRule type="cellIs" dxfId="16" priority="12" operator="equal">
      <formula>"Fill"</formula>
    </cfRule>
  </conditionalFormatting>
  <conditionalFormatting sqref="G43:G44 C43 N43:O43 D44:F44">
    <cfRule type="cellIs" dxfId="15" priority="7" operator="equal">
      <formula>"S.O."</formula>
    </cfRule>
    <cfRule type="cellIs" dxfId="14" priority="8" operator="equal">
      <formula>"B.O."</formula>
    </cfRule>
  </conditionalFormatting>
  <conditionalFormatting sqref="J11">
    <cfRule type="containsText" dxfId="13" priority="9" operator="containsText" text="Do Not Fill : ">
      <formula>NOT(ISERROR(SEARCH(("Do Not Fill : "),(J11))))</formula>
    </cfRule>
    <cfRule type="containsText" dxfId="12" priority="10" operator="containsText" text="Fill : ">
      <formula>NOT(ISERROR(SEARCH(("Fill : "),(J11))))</formula>
    </cfRule>
  </conditionalFormatting>
  <dataValidations count="2">
    <dataValidation type="list" allowBlank="1" showErrorMessage="1" sqref="C8:C9">
      <formula1>"Open,Close"</formula1>
    </dataValidation>
    <dataValidation type="list" allowBlank="1" showErrorMessage="1" sqref="G8:G9">
      <formula1>"Target Not Achieved,Target 1 Achieved"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showGridLines="0" tabSelected="1" zoomScale="90" zoomScaleNormal="90" workbookViewId="0">
      <selection activeCell="O12" sqref="O12"/>
    </sheetView>
  </sheetViews>
  <sheetFormatPr defaultColWidth="12.7109375" defaultRowHeight="15" customHeight="1" x14ac:dyDescent="0.2"/>
  <cols>
    <col min="1" max="1" width="2.42578125" customWidth="1"/>
    <col min="2" max="2" width="25" customWidth="1"/>
    <col min="3" max="3" width="20" customWidth="1"/>
    <col min="4" max="4" width="19.28515625" customWidth="1"/>
    <col min="5" max="5" width="18.7109375" customWidth="1"/>
    <col min="6" max="6" width="1.7109375" customWidth="1"/>
    <col min="7" max="7" width="19.42578125" customWidth="1"/>
    <col min="8" max="8" width="28" customWidth="1"/>
    <col min="9" max="9" width="25.140625" customWidth="1"/>
    <col min="10" max="10" width="2.28515625" customWidth="1"/>
    <col min="11" max="12" width="18.42578125" customWidth="1"/>
    <col min="13" max="13" width="15" customWidth="1"/>
    <col min="14" max="14" width="17.28515625" customWidth="1"/>
    <col min="15" max="16" width="15.7109375" customWidth="1"/>
    <col min="17" max="17" width="16.140625" customWidth="1"/>
    <col min="18" max="18" width="13.28515625" customWidth="1"/>
    <col min="19" max="19" width="15" customWidth="1"/>
    <col min="20" max="21" width="13.28515625" customWidth="1"/>
    <col min="22" max="26" width="7.42578125" customWidth="1"/>
  </cols>
  <sheetData>
    <row r="1" spans="1:26" ht="15.75" x14ac:dyDescent="0.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5.7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ht="34.5" x14ac:dyDescent="0.2">
      <c r="A3" s="6"/>
      <c r="B3" s="7" t="s">
        <v>1</v>
      </c>
      <c r="C3" s="7" t="s">
        <v>2</v>
      </c>
      <c r="D3" s="7" t="s">
        <v>3</v>
      </c>
      <c r="E3" s="7" t="s">
        <v>4</v>
      </c>
      <c r="F3" s="8"/>
      <c r="G3" s="9" t="s">
        <v>85</v>
      </c>
      <c r="H3" s="9" t="s">
        <v>5</v>
      </c>
      <c r="I3" s="9" t="s">
        <v>6</v>
      </c>
      <c r="J3" s="8"/>
      <c r="K3" s="8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0.25" customHeight="1" x14ac:dyDescent="0.2">
      <c r="A4" s="6"/>
      <c r="B4" s="11" t="s">
        <v>70</v>
      </c>
      <c r="C4" s="12">
        <v>15</v>
      </c>
      <c r="D4" s="11">
        <v>0.05</v>
      </c>
      <c r="E4" s="12">
        <v>100</v>
      </c>
      <c r="F4" s="8"/>
      <c r="G4" s="63">
        <v>45252</v>
      </c>
      <c r="H4" s="62" t="s">
        <v>87</v>
      </c>
      <c r="I4" s="13">
        <v>0.38541666666666669</v>
      </c>
      <c r="J4" s="8"/>
      <c r="K4" s="8"/>
      <c r="L4" s="10"/>
      <c r="M4" s="10"/>
      <c r="N4" s="10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x14ac:dyDescent="0.2">
      <c r="A5" s="14"/>
      <c r="B5" s="15"/>
      <c r="C5" s="1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4"/>
      <c r="S5" s="4"/>
      <c r="T5" s="4"/>
      <c r="U5" s="4"/>
      <c r="V5" s="4"/>
      <c r="W5" s="4"/>
      <c r="X5" s="4"/>
      <c r="Y5" s="4"/>
      <c r="Z5" s="4"/>
    </row>
    <row r="6" spans="1:26" ht="29.25" customHeight="1" x14ac:dyDescent="0.2">
      <c r="A6" s="15"/>
      <c r="B6" s="17" t="s">
        <v>7</v>
      </c>
      <c r="C6" s="17" t="s">
        <v>8</v>
      </c>
      <c r="D6" s="17" t="s">
        <v>9</v>
      </c>
      <c r="E6" s="69" t="s">
        <v>10</v>
      </c>
      <c r="F6" s="70"/>
      <c r="G6" s="17" t="s">
        <v>11</v>
      </c>
      <c r="H6" s="71" t="s">
        <v>12</v>
      </c>
      <c r="I6" s="70"/>
      <c r="J6" s="72"/>
      <c r="O6" s="73"/>
      <c r="P6" s="73"/>
      <c r="R6" s="5"/>
      <c r="S6" s="5"/>
      <c r="T6" s="5"/>
      <c r="U6" s="5"/>
      <c r="V6" s="5"/>
      <c r="W6" s="5"/>
      <c r="X6" s="5"/>
      <c r="Y6" s="5"/>
      <c r="Z6" s="5"/>
    </row>
    <row r="7" spans="1:26" ht="22.5" customHeight="1" x14ac:dyDescent="0.2">
      <c r="A7" s="15"/>
      <c r="B7" s="18" t="s">
        <v>13</v>
      </c>
      <c r="C7" s="18" t="s">
        <v>14</v>
      </c>
      <c r="D7" s="74" t="str">
        <f>IF(C8="","",IF(AND(C8="Close",C9="Close"),"Do Not Fill : Call Buy &amp; Put Buy Details",IF(AND(C8="Open",C9="Close"),"Fill : Call Buy Details",IF(AND(C8="Close",C9="Open"),"Fill : Put Buy Details",IF(AND(C8="Open",C9="Open"),"Fill : Call Buy &amp; Put Buy Details")))))</f>
        <v>Do Not Fill : Call Buy &amp; Put Buy Details</v>
      </c>
      <c r="E7" s="70"/>
      <c r="F7" s="70"/>
      <c r="G7" s="70"/>
      <c r="H7" s="71" t="s">
        <v>15</v>
      </c>
      <c r="I7" s="70"/>
      <c r="J7" s="72"/>
      <c r="O7" s="73"/>
      <c r="P7" s="73"/>
      <c r="R7" s="5"/>
      <c r="S7" s="5"/>
      <c r="T7" s="5"/>
      <c r="U7" s="5"/>
      <c r="V7" s="5"/>
      <c r="W7" s="5"/>
      <c r="X7" s="5"/>
      <c r="Y7" s="5"/>
      <c r="Z7" s="5"/>
    </row>
    <row r="8" spans="1:26" ht="30" customHeight="1" x14ac:dyDescent="0.2">
      <c r="A8" s="15"/>
      <c r="B8" s="19" t="s">
        <v>16</v>
      </c>
      <c r="C8" s="20" t="s">
        <v>18</v>
      </c>
      <c r="D8" s="21"/>
      <c r="E8" s="76"/>
      <c r="F8" s="72"/>
      <c r="G8" s="22"/>
      <c r="H8" s="2" t="s">
        <v>71</v>
      </c>
      <c r="I8" s="76">
        <v>43710.05</v>
      </c>
      <c r="J8" s="72"/>
      <c r="R8" s="5"/>
      <c r="S8" s="5"/>
      <c r="T8" s="5"/>
      <c r="U8" s="5"/>
      <c r="V8" s="5"/>
      <c r="W8" s="5"/>
      <c r="X8" s="5"/>
      <c r="Y8" s="5"/>
      <c r="Z8" s="5"/>
    </row>
    <row r="9" spans="1:26" ht="30" customHeight="1" x14ac:dyDescent="0.2">
      <c r="A9" s="15"/>
      <c r="B9" s="19" t="s">
        <v>17</v>
      </c>
      <c r="C9" s="20" t="s">
        <v>18</v>
      </c>
      <c r="D9" s="21"/>
      <c r="E9" s="76"/>
      <c r="F9" s="72"/>
      <c r="G9" s="22"/>
      <c r="H9" s="2" t="s">
        <v>72</v>
      </c>
      <c r="I9" s="76">
        <v>43664.25</v>
      </c>
      <c r="J9" s="72"/>
      <c r="R9" s="5"/>
      <c r="S9" s="5"/>
      <c r="T9" s="5"/>
      <c r="U9" s="5"/>
      <c r="V9" s="5"/>
      <c r="W9" s="5"/>
      <c r="X9" s="5"/>
      <c r="Y9" s="5"/>
      <c r="Z9" s="5"/>
    </row>
    <row r="10" spans="1:26" ht="15.75" x14ac:dyDescent="0.2">
      <c r="A10" s="5"/>
      <c r="B10" s="5"/>
      <c r="C10" s="1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9.25" customHeight="1" x14ac:dyDescent="0.25">
      <c r="A11" s="15"/>
      <c r="B11" s="7" t="s">
        <v>7</v>
      </c>
      <c r="C11" s="77" t="s">
        <v>19</v>
      </c>
      <c r="D11" s="71" t="s">
        <v>12</v>
      </c>
      <c r="E11" s="72"/>
      <c r="F11" s="23"/>
      <c r="G11" s="80" t="s">
        <v>20</v>
      </c>
      <c r="H11" s="70"/>
      <c r="I11" s="72"/>
      <c r="J11" s="24"/>
      <c r="K11" s="80" t="s">
        <v>21</v>
      </c>
      <c r="L11" s="70"/>
      <c r="M11" s="72"/>
      <c r="V11" s="5"/>
      <c r="W11" s="5"/>
      <c r="X11" s="5"/>
      <c r="Y11" s="5"/>
      <c r="Z11" s="5"/>
    </row>
    <row r="12" spans="1:26" ht="33" customHeight="1" x14ac:dyDescent="0.25">
      <c r="A12" s="15"/>
      <c r="B12" s="18" t="s">
        <v>13</v>
      </c>
      <c r="C12" s="78"/>
      <c r="D12" s="2" t="s">
        <v>73</v>
      </c>
      <c r="E12" s="2" t="s">
        <v>74</v>
      </c>
      <c r="F12" s="23"/>
      <c r="G12" s="85" t="s">
        <v>22</v>
      </c>
      <c r="H12" s="70"/>
      <c r="I12" s="72"/>
      <c r="J12" s="24"/>
      <c r="K12" s="85" t="s">
        <v>23</v>
      </c>
      <c r="L12" s="70"/>
      <c r="M12" s="72"/>
      <c r="V12" s="5"/>
      <c r="W12" s="5"/>
      <c r="X12" s="5"/>
      <c r="Y12" s="5"/>
      <c r="Z12" s="5"/>
    </row>
    <row r="13" spans="1:26" ht="18.600000000000001" customHeight="1" x14ac:dyDescent="0.25">
      <c r="A13" s="15"/>
      <c r="B13" s="64" t="s">
        <v>86</v>
      </c>
      <c r="C13" s="79"/>
      <c r="D13" s="86">
        <v>45245</v>
      </c>
      <c r="E13" s="87"/>
      <c r="F13" s="23"/>
      <c r="G13" s="61"/>
      <c r="H13" s="59"/>
      <c r="I13" s="60"/>
      <c r="J13" s="24"/>
      <c r="K13" s="61"/>
      <c r="L13" s="59"/>
      <c r="M13" s="60"/>
      <c r="V13" s="5"/>
      <c r="W13" s="5"/>
      <c r="X13" s="5"/>
      <c r="Y13" s="5"/>
      <c r="Z13" s="5"/>
    </row>
    <row r="14" spans="1:26" ht="63" customHeight="1" x14ac:dyDescent="0.2">
      <c r="A14" s="15"/>
      <c r="B14" s="19" t="s">
        <v>16</v>
      </c>
      <c r="C14" s="25">
        <f>IF(AND(C8="Open",D8&gt;0),D8,MROUND(I8,E4))</f>
        <v>43700</v>
      </c>
      <c r="D14" s="26">
        <v>132</v>
      </c>
      <c r="E14" s="26">
        <v>105</v>
      </c>
      <c r="F14" s="23"/>
      <c r="G14" s="1" t="str">
        <f>IF(C8="","",IF(C8="Close","Fill",IF(C8="Open","Do Not Fill","")))</f>
        <v>Fill</v>
      </c>
      <c r="H14" s="26"/>
      <c r="I14" s="65" t="str">
        <f>IF(H14="","",IF(AND(C8="Close",H14&gt;=MROUND(D14*(1+C31),0.05)),"CB Entry Missed, Wait Till 09.30 AM","CB Entry Not Missed, Place The Order at 09.25 AM"))</f>
        <v/>
      </c>
      <c r="K14" s="1" t="str">
        <f>IF(C8="","",IF(C8="Close","Do Not Fill",IF(C8="Open","Fill","")))</f>
        <v>Do Not Fill</v>
      </c>
      <c r="L14" s="27"/>
      <c r="M14" s="28" t="str">
        <f>IF(L14="","",IF(AND(AND(AND(C8="Open",B8="Call Buy"),G32="NO TGT"),L14&lt;=MAX(MROUND(E8*(1-E31),0.05),MROUND(E14*(1-C31),0.05))),"CB SL Missed",IF(AND(AND(AND(C8="Open",B8="Call Buy"),G32="TGT 1"),L14&lt;=MAX(E8,MROUND(E14*(1-C31),0.05))),"CB SL Missed","CB SL Not Missed")))</f>
        <v/>
      </c>
      <c r="V14" s="5"/>
      <c r="W14" s="5"/>
      <c r="X14" s="5"/>
      <c r="Y14" s="5"/>
      <c r="Z14" s="5"/>
    </row>
    <row r="15" spans="1:26" ht="60.6" customHeight="1" x14ac:dyDescent="0.2">
      <c r="A15" s="15"/>
      <c r="B15" s="19" t="s">
        <v>17</v>
      </c>
      <c r="C15" s="25">
        <f>IF(AND(C9="Open",D9&gt;0),D9,MROUND(I9,E4))</f>
        <v>43700</v>
      </c>
      <c r="D15" s="26">
        <v>167.05</v>
      </c>
      <c r="E15" s="20">
        <v>121.25</v>
      </c>
      <c r="F15" s="23"/>
      <c r="G15" s="1" t="str">
        <f>IF(C9="","",IF(C9="Close","Fill",IF(C9="Open","Do Not Fill","")))</f>
        <v>Fill</v>
      </c>
      <c r="H15" s="26"/>
      <c r="I15" s="65" t="str">
        <f>IF(H15="","",IF(AND(C9="Close",H15&gt;=MROUND(D15*(1+C31),0.05)),"PB Entry Missed, Wait Till 09.30 AM","PB Entry Not Missed, Place The Order at 09.25 AM"))</f>
        <v/>
      </c>
      <c r="K15" s="1" t="str">
        <f>IF(C9="","",IF(C9="Close","Do Not Fill",IF(C9="Open","Fill","")))</f>
        <v>Do Not Fill</v>
      </c>
      <c r="L15" s="27"/>
      <c r="M15" s="28" t="str">
        <f>IF(L15="","",IF(AND(AND(AND(C9="Open",B9="Put Buy"),G33="NO TGT"),L15&lt;=MAX(MROUND(E9*(1-E31),0.05),MROUND(E15*(1-C31),0.05))),"PB SL Missed",IF(AND(AND(AND(C9="Open",B9="Put Buy"),G33="TGT 1"),L15&lt;=MAX(E9,MROUND(E15*(1-C31),0.05))),"PB SL Missed","PB SL Not Missed")))</f>
        <v/>
      </c>
      <c r="V15" s="5"/>
      <c r="W15" s="5"/>
      <c r="X15" s="5"/>
      <c r="Y15" s="5"/>
      <c r="Z15" s="5"/>
    </row>
    <row r="16" spans="1:26" ht="15.75" customHeight="1" x14ac:dyDescent="0.2">
      <c r="A16" s="5"/>
      <c r="B16" s="29"/>
      <c r="C16" s="29"/>
      <c r="D16" s="5"/>
      <c r="E16" s="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U16" s="5"/>
      <c r="V16" s="5"/>
      <c r="W16" s="5"/>
      <c r="X16" s="5"/>
      <c r="Y16" s="5"/>
      <c r="Z16" s="5"/>
    </row>
    <row r="17" spans="1:26" ht="26.25" customHeight="1" x14ac:dyDescent="0.2">
      <c r="A17" s="5"/>
      <c r="B17" s="75" t="s">
        <v>24</v>
      </c>
      <c r="C17" s="72"/>
      <c r="D17" s="75" t="s">
        <v>25</v>
      </c>
      <c r="E17" s="72"/>
      <c r="G17" s="71" t="s">
        <v>26</v>
      </c>
      <c r="H17" s="72"/>
      <c r="I17" s="71" t="s">
        <v>27</v>
      </c>
      <c r="J17" s="70"/>
      <c r="K17" s="72"/>
      <c r="M17" s="14"/>
      <c r="N17" s="14"/>
      <c r="O17" s="14"/>
      <c r="P17" s="14"/>
      <c r="Q17" s="14"/>
      <c r="R17" s="14"/>
      <c r="S17" s="14"/>
      <c r="T17" s="14"/>
      <c r="U17" s="14"/>
      <c r="V17" s="5"/>
      <c r="W17" s="5"/>
      <c r="X17" s="5"/>
      <c r="Y17" s="5"/>
      <c r="Z17" s="5"/>
    </row>
    <row r="18" spans="1:26" ht="26.25" customHeight="1" x14ac:dyDescent="0.2">
      <c r="A18" s="5"/>
      <c r="B18" s="88" t="s">
        <v>28</v>
      </c>
      <c r="C18" s="72"/>
      <c r="D18" s="88" t="s">
        <v>28</v>
      </c>
      <c r="E18" s="72"/>
      <c r="G18" s="89" t="s">
        <v>29</v>
      </c>
      <c r="H18" s="91"/>
      <c r="I18" s="89" t="s">
        <v>30</v>
      </c>
      <c r="J18" s="81"/>
      <c r="K18" s="82"/>
      <c r="M18" s="14"/>
      <c r="N18" s="14"/>
      <c r="O18" s="14"/>
      <c r="P18" s="14"/>
      <c r="Q18" s="14"/>
      <c r="R18" s="14"/>
      <c r="S18" s="14"/>
      <c r="T18" s="14"/>
      <c r="U18" s="14"/>
      <c r="V18" s="5"/>
      <c r="W18" s="5"/>
      <c r="X18" s="5"/>
      <c r="Y18" s="5"/>
      <c r="Z18" s="5"/>
    </row>
    <row r="19" spans="1:26" ht="26.25" customHeight="1" x14ac:dyDescent="0.2">
      <c r="A19" s="5"/>
      <c r="B19" s="1" t="str">
        <f>IF(M14="CB SL Missed","Fill",IF(OR(M14="CB SL Not Missed",M14=""),"Do Not Fill"))</f>
        <v>Do Not Fill</v>
      </c>
      <c r="C19" s="27"/>
      <c r="D19" s="1" t="str">
        <f>IF(M15="PB SL Missed","Fill",IF(OR(M15="PB SL Not Missed",M15=""),"Do Not Fill"))</f>
        <v>Do Not Fill</v>
      </c>
      <c r="E19" s="27"/>
      <c r="G19" s="90"/>
      <c r="H19" s="90"/>
      <c r="I19" s="90"/>
      <c r="J19" s="83"/>
      <c r="K19" s="84"/>
      <c r="M19" s="14"/>
      <c r="N19" s="14"/>
      <c r="O19" s="14"/>
      <c r="P19" s="14"/>
      <c r="Q19" s="14"/>
      <c r="R19" s="14"/>
      <c r="S19" s="14"/>
      <c r="T19" s="14"/>
      <c r="U19" s="14"/>
      <c r="V19" s="5"/>
      <c r="W19" s="5"/>
      <c r="X19" s="5"/>
      <c r="Y19" s="5"/>
      <c r="Z19" s="5"/>
    </row>
    <row r="20" spans="1:26" ht="26.25" customHeight="1" x14ac:dyDescent="0.2">
      <c r="A20" s="5"/>
      <c r="B20" s="2" t="s">
        <v>31</v>
      </c>
      <c r="C20" s="2" t="str">
        <f>IF(I14="CB Entry Missed, Wait Till 09.30 AM","Fill",IF(OR(I14="CB Entry Not Missed, Place The Order at 09.25 AM",I14=""),"Do Not Fill"))</f>
        <v>Do Not Fill</v>
      </c>
      <c r="D20" s="2" t="s">
        <v>32</v>
      </c>
      <c r="E20" s="2" t="str">
        <f>IF(I15="PB Entry Missed, Wait Till 09.30 AM","Fill",IF(OR(I15="PB Entry Not Missed, Place The Order at 09.25 AM",I15=""),"Do Not Fill"))</f>
        <v>Do Not Fill</v>
      </c>
      <c r="G20" s="2" t="s">
        <v>33</v>
      </c>
      <c r="H20" s="1" t="str">
        <f>IF(H18&gt;0,MROUND(MAX(H18,I8),E4),"")</f>
        <v/>
      </c>
      <c r="I20" s="2" t="s">
        <v>33</v>
      </c>
      <c r="J20" s="88" t="str">
        <f>IF(J18&gt;0,MROUND(MIN(J18,I9),E4),"")</f>
        <v/>
      </c>
      <c r="K20" s="72"/>
      <c r="M20" s="14"/>
      <c r="N20" s="14"/>
      <c r="O20" s="14"/>
      <c r="P20" s="14"/>
      <c r="Q20" s="14"/>
      <c r="R20" s="14"/>
      <c r="S20" s="14"/>
      <c r="T20" s="14"/>
      <c r="U20" s="14"/>
      <c r="V20" s="5"/>
      <c r="W20" s="5"/>
      <c r="X20" s="5"/>
      <c r="Y20" s="5"/>
      <c r="Z20" s="5"/>
    </row>
    <row r="21" spans="1:26" ht="26.25" customHeight="1" x14ac:dyDescent="0.2">
      <c r="A21" s="5"/>
      <c r="B21" s="1" t="s">
        <v>34</v>
      </c>
      <c r="C21" s="27"/>
      <c r="D21" s="1" t="s">
        <v>35</v>
      </c>
      <c r="E21" s="27"/>
      <c r="G21" s="2" t="s">
        <v>71</v>
      </c>
      <c r="H21" s="2" t="s">
        <v>72</v>
      </c>
      <c r="I21" s="2" t="s">
        <v>71</v>
      </c>
      <c r="J21" s="71" t="s">
        <v>72</v>
      </c>
      <c r="K21" s="72"/>
      <c r="M21" s="14"/>
      <c r="N21" s="14"/>
      <c r="O21" s="14"/>
      <c r="P21" s="14"/>
      <c r="Q21" s="14"/>
      <c r="R21" s="14"/>
      <c r="S21" s="14"/>
      <c r="T21" s="14"/>
      <c r="U21" s="14"/>
      <c r="V21" s="5"/>
      <c r="W21" s="5"/>
      <c r="X21" s="5"/>
      <c r="Y21" s="5"/>
      <c r="Z21" s="5"/>
    </row>
    <row r="22" spans="1:26" ht="26.25" customHeight="1" x14ac:dyDescent="0.2">
      <c r="A22" s="5"/>
      <c r="B22" s="2" t="s">
        <v>33</v>
      </c>
      <c r="C22" s="1" t="str">
        <f>IF(C21&gt;0,MROUND(MAX(C21,I8),E4),"")</f>
        <v/>
      </c>
      <c r="D22" s="2" t="s">
        <v>33</v>
      </c>
      <c r="E22" s="1" t="str">
        <f>IF(E21&gt;0,MROUND(MIN(E21,I9),E4),"")</f>
        <v/>
      </c>
      <c r="G22" s="27"/>
      <c r="H22" s="27"/>
      <c r="I22" s="27"/>
      <c r="J22" s="94"/>
      <c r="K22" s="72"/>
      <c r="M22" s="14"/>
      <c r="N22" s="14"/>
      <c r="O22" s="14"/>
      <c r="P22" s="14"/>
      <c r="Q22" s="14"/>
      <c r="R22" s="14"/>
      <c r="S22" s="14"/>
      <c r="T22" s="14"/>
      <c r="U22" s="14"/>
      <c r="V22" s="5"/>
      <c r="W22" s="5"/>
      <c r="X22" s="5"/>
      <c r="Y22" s="5"/>
      <c r="Z22" s="5"/>
    </row>
    <row r="23" spans="1:26" ht="26.25" customHeight="1" x14ac:dyDescent="0.2">
      <c r="A23" s="5"/>
      <c r="B23" s="2" t="s">
        <v>71</v>
      </c>
      <c r="C23" s="27"/>
      <c r="D23" s="2" t="s">
        <v>71</v>
      </c>
      <c r="E23" s="27"/>
      <c r="G23" s="1" t="s">
        <v>36</v>
      </c>
      <c r="H23" s="1" t="s">
        <v>30</v>
      </c>
      <c r="I23" s="1" t="s">
        <v>36</v>
      </c>
      <c r="J23" s="88" t="s">
        <v>30</v>
      </c>
      <c r="K23" s="72"/>
      <c r="M23" s="14"/>
      <c r="N23" s="14"/>
      <c r="O23" s="14"/>
      <c r="P23" s="14"/>
      <c r="Q23" s="14"/>
      <c r="R23" s="14"/>
      <c r="S23" s="14"/>
      <c r="T23" s="14"/>
      <c r="U23" s="14"/>
      <c r="V23" s="5"/>
      <c r="W23" s="5"/>
      <c r="X23" s="5"/>
      <c r="Y23" s="5"/>
      <c r="Z23" s="5"/>
    </row>
    <row r="24" spans="1:26" ht="26.25" customHeight="1" x14ac:dyDescent="0.2">
      <c r="A24" s="5"/>
      <c r="B24" s="1" t="s">
        <v>37</v>
      </c>
      <c r="C24" s="27"/>
      <c r="D24" s="1" t="s">
        <v>37</v>
      </c>
      <c r="E24" s="27"/>
      <c r="G24" s="27"/>
      <c r="H24" s="27"/>
      <c r="I24" s="27"/>
      <c r="J24" s="94"/>
      <c r="K24" s="72"/>
      <c r="M24" s="14"/>
      <c r="N24" s="14"/>
      <c r="O24" s="14"/>
      <c r="P24" s="14"/>
      <c r="Q24" s="14"/>
      <c r="R24" s="14"/>
      <c r="S24" s="14"/>
      <c r="T24" s="14"/>
      <c r="U24" s="14"/>
      <c r="V24" s="5"/>
      <c r="W24" s="5"/>
      <c r="X24" s="5"/>
      <c r="Y24" s="5"/>
      <c r="Z24" s="5"/>
    </row>
    <row r="25" spans="1:26" ht="15.75" customHeight="1" x14ac:dyDescent="0.2">
      <c r="A25" s="5"/>
      <c r="M25" s="14"/>
      <c r="N25" s="14"/>
      <c r="O25" s="14"/>
      <c r="P25" s="14"/>
      <c r="Q25" s="14"/>
      <c r="R25" s="14"/>
      <c r="S25" s="14"/>
      <c r="T25" s="14"/>
      <c r="U25" s="14"/>
      <c r="V25" s="5"/>
      <c r="W25" s="5"/>
      <c r="X25" s="5"/>
      <c r="Y25" s="5"/>
      <c r="Z25" s="5"/>
    </row>
    <row r="26" spans="1:26" ht="30" customHeight="1" x14ac:dyDescent="0.2">
      <c r="A26" s="23"/>
      <c r="B26" s="30" t="s">
        <v>38</v>
      </c>
      <c r="C26" s="30" t="s">
        <v>39</v>
      </c>
      <c r="D26" s="30" t="s">
        <v>40</v>
      </c>
      <c r="E26" s="95" t="s">
        <v>41</v>
      </c>
      <c r="F26" s="72"/>
      <c r="G26" s="31" t="s">
        <v>42</v>
      </c>
      <c r="H26" s="30" t="s">
        <v>43</v>
      </c>
      <c r="I26" s="31" t="s">
        <v>44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41.25" customHeight="1" x14ac:dyDescent="0.2">
      <c r="A27" s="15"/>
      <c r="B27" s="31" t="s">
        <v>45</v>
      </c>
      <c r="C27" s="32" t="s">
        <v>75</v>
      </c>
      <c r="D27" s="32" t="s">
        <v>76</v>
      </c>
      <c r="E27" s="33" t="s">
        <v>77</v>
      </c>
      <c r="F27" s="34"/>
      <c r="G27" s="35" t="s">
        <v>46</v>
      </c>
      <c r="H27" s="32" t="s">
        <v>78</v>
      </c>
      <c r="I27" s="36" t="s">
        <v>79</v>
      </c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41.25" customHeight="1" x14ac:dyDescent="0.2">
      <c r="A28" s="15"/>
      <c r="B28" s="31" t="s">
        <v>47</v>
      </c>
      <c r="C28" s="32" t="s">
        <v>75</v>
      </c>
      <c r="D28" s="32" t="s">
        <v>80</v>
      </c>
      <c r="E28" s="33" t="s">
        <v>81</v>
      </c>
      <c r="F28" s="34"/>
      <c r="G28" s="35" t="s">
        <v>46</v>
      </c>
      <c r="H28" s="32" t="s">
        <v>82</v>
      </c>
      <c r="I28" s="36" t="s">
        <v>83</v>
      </c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37"/>
      <c r="C29" s="29"/>
      <c r="D29" s="29"/>
      <c r="E29" s="29"/>
      <c r="F29" s="29"/>
      <c r="G29" s="29"/>
      <c r="I29" s="29"/>
      <c r="J29" s="29"/>
      <c r="K29" s="29"/>
      <c r="M29" s="29"/>
      <c r="N29" s="29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30.75" customHeight="1" x14ac:dyDescent="0.2">
      <c r="A30" s="23"/>
      <c r="B30" s="30" t="s">
        <v>38</v>
      </c>
      <c r="C30" s="30" t="s">
        <v>39</v>
      </c>
      <c r="D30" s="96" t="s">
        <v>40</v>
      </c>
      <c r="E30" s="95" t="s">
        <v>48</v>
      </c>
      <c r="F30" s="72"/>
      <c r="G30" s="92" t="s">
        <v>42</v>
      </c>
      <c r="H30" s="96" t="s">
        <v>43</v>
      </c>
      <c r="I30" s="92" t="s">
        <v>44</v>
      </c>
      <c r="K30" s="31" t="s">
        <v>49</v>
      </c>
      <c r="L30" s="92" t="s">
        <v>50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ht="25.5" customHeight="1" x14ac:dyDescent="0.2">
      <c r="A31" s="23"/>
      <c r="B31" s="30" t="s">
        <v>51</v>
      </c>
      <c r="C31" s="38">
        <v>0.1</v>
      </c>
      <c r="D31" s="83"/>
      <c r="E31" s="93">
        <v>0.7</v>
      </c>
      <c r="F31" s="72"/>
      <c r="G31" s="90"/>
      <c r="H31" s="83"/>
      <c r="I31" s="90"/>
      <c r="K31" s="39">
        <v>0.1</v>
      </c>
      <c r="L31" s="90"/>
      <c r="R31" s="5"/>
      <c r="S31" s="5"/>
      <c r="T31" s="5"/>
      <c r="U31" s="5"/>
      <c r="V31" s="5"/>
      <c r="W31" s="5"/>
      <c r="X31" s="5"/>
      <c r="Y31" s="5"/>
      <c r="Z31" s="5"/>
    </row>
    <row r="32" spans="1:26" ht="48" customHeight="1" x14ac:dyDescent="0.2">
      <c r="A32" s="15"/>
      <c r="B32" s="31" t="str">
        <f>IF(AND(C8="Open",B8="Call Buy"),CONCATENATE("BANKNIFTY ",TEXT(D13,"DD-MMM-YYYY")," CE ",D8),IF(C22&lt;&gt;"",CONCATENATE("BANKNIFTY ",TEXT(D13,"DD-MMM-YYYY")," CE ",C22),IF(H20&lt;&gt;"",CONCATENATE("BANKNIFTY ",TEXT(D13,"DD-MMM-YYYY")," CE ",H20),IF(AND(C8="Close",B8="Call Buy"),CONCATENATE("BANKNIFTY ",TEXT(D13,"DD-MMM-YYYY")," CE ",C14)))))</f>
        <v>BANKNIFTY 15-Nov-2023 CE 43700</v>
      </c>
      <c r="C32" s="40">
        <f>MROUND(IF(AND(C8="Open",B8="Call Buy"),E8,K32*(1+C31)),0.05)</f>
        <v>145.20000000000002</v>
      </c>
      <c r="D32" s="40" t="str">
        <f>IF(AND(C8="Open",B8="Call Buy"),E8,"")</f>
        <v/>
      </c>
      <c r="E32" s="98">
        <f>IF(G32="TGT 1","N.A.",MROUND(C32*(1+E31),0.05))</f>
        <v>246.85000000000002</v>
      </c>
      <c r="F32" s="72"/>
      <c r="G32" s="42" t="str">
        <f>IF(AND(B8="Call Buy",G8="Target Not Achieved"),"NO TGT",IF(AND(B8="Call Buy",G8="Target 1 Achieved"),"TGT 1",""))</f>
        <v/>
      </c>
      <c r="H32" s="41">
        <f>IF(C19&gt;0,MROUND(L32*(1-C31),0.05),IF(OR(G32="",G32="NO TGT"),MAX(MROUND(C32*(1-E31),0.05),MROUND(L32*(1-C31),0.05)),"N.A."))</f>
        <v>94.5</v>
      </c>
      <c r="I32" s="43">
        <f>IF(C19&gt;0,MROUND(L32*(1-C31),0.05),IF(OR(G32="",G32="NO TGT",G32="TGT 1"),MAX(C32,MROUND(L32*(1-C31),0.05)),"N.A."))</f>
        <v>145.20000000000002</v>
      </c>
      <c r="K32" s="44">
        <f>IF(C24&gt;0,MAX(C24,C23),IF(G24&gt;0,MAX(G24,G22),D14))</f>
        <v>132</v>
      </c>
      <c r="L32" s="43">
        <f>IF(C19&gt;0,C19,IF(H24&gt;0,MIN(H22,H24),E14))</f>
        <v>105</v>
      </c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48" customHeight="1" x14ac:dyDescent="0.2">
      <c r="A33" s="15"/>
      <c r="B33" s="31" t="str">
        <f>IF(AND(C9="Open",B9="Put Buy"),CONCATENATE("BAKNIFTY ",TEXT(D13,"DD-MMM-YYYY")," PE ",D9),IF(E22&lt;&gt;"",CONCATENATE("BAKNIFTY ",TEXT(D13,"DD-MMM-YYYY")," PE ",E22),IF(J20&lt;&gt;"",CONCATENATE("BAKNIFTY ",TEXT(D13,"DD-MMM-YYYY")," PE ",J20),IF(AND(C9="Close",B9="Put Buy"),CONCATENATE("BAKNIFTY ",TEXT(D13,"DD-MMM-YYYY")," PE ",C15)))))</f>
        <v>BAKNIFTY 15-Nov-2023 PE 43700</v>
      </c>
      <c r="C33" s="40">
        <f>MROUND(IF(AND(C9="Open",B9="Put Buy"),E9,K33*(1+C31)),0.05)</f>
        <v>183.75</v>
      </c>
      <c r="D33" s="40" t="str">
        <f>IF(AND(C9="Open",B9="Put Buy"),E9,"")</f>
        <v/>
      </c>
      <c r="E33" s="98">
        <f>IF(G33="TGT 1","N.A.",MROUND(C33*(1+E31),0.05))</f>
        <v>312.40000000000003</v>
      </c>
      <c r="F33" s="72"/>
      <c r="G33" s="45" t="str">
        <f>IF(AND(B9="Put Buy",G9="Target Not Achieved"),"NO TGT",IF(AND(B9="Put Buy",G9="Target 1 Achieved"),"TGT 1",""))</f>
        <v/>
      </c>
      <c r="H33" s="41">
        <f>IF(E19&gt;0,MROUND(L33*(1-C31),0.05),IF(OR(G33="",G33="NO TGT"),MAX(MROUND(C33*(1-E31),0.05),MROUND(L33*(1-C31),0.05)),"N.A."))</f>
        <v>109.15</v>
      </c>
      <c r="I33" s="43">
        <f>IF(E19&gt;0,MROUND(L33*(1-C31),0.05),IF(OR(G33="",G33="NO TGT",G33="TGT 1"),MAX(C33,MROUND(L33*(1-C31),0.05)),"N.A."))</f>
        <v>183.75</v>
      </c>
      <c r="K33" s="44">
        <f>IF(E24&gt;0,MAX(E24,E23),IF(I24&gt;0,MAX(I24,I22),D15))</f>
        <v>167.05</v>
      </c>
      <c r="L33" s="43">
        <f>IF(E19&gt;0,E19,IF(J24&gt;0,MIN(J24,J22),E15))</f>
        <v>121.25</v>
      </c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9" customHeight="1" x14ac:dyDescent="0.2">
      <c r="A34" s="15"/>
      <c r="B34" s="37"/>
      <c r="C34" s="29"/>
      <c r="D34" s="29"/>
      <c r="E34" s="29"/>
      <c r="F34" s="29"/>
      <c r="G34" s="29"/>
      <c r="H34" s="29"/>
      <c r="I34" s="29"/>
      <c r="J34" s="29"/>
      <c r="K34" s="29"/>
      <c r="L34" s="37"/>
      <c r="M34" s="29"/>
      <c r="N34" s="29"/>
      <c r="O34" s="29"/>
      <c r="P34" s="29"/>
      <c r="Q34" s="29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3.25" customHeight="1" x14ac:dyDescent="0.2">
      <c r="A35" s="15"/>
      <c r="B35" s="46" t="s">
        <v>52</v>
      </c>
      <c r="C35" s="31" t="s">
        <v>53</v>
      </c>
      <c r="D35" s="31" t="s">
        <v>6</v>
      </c>
      <c r="E35" s="95" t="s">
        <v>54</v>
      </c>
      <c r="F35" s="72"/>
      <c r="G35" s="31" t="s">
        <v>55</v>
      </c>
      <c r="H35" s="30" t="s">
        <v>56</v>
      </c>
      <c r="I35" s="31" t="s">
        <v>57</v>
      </c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3.25" customHeight="1" x14ac:dyDescent="0.2">
      <c r="A36" s="5"/>
      <c r="B36" s="31" t="s">
        <v>58</v>
      </c>
      <c r="C36" s="19" t="str">
        <f>IF(AND(C8="Open",B8="Call Buy"),"No","Yes")</f>
        <v>Yes</v>
      </c>
      <c r="D36" s="66" t="str">
        <f>IF(AND(C36="Yes",I14="CB Entry Missed, Wait Till 09.30 AM"),"09:30 AM",IF(AND(OR(I14="",I14="CB Entry Not Missed, Place The Order at 09.25 AM"),C36="Yes"),"09:25 AM","-"))</f>
        <v>09:25 AM</v>
      </c>
      <c r="E36" s="99" t="str">
        <f>IF(C36="Yes","B.O.","-")</f>
        <v>B.O.</v>
      </c>
      <c r="F36" s="72"/>
      <c r="G36" s="19">
        <f>IF(C36="Yes",C4*2,"-")</f>
        <v>30</v>
      </c>
      <c r="H36" s="48">
        <f>IF(C36="Yes",MROUND(I36*(1+5%),0.05),"-")</f>
        <v>152.45000000000002</v>
      </c>
      <c r="I36" s="49">
        <f>IF(C36="Yes",C32,"-")</f>
        <v>145.20000000000002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2">
      <c r="A37" s="5"/>
      <c r="B37" s="31" t="s">
        <v>59</v>
      </c>
      <c r="C37" s="19" t="str">
        <f>IF(G32="NO TGT","Yes","No")</f>
        <v>No</v>
      </c>
      <c r="D37" s="19" t="str">
        <f>IF(C37="Yes","09:15 AM","-")</f>
        <v>-</v>
      </c>
      <c r="E37" s="99" t="str">
        <f t="shared" ref="E37:E38" si="0">IF(C37="Yes","S.O.","-")</f>
        <v>-</v>
      </c>
      <c r="F37" s="72"/>
      <c r="G37" s="19" t="str">
        <f>IF(C37="Yes",C4*1,"-")</f>
        <v>-</v>
      </c>
      <c r="H37" s="48" t="str">
        <f>IF(C37="Yes",E32,"-")</f>
        <v>-</v>
      </c>
      <c r="I37" s="49" t="str">
        <f>IF(C37="Yes",0,"-")</f>
        <v>-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ht="23.25" customHeight="1" x14ac:dyDescent="0.2">
      <c r="A38" s="5"/>
      <c r="B38" s="31" t="s">
        <v>60</v>
      </c>
      <c r="C38" s="19" t="str">
        <f>IF(OR(G32="NO TGT",G32="TGT 1"),"Yes","No")</f>
        <v>No</v>
      </c>
      <c r="D38" s="19" t="str">
        <f>IF(AND(C38="Yes",M14="CB SL Missed"),"09:30 AM",IF(AND(OR(M14="",M14="CB SL Not Missed"),C38="Yes"),"09:25 AM","-"))</f>
        <v>-</v>
      </c>
      <c r="E38" s="99" t="str">
        <f t="shared" si="0"/>
        <v>-</v>
      </c>
      <c r="F38" s="72"/>
      <c r="G38" s="19" t="str">
        <f>IF(G32="NO TGT",C4*2,IF(G32="TGT 1",C4*1,"-"))</f>
        <v>-</v>
      </c>
      <c r="H38" s="48" t="str">
        <f>IF(C38="Yes",MROUND(I38*(1-5%),0.05),"-")</f>
        <v>-</v>
      </c>
      <c r="I38" s="49" t="str">
        <f>IF(AND(C38="Yes",G32="NO TGT"),H32,IF(AND(C38="Yes",G32="TGT 1"),I32,"-"))</f>
        <v>-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24.75" customHeight="1" x14ac:dyDescent="0.2">
      <c r="A39" s="5"/>
      <c r="B39" s="50" t="s">
        <v>61</v>
      </c>
      <c r="C39" s="30" t="s">
        <v>53</v>
      </c>
      <c r="D39" s="31" t="s">
        <v>6</v>
      </c>
      <c r="E39" s="95" t="s">
        <v>54</v>
      </c>
      <c r="F39" s="72"/>
      <c r="G39" s="31" t="s">
        <v>55</v>
      </c>
      <c r="H39" s="31" t="s">
        <v>62</v>
      </c>
      <c r="I39" s="51" t="s">
        <v>57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24.75" customHeight="1" x14ac:dyDescent="0.2">
      <c r="A40" s="5"/>
      <c r="B40" s="31" t="s">
        <v>58</v>
      </c>
      <c r="C40" s="47" t="str">
        <f>IF(AND(C9="Open",B9="Put Buy"),"No","Yes")</f>
        <v>Yes</v>
      </c>
      <c r="D40" s="66" t="str">
        <f>IF(AND(C40="Yes",I15="PB Entry Missed, Wait Till 09.30 AM"),"09:30 AM",IF(AND(OR(I15="",I15="PB Entry Not Missed, Place The Order at 09.25 AM"),C40="Yes"),"09:25 AM","-"))</f>
        <v>09:25 AM</v>
      </c>
      <c r="E40" s="99" t="str">
        <f>IF(C40="Yes","B.O.","-")</f>
        <v>B.O.</v>
      </c>
      <c r="F40" s="72"/>
      <c r="G40" s="19">
        <f>IF(C40="Yes",C4*2,"-")</f>
        <v>30</v>
      </c>
      <c r="H40" s="49">
        <f>IF(C40="Yes",MROUND(I40*(1+5%),0.05),"-")</f>
        <v>192.95000000000002</v>
      </c>
      <c r="I40" s="49">
        <f>IF(C40="Yes",C33,"-")</f>
        <v>183.75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24.75" customHeight="1" x14ac:dyDescent="0.2">
      <c r="A41" s="5"/>
      <c r="B41" s="31" t="s">
        <v>59</v>
      </c>
      <c r="C41" s="47" t="str">
        <f>IF(G33="NO TGT","Yes","No")</f>
        <v>No</v>
      </c>
      <c r="D41" s="19" t="str">
        <f>IF(C41="Yes","09:15 AM","-")</f>
        <v>-</v>
      </c>
      <c r="E41" s="99" t="str">
        <f t="shared" ref="E41:E42" si="1">IF(C41="Yes","S.O.","-")</f>
        <v>-</v>
      </c>
      <c r="F41" s="72"/>
      <c r="G41" s="19" t="str">
        <f>IF(C41="Yes",C4*1,"-")</f>
        <v>-</v>
      </c>
      <c r="H41" s="49" t="str">
        <f>IF(C41="Yes",E33,"-")</f>
        <v>-</v>
      </c>
      <c r="I41" s="49" t="str">
        <f>IF(C41="Yes",0,"-")</f>
        <v>-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24.75" customHeight="1" x14ac:dyDescent="0.2">
      <c r="A42" s="5"/>
      <c r="B42" s="31" t="s">
        <v>60</v>
      </c>
      <c r="C42" s="47" t="str">
        <f>IF(OR(G33="NO TGT",G33="TGT 1"),"Yes","No")</f>
        <v>No</v>
      </c>
      <c r="D42" s="19" t="str">
        <f>IF(AND(C42="Yes",M15="PB SL Missed"),"09:30 AM",IF(AND(OR(M15="",M15="PB SL Not Missed"),C42="Yes"),"09:25 AM","-"))</f>
        <v>-</v>
      </c>
      <c r="E42" s="99" t="str">
        <f t="shared" si="1"/>
        <v>-</v>
      </c>
      <c r="F42" s="72"/>
      <c r="G42" s="52" t="str">
        <f>IF(G33="NO TGT",C4*2,IF(G33="TGT 1",C4*1,"-"))</f>
        <v>-</v>
      </c>
      <c r="H42" s="53" t="str">
        <f>IF(C42="Yes",MROUND(I42*(1-5%),0.05),"-")</f>
        <v>-</v>
      </c>
      <c r="I42" s="53" t="str">
        <f>IF(AND(C42="Yes",G33="NO TGT"),H33,IF(AND(C42="Yes",G33="TGT 1"),I33,IF(AND(C42="Yes",G33="TGT 2"),#REF!,"-")))</f>
        <v>-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24.75" customHeight="1" x14ac:dyDescent="0.2">
      <c r="A43" s="5"/>
      <c r="B43" s="46" t="s">
        <v>63</v>
      </c>
      <c r="C43" s="103">
        <f>COUNTIF(C36:Q42,"Yes")</f>
        <v>2</v>
      </c>
      <c r="D43" s="70"/>
      <c r="E43" s="70"/>
      <c r="F43" s="70"/>
      <c r="G43" s="97" t="s">
        <v>64</v>
      </c>
      <c r="H43" s="70"/>
      <c r="I43" s="72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00" t="s">
        <v>84</v>
      </c>
      <c r="B45" s="101"/>
      <c r="C45" s="102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4"/>
      <c r="B46" s="56" t="s">
        <v>65</v>
      </c>
      <c r="C46" s="1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4"/>
      <c r="B47" s="56" t="s">
        <v>66</v>
      </c>
      <c r="C47" s="1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4"/>
      <c r="B48" s="56" t="s">
        <v>67</v>
      </c>
      <c r="C48" s="1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4"/>
      <c r="B49" s="56" t="s">
        <v>68</v>
      </c>
      <c r="C49" s="1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4"/>
      <c r="B50" s="4"/>
      <c r="C50" s="4"/>
      <c r="D50" s="4"/>
      <c r="E50" s="4"/>
      <c r="F50" s="15"/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4"/>
      <c r="B51" s="4"/>
      <c r="C51" s="4"/>
      <c r="D51" s="56"/>
      <c r="E51" s="56"/>
      <c r="F51" s="57"/>
      <c r="G51" s="57" t="s">
        <v>69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</sheetData>
  <protectedRanges>
    <protectedRange sqref="C4 E4 G4 I4 D13 I8:J9 D14:E15 H14:H15 L14:L15 C19 E19 C21 E21 C23:C24 E23:E24 H18 J18 G22:K22 G24:K24 C8:G9" name="Edit"/>
  </protectedRanges>
  <mergeCells count="53">
    <mergeCell ref="C43:F43"/>
    <mergeCell ref="G43:I43"/>
    <mergeCell ref="A45:C45"/>
    <mergeCell ref="C11:C13"/>
    <mergeCell ref="D13:E13"/>
    <mergeCell ref="E37:F37"/>
    <mergeCell ref="E38:F38"/>
    <mergeCell ref="E39:F39"/>
    <mergeCell ref="E40:F40"/>
    <mergeCell ref="E41:F41"/>
    <mergeCell ref="E42:F42"/>
    <mergeCell ref="E36:F36"/>
    <mergeCell ref="E26:F26"/>
    <mergeCell ref="D30:D31"/>
    <mergeCell ref="L30:L31"/>
    <mergeCell ref="E31:F31"/>
    <mergeCell ref="E32:F32"/>
    <mergeCell ref="E33:F33"/>
    <mergeCell ref="E35:F35"/>
    <mergeCell ref="E30:F30"/>
    <mergeCell ref="G30:G31"/>
    <mergeCell ref="H30:H31"/>
    <mergeCell ref="I30:I31"/>
    <mergeCell ref="J24:K24"/>
    <mergeCell ref="K12:M12"/>
    <mergeCell ref="B17:C17"/>
    <mergeCell ref="D17:E17"/>
    <mergeCell ref="G17:H17"/>
    <mergeCell ref="I17:K17"/>
    <mergeCell ref="B18:C18"/>
    <mergeCell ref="D18:E18"/>
    <mergeCell ref="G18:G19"/>
    <mergeCell ref="H18:H19"/>
    <mergeCell ref="I18:I19"/>
    <mergeCell ref="J18:K19"/>
    <mergeCell ref="J20:K20"/>
    <mergeCell ref="J21:K21"/>
    <mergeCell ref="J22:K22"/>
    <mergeCell ref="J23:K23"/>
    <mergeCell ref="A1:K1"/>
    <mergeCell ref="E6:F6"/>
    <mergeCell ref="H6:J6"/>
    <mergeCell ref="E8:F8"/>
    <mergeCell ref="I8:J8"/>
    <mergeCell ref="O6:P7"/>
    <mergeCell ref="D7:G7"/>
    <mergeCell ref="H7:J7"/>
    <mergeCell ref="K11:M11"/>
    <mergeCell ref="G12:I12"/>
    <mergeCell ref="E9:F9"/>
    <mergeCell ref="I9:J9"/>
    <mergeCell ref="D11:E11"/>
    <mergeCell ref="G11:I11"/>
  </mergeCells>
  <conditionalFormatting sqref="C36:E38 B40:F42 H40:I42 G40:G43">
    <cfRule type="cellIs" dxfId="11" priority="1" operator="equal">
      <formula>"S.O."</formula>
    </cfRule>
    <cfRule type="cellIs" dxfId="10" priority="2" operator="equal">
      <formula>"B.O."</formula>
    </cfRule>
  </conditionalFormatting>
  <conditionalFormatting sqref="D7:G7">
    <cfRule type="cellIs" dxfId="9" priority="3" operator="equal">
      <formula>"Fill : Call Buy &amp; Put Buy Details"</formula>
    </cfRule>
    <cfRule type="containsText" dxfId="8" priority="4" operator="containsText" text="Fill : Put Buy Details">
      <formula>NOT(ISERROR(SEARCH(("Fill : Put Buy Details"),(D7))))</formula>
    </cfRule>
    <cfRule type="cellIs" dxfId="7" priority="5" operator="equal">
      <formula>"Fill : Call Buy Details"</formula>
    </cfRule>
    <cfRule type="cellIs" dxfId="6" priority="6" operator="equal">
      <formula>"Do Not Fill : Call Buy &amp; Put Buy Details"</formula>
    </cfRule>
  </conditionalFormatting>
  <conditionalFormatting sqref="G14:G15 K14:K15 B19 D19 C20 E20">
    <cfRule type="cellIs" dxfId="5" priority="11" operator="equal">
      <formula>"Do Not Fill"</formula>
    </cfRule>
    <cfRule type="cellIs" dxfId="4" priority="12" operator="equal">
      <formula>"Fill"</formula>
    </cfRule>
  </conditionalFormatting>
  <conditionalFormatting sqref="G43:G44 C43 N43:O43 D44:F44">
    <cfRule type="cellIs" dxfId="3" priority="7" operator="equal">
      <formula>"S.O."</formula>
    </cfRule>
    <cfRule type="cellIs" dxfId="2" priority="8" operator="equal">
      <formula>"B.O."</formula>
    </cfRule>
  </conditionalFormatting>
  <conditionalFormatting sqref="J11">
    <cfRule type="containsText" dxfId="1" priority="9" operator="containsText" text="Do Not Fill : ">
      <formula>NOT(ISERROR(SEARCH(("Do Not Fill : "),(J11))))</formula>
    </cfRule>
    <cfRule type="containsText" dxfId="0" priority="10" operator="containsText" text="Fill : ">
      <formula>NOT(ISERROR(SEARCH(("Fill : "),(J11))))</formula>
    </cfRule>
  </conditionalFormatting>
  <dataValidations count="2">
    <dataValidation type="list" allowBlank="1" showErrorMessage="1" sqref="G8:G9">
      <formula1>"Target Not Achieved,Target 1 Achieved"</formula1>
    </dataValidation>
    <dataValidation type="list" allowBlank="1" showErrorMessage="1" sqref="C8:C9">
      <formula1>"Open,Close"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09-Nov-2023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World</cp:lastModifiedBy>
  <dcterms:modified xsi:type="dcterms:W3CDTF">2023-11-21T10:56:31Z</dcterms:modified>
</cp:coreProperties>
</file>