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caler\Discounted_Cash_Flow_Modelling_case\"/>
    </mc:Choice>
  </mc:AlternateContent>
  <xr:revisionPtr revIDLastSave="0" documentId="13_ncr:1_{12226526-1A78-48A5-A76C-64F408AFFDB3}" xr6:coauthVersionLast="47" xr6:coauthVersionMax="47" xr10:uidLastSave="{00000000-0000-0000-0000-000000000000}"/>
  <bookViews>
    <workbookView xWindow="-110" yWindow="-110" windowWidth="19420" windowHeight="11500" firstSheet="5" activeTab="10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Sales_contribution" sheetId="10" r:id="rId8"/>
    <sheet name="Gross_margin" sheetId="11" r:id="rId9"/>
    <sheet name="Debt_to_equity " sheetId="9" r:id="rId10"/>
    <sheet name="Questions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1" l="1"/>
  <c r="E5" i="11"/>
  <c r="C5" i="11"/>
  <c r="D4" i="11"/>
  <c r="E4" i="11"/>
  <c r="C4" i="11"/>
  <c r="D24" i="1"/>
  <c r="E24" i="1"/>
  <c r="C24" i="1"/>
  <c r="E3" i="11"/>
  <c r="D3" i="11"/>
  <c r="C3" i="11"/>
  <c r="E6" i="10"/>
  <c r="D6" i="10"/>
  <c r="D8" i="10"/>
  <c r="D5" i="10"/>
  <c r="D7" i="10" s="1"/>
  <c r="E5" i="10"/>
  <c r="E8" i="10" s="1"/>
  <c r="C5" i="10"/>
  <c r="C7" i="10" s="1"/>
  <c r="D5" i="9"/>
  <c r="E5" i="9"/>
  <c r="F5" i="9"/>
  <c r="C5" i="9"/>
  <c r="D4" i="9"/>
  <c r="E4" i="9"/>
  <c r="F4" i="9"/>
  <c r="C4" i="9"/>
  <c r="D3" i="9"/>
  <c r="E3" i="9"/>
  <c r="F3" i="9"/>
  <c r="C3" i="9"/>
  <c r="C19" i="7"/>
  <c r="C18" i="7"/>
  <c r="C17" i="7"/>
  <c r="C16" i="7"/>
  <c r="C15" i="7"/>
  <c r="C10" i="7"/>
  <c r="C14" i="7"/>
  <c r="C13" i="7"/>
  <c r="H7" i="7"/>
  <c r="I7" i="7"/>
  <c r="J7" i="7"/>
  <c r="K7" i="7"/>
  <c r="G7" i="7"/>
  <c r="C12" i="7"/>
  <c r="C13" i="6"/>
  <c r="C12" i="6"/>
  <c r="C11" i="6"/>
  <c r="C10" i="6"/>
  <c r="E4" i="7"/>
  <c r="F4" i="7"/>
  <c r="G4" i="7"/>
  <c r="H4" i="7"/>
  <c r="I4" i="7"/>
  <c r="J4" i="7"/>
  <c r="K4" i="7"/>
  <c r="D4" i="7"/>
  <c r="F19" i="5"/>
  <c r="G19" i="5"/>
  <c r="H19" i="5"/>
  <c r="I19" i="5"/>
  <c r="J19" i="5"/>
  <c r="F17" i="5"/>
  <c r="G17" i="5"/>
  <c r="H17" i="5"/>
  <c r="I17" i="5"/>
  <c r="J17" i="5"/>
  <c r="F18" i="5"/>
  <c r="G18" i="5"/>
  <c r="H18" i="5"/>
  <c r="I18" i="5"/>
  <c r="J18" i="5"/>
  <c r="E18" i="5"/>
  <c r="G16" i="5"/>
  <c r="H16" i="5"/>
  <c r="I16" i="5"/>
  <c r="J16" i="5"/>
  <c r="F16" i="5"/>
  <c r="G15" i="5"/>
  <c r="H15" i="5"/>
  <c r="I15" i="5"/>
  <c r="J15" i="5"/>
  <c r="F15" i="5"/>
  <c r="G14" i="5"/>
  <c r="H14" i="5"/>
  <c r="I14" i="5"/>
  <c r="J14" i="5"/>
  <c r="F14" i="5"/>
  <c r="G13" i="5"/>
  <c r="H13" i="5"/>
  <c r="I13" i="5"/>
  <c r="J13" i="5"/>
  <c r="F13" i="5"/>
  <c r="G12" i="5"/>
  <c r="H12" i="5"/>
  <c r="I12" i="5"/>
  <c r="J12" i="5"/>
  <c r="F12" i="5"/>
  <c r="G11" i="5"/>
  <c r="H11" i="5"/>
  <c r="I11" i="5"/>
  <c r="J11" i="5"/>
  <c r="F11" i="5"/>
  <c r="G4" i="4"/>
  <c r="G5" i="4"/>
  <c r="G6" i="4"/>
  <c r="G7" i="4"/>
  <c r="H4" i="4" s="1"/>
  <c r="F7" i="4"/>
  <c r="F6" i="4"/>
  <c r="F5" i="4"/>
  <c r="F4" i="4"/>
  <c r="G10" i="5"/>
  <c r="H10" i="5"/>
  <c r="I10" i="5"/>
  <c r="J10" i="5"/>
  <c r="F10" i="5"/>
  <c r="G9" i="5"/>
  <c r="H9" i="5"/>
  <c r="I9" i="5"/>
  <c r="J9" i="5"/>
  <c r="F9" i="5"/>
  <c r="G8" i="5"/>
  <c r="H8" i="5"/>
  <c r="I8" i="5"/>
  <c r="J8" i="5"/>
  <c r="F8" i="5"/>
  <c r="G6" i="5"/>
  <c r="H6" i="5"/>
  <c r="I6" i="5"/>
  <c r="J6" i="5"/>
  <c r="F6" i="5"/>
  <c r="G5" i="5"/>
  <c r="H5" i="5"/>
  <c r="I5" i="5"/>
  <c r="J5" i="5"/>
  <c r="F5" i="5"/>
  <c r="G4" i="5"/>
  <c r="H4" i="5"/>
  <c r="I4" i="5"/>
  <c r="J4" i="5"/>
  <c r="F4" i="5"/>
  <c r="J22" i="5"/>
  <c r="I22" i="5"/>
  <c r="H22" i="5"/>
  <c r="G22" i="5"/>
  <c r="F22" i="5"/>
  <c r="E22" i="5"/>
  <c r="D22" i="5"/>
  <c r="C22" i="5"/>
  <c r="B22" i="5"/>
  <c r="E17" i="5"/>
  <c r="D18" i="5"/>
  <c r="D17" i="5" s="1"/>
  <c r="C18" i="5"/>
  <c r="C17" i="5" s="1"/>
  <c r="E15" i="5"/>
  <c r="D15" i="5"/>
  <c r="E13" i="5"/>
  <c r="D13" i="5"/>
  <c r="C13" i="5"/>
  <c r="C27" i="5" s="1"/>
  <c r="E11" i="5"/>
  <c r="D11" i="5"/>
  <c r="D5" i="4" s="1"/>
  <c r="D11" i="4" s="1"/>
  <c r="C11" i="5"/>
  <c r="C5" i="4" s="1"/>
  <c r="C11" i="4" s="1"/>
  <c r="F11" i="4" s="1"/>
  <c r="G11" i="4" s="1"/>
  <c r="H11" i="4" s="1"/>
  <c r="I11" i="4" s="1"/>
  <c r="J11" i="4" s="1"/>
  <c r="E9" i="5"/>
  <c r="D9" i="5"/>
  <c r="C9" i="5"/>
  <c r="E8" i="5"/>
  <c r="E26" i="5" s="1"/>
  <c r="D8" i="5"/>
  <c r="D26" i="5" s="1"/>
  <c r="C8" i="5"/>
  <c r="C26" i="5" s="1"/>
  <c r="F26" i="5" s="1"/>
  <c r="G26" i="5" s="1"/>
  <c r="H26" i="5" s="1"/>
  <c r="I26" i="5" s="1"/>
  <c r="J26" i="5" s="1"/>
  <c r="C6" i="5"/>
  <c r="C10" i="5" s="1"/>
  <c r="C12" i="5" s="1"/>
  <c r="C14" i="5" s="1"/>
  <c r="E5" i="5"/>
  <c r="E25" i="5" s="1"/>
  <c r="D5" i="5"/>
  <c r="D25" i="5" s="1"/>
  <c r="C5" i="5"/>
  <c r="C25" i="5" s="1"/>
  <c r="F25" i="5" s="1"/>
  <c r="G25" i="5" s="1"/>
  <c r="H25" i="5" s="1"/>
  <c r="I25" i="5" s="1"/>
  <c r="J25" i="5" s="1"/>
  <c r="E4" i="5"/>
  <c r="E23" i="5" s="1"/>
  <c r="D4" i="5"/>
  <c r="D23" i="5" s="1"/>
  <c r="C4" i="5"/>
  <c r="G12" i="4"/>
  <c r="H12" i="4" s="1"/>
  <c r="I12" i="4" s="1"/>
  <c r="J12" i="4" s="1"/>
  <c r="E11" i="4"/>
  <c r="E7" i="4"/>
  <c r="E6" i="4" s="1"/>
  <c r="D7" i="4"/>
  <c r="D6" i="4" s="1"/>
  <c r="C7" i="4"/>
  <c r="E5" i="4"/>
  <c r="E4" i="4"/>
  <c r="D4" i="4"/>
  <c r="C4" i="4"/>
  <c r="C8" i="10" l="1"/>
  <c r="E7" i="10"/>
  <c r="H5" i="4"/>
  <c r="H6" i="4"/>
  <c r="H7" i="4"/>
  <c r="I4" i="4" s="1"/>
  <c r="C6" i="4"/>
  <c r="D16" i="5"/>
  <c r="D12" i="4"/>
  <c r="E16" i="5"/>
  <c r="E12" i="4"/>
  <c r="D6" i="5"/>
  <c r="D10" i="5" s="1"/>
  <c r="D12" i="5" s="1"/>
  <c r="D14" i="5" s="1"/>
  <c r="D19" i="5" s="1"/>
  <c r="E6" i="5"/>
  <c r="E10" i="5" s="1"/>
  <c r="E12" i="5" s="1"/>
  <c r="E14" i="5" s="1"/>
  <c r="E19" i="5" s="1"/>
  <c r="C15" i="5"/>
  <c r="I5" i="4" l="1"/>
  <c r="I6" i="4"/>
  <c r="I7" i="4"/>
  <c r="J4" i="4" s="1"/>
  <c r="E27" i="5"/>
  <c r="D27" i="5"/>
  <c r="C12" i="4"/>
  <c r="C16" i="5"/>
  <c r="C19" i="5" s="1"/>
  <c r="J5" i="4" l="1"/>
  <c r="J6" i="4"/>
  <c r="J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<sst xmlns="http://schemas.openxmlformats.org/spreadsheetml/2006/main" count="227" uniqueCount="197">
  <si>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</si>
  <si>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</si>
  <si>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</si>
  <si>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</si>
  <si>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</si>
  <si>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</si>
  <si>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</si>
  <si>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</si>
  <si>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</si>
  <si>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</si>
  <si>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</si>
  <si>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</si>
  <si>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</si>
  <si>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</si>
  <si>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</si>
  <si>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</si>
  <si>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</si>
  <si>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</si>
  <si>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</si>
  <si>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</si>
  <si>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</si>
  <si>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</si>
  <si>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</si>
  <si>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</si>
  <si>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</si>
  <si>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</si>
  <si>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</si>
  <si>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</si>
  <si>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</si>
  <si>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</si>
  <si>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</si>
  <si>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</si>
  <si>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</si>
  <si>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</si>
  <si>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</si>
  <si>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</si>
  <si>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</si>
  <si>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</si>
  <si>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</si>
  <si>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</si>
  <si>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</si>
  <si>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</si>
  <si>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</si>
  <si>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</si>
  <si>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</si>
  <si>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</si>
  <si>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</si>
  <si>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</si>
  <si>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</si>
  <si>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</si>
  <si>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</si>
  <si>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</si>
  <si>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</si>
  <si>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</si>
  <si>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</si>
  <si>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</si>
  <si>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</si>
  <si>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</si>
  <si>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</si>
  <si>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</si>
  <si>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</si>
  <si>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</si>
  <si>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</si>
  <si>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</si>
  <si>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</si>
  <si>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</si>
  <si>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</si>
  <si>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</si>
  <si>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</si>
  <si>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</si>
  <si>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</si>
  <si>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</si>
  <si>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</si>
  <si>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</si>
  <si>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</si>
  <si>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</si>
  <si>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</si>
  <si>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</si>
  <si>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</si>
  <si>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</si>
  <si>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</si>
  <si>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</si>
  <si>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</si>
  <si>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</si>
  <si>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</si>
  <si>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</si>
  <si>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</si>
  <si>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</si>
  <si>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</si>
  <si>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</si>
  <si>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</si>
  <si>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</si>
  <si>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</si>
  <si>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</si>
  <si>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</si>
  <si>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</si>
  <si>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</si>
  <si>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</si>
  <si>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</si>
  <si>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</si>
  <si>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</si>
  <si>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</si>
  <si>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</si>
  <si>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</si>
  <si>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</si>
  <si>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</si>
  <si>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</si>
  <si>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</si>
  <si>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</si>
  <si>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</si>
  <si>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</si>
  <si>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</si>
  <si>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</si>
  <si>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</si>
  <si>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</si>
  <si>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</si>
  <si>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</si>
  <si>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</si>
  <si>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</si>
  <si>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</si>
  <si>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</si>
  <si>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</si>
  <si>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</si>
  <si>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</si>
  <si>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</si>
  <si>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</si>
  <si>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</si>
  <si>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</si>
  <si>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</si>
  <si>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</si>
  <si>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</si>
  <si>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</si>
  <si>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</si>
  <si>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</si>
  <si>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</si>
  <si>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</si>
  <si>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</si>
  <si>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</si>
  <si>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</si>
  <si>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</si>
  <si>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</si>
  <si>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</si>
  <si>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</si>
  <si>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</si>
  <si>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</si>
  <si>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</si>
  <si>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</si>
  <si>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</si>
  <si>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</si>
  <si>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</si>
  <si>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</si>
  <si>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</si>
  <si>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</si>
  <si>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</si>
  <si>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</si>
  <si>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</si>
  <si>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</si>
  <si>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</si>
  <si>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</si>
  <si>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</si>
  <si>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</si>
  <si>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</si>
  <si>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</si>
  <si>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</si>
  <si>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</si>
  <si>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</si>
  <si>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</si>
  <si>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</si>
  <si>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</si>
  <si>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</si>
  <si>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</si>
  <si>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</si>
  <si>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</si>
  <si>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</si>
  <si>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</si>
  <si>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</si>
  <si>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</si>
  <si>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</si>
  <si>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</si>
  <si>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</si>
  <si>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</si>
  <si>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</si>
  <si>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</si>
  <si>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</si>
  <si>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</si>
  <si>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</si>
  <si>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</si>
  <si>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</si>
  <si>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>Year</t>
  </si>
  <si>
    <t>Debt_to_equity</t>
  </si>
  <si>
    <t>Merchandise Sales Revenue in %</t>
  </si>
  <si>
    <t>Membership Fee Revenue in %</t>
  </si>
  <si>
    <t>Total revenue in %</t>
  </si>
  <si>
    <t>total expense</t>
  </si>
  <si>
    <t>year</t>
  </si>
  <si>
    <t>Gross margin</t>
  </si>
  <si>
    <t>Please refer the word doc for answers and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</si>
</sst>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26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0" fontId="5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164" fontId="3" fillId="0" borderId="0" xfId="0" applyNumberFormat="1" applyFont="1"/>
    <xf numFmtId="3" fontId="3" fillId="3" borderId="1" xfId="0" applyNumberFormat="1" applyFont="1" applyFill="1" applyBorder="1"/>
    <xf numFmtId="0" fontId="4" fillId="0" borderId="1" xfId="0" applyFont="1" applyBorder="1"/>
    <xf numFmtId="4" fontId="3" fillId="0" borderId="0" xfId="0" applyNumberFormat="1" applyFont="1"/>
    <xf numFmtId="3" fontId="3" fillId="0" borderId="0" xfId="0" applyNumberFormat="1" applyFont="1"/>
    <xf numFmtId="0" fontId="6" fillId="4" borderId="0" xfId="0" applyFont="1" applyFill="1"/>
    <xf numFmtId="0" fontId="7" fillId="4" borderId="1" xfId="0" applyFont="1" applyFill="1" applyBorder="1"/>
    <xf numFmtId="3" fontId="8" fillId="4" borderId="1" xfId="0" applyNumberFormat="1" applyFont="1" applyFill="1" applyBorder="1"/>
    <xf numFmtId="0" fontId="10" fillId="2" borderId="2" xfId="0" applyFon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166" fontId="3" fillId="3" borderId="3" xfId="0" applyNumberFormat="1" applyFont="1" applyFill="1" applyBorder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13" fillId="0" borderId="4" xfId="0" applyFont="1" applyBorder="1"/>
    <xf numFmtId="3" fontId="13" fillId="0" borderId="4" xfId="0" applyNumberFormat="1" applyFont="1" applyBorder="1"/>
    <xf numFmtId="0" fontId="3" fillId="5" borderId="2" xfId="0" applyFont="1" applyFill="1" applyBorder="1"/>
    <xf numFmtId="167" fontId="3" fillId="5" borderId="2" xfId="0" applyNumberFormat="1" applyFont="1" applyFill="1" applyBorder="1"/>
    <xf numFmtId="167" fontId="3" fillId="0" borderId="0" xfId="0" applyNumberFormat="1" applyFont="1"/>
    <xf numFmtId="168" fontId="3" fillId="0" borderId="0" xfId="0" applyNumberFormat="1" applyFont="1"/>
    <xf numFmtId="0" fontId="3" fillId="0" borderId="5" xfId="0" applyFont="1" applyBorder="1"/>
    <xf numFmtId="168" fontId="3" fillId="0" borderId="5" xfId="0" applyNumberFormat="1" applyFont="1" applyBorder="1"/>
    <xf numFmtId="0" fontId="13" fillId="0" borderId="0" xfId="0" applyFont="1"/>
    <xf numFmtId="168" fontId="13" fillId="0" borderId="0" xfId="0" applyNumberFormat="1" applyFont="1"/>
    <xf numFmtId="0" fontId="3" fillId="0" borderId="0" xfId="0" applyFont="1" applyAlignment="1">
      <alignment horizontal="left"/>
    </xf>
    <xf numFmtId="0" fontId="13" fillId="4" borderId="6" xfId="0" applyFont="1" applyFill="1" applyBorder="1"/>
    <xf numFmtId="168" fontId="13" fillId="4" borderId="6" xfId="0" applyNumberFormat="1" applyFont="1" applyFill="1" applyBorder="1"/>
    <xf numFmtId="0" fontId="6" fillId="0" borderId="0" xfId="0" applyFont="1"/>
    <xf numFmtId="0" fontId="3" fillId="0" borderId="0" xfId="0" applyFont="1"/>
    <xf numFmtId="4" fontId="15" fillId="0" borderId="0" xfId="0" applyNumberFormat="1" applyFont="1"/>
    <xf numFmtId="0" fontId="16" fillId="0" borderId="0" xfId="0" applyFont="1"/>
    <xf numFmtId="167" fontId="15" fillId="0" borderId="0" xfId="0" applyNumberFormat="1" applyFont="1"/>
    <xf numFmtId="167" fontId="8" fillId="0" borderId="0" xfId="0" applyNumberFormat="1" applyFont="1"/>
    <xf numFmtId="0" fontId="8" fillId="0" borderId="0" xfId="0" applyFont="1"/>
    <xf numFmtId="167" fontId="17" fillId="4" borderId="6" xfId="0" applyNumberFormat="1" applyFont="1" applyFill="1" applyBorder="1"/>
    <xf numFmtId="167" fontId="4" fillId="0" borderId="0" xfId="0" applyNumberFormat="1" applyFont="1"/>
    <xf numFmtId="9" fontId="15" fillId="0" borderId="0" xfId="0" applyNumberFormat="1" applyFont="1"/>
    <xf numFmtId="0" fontId="4" fillId="6" borderId="0" xfId="0" applyFont="1" applyFill="1"/>
    <xf numFmtId="0" fontId="3" fillId="6" borderId="4" xfId="0" applyFont="1" applyFill="1" applyBorder="1"/>
    <xf numFmtId="3" fontId="3" fillId="6" borderId="4" xfId="0" applyNumberFormat="1" applyFont="1" applyFill="1" applyBorder="1"/>
    <xf numFmtId="0" fontId="18" fillId="7" borderId="0" xfId="0" applyFont="1" applyFill="1"/>
    <xf numFmtId="0" fontId="9" fillId="0" borderId="0" xfId="0" applyFont="1" applyAlignment="1">
      <alignment horizontal="center" vertical="center"/>
    </xf>
    <xf numFmtId="0" fontId="0" fillId="0" borderId="0" xfId="0"/>
    <xf numFmtId="0" fontId="10" fillId="2" borderId="7" xfId="0" applyFont="1" applyFill="1" applyBorder="1" applyAlignment="1">
      <alignment horizontal="center"/>
    </xf>
    <xf numFmtId="0" fontId="14" fillId="0" borderId="8" xfId="0" applyFont="1" applyBorder="1"/>
    <xf numFmtId="3" fontId="0" fillId="0" borderId="0" xfId="0" applyNumberFormat="1"/>
    <xf numFmtId="0" fontId="3" fillId="0" borderId="1" xfId="0" applyFont="1" applyBorder="1"/>
    <xf numFmtId="0" fontId="2" fillId="2" borderId="5" xfId="0" applyFont="1" applyFill="1" applyBorder="1"/>
    <xf numFmtId="0" fontId="3" fillId="3" borderId="1" xfId="0" applyFont="1" applyFill="1" applyBorder="1"/>
    <xf numFmtId="0" fontId="5" fillId="3" borderId="10" xfId="0" applyFont="1" applyFill="1" applyBorder="1"/>
    <xf numFmtId="3" fontId="3" fillId="0" borderId="10" xfId="0" applyNumberFormat="1" applyFont="1" applyBorder="1"/>
    <xf numFmtId="0" fontId="3" fillId="3" borderId="11" xfId="0" applyFont="1" applyFill="1" applyBorder="1"/>
    <xf numFmtId="3" fontId="3" fillId="0" borderId="11" xfId="0" applyNumberFormat="1" applyFont="1" applyBorder="1"/>
    <xf numFmtId="0" fontId="3" fillId="3" borderId="9" xfId="0" applyFont="1" applyFill="1" applyBorder="1"/>
    <xf numFmtId="3" fontId="0" fillId="0" borderId="9" xfId="0" applyNumberFormat="1" applyBorder="1"/>
    <xf numFmtId="0" fontId="24" fillId="3" borderId="1" xfId="0" applyFont="1" applyFill="1" applyBorder="1"/>
    <xf numFmtId="3" fontId="22" fillId="0" borderId="0" xfId="0" applyNumberFormat="1" applyFont="1"/>
    <xf numFmtId="0" fontId="23" fillId="3" borderId="1" xfId="0" applyFont="1" applyFill="1" applyBorder="1"/>
    <xf numFmtId="0" fontId="2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Sales_contribution!$B$3</c:f>
              <c:strCache>
                <c:ptCount val="1"/>
                <c:pt idx="0">
                  <c:v>Merchandise Sales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C4-4716-B656-B3460A62668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C4-4716-B656-B3460A62668A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C4-4716-B656-B3460A6266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Sales_contribution!$C$2:$E$2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20221</c:v>
                </c:pt>
              </c:numCache>
            </c:numRef>
          </c:cat>
          <c:val>
            <c:numRef>
              <c:f>Sales_contribution!$C$3:$E$3</c:f>
              <c:numCache>
                <c:formatCode>#,##0</c:formatCode>
                <c:ptCount val="3"/>
                <c:pt idx="0">
                  <c:v>149351</c:v>
                </c:pt>
                <c:pt idx="1">
                  <c:v>163220</c:v>
                </c:pt>
                <c:pt idx="2">
                  <c:v>192052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4-4716-B656-B3460A62668A}"/>
            </c:ext>
          </c:extLst>
        </c:ser>
        <c:ser>
          <c:idx val="1"/>
          <c:order val="1"/>
          <c:tx>
            <c:strRef>
              <c:f>Sales_contribution!$B$4</c:f>
              <c:strCache>
                <c:ptCount val="1"/>
                <c:pt idx="0">
                  <c:v>Membership Fee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Sales_contribution!$C$2:$E$2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20221</c:v>
                </c:pt>
              </c:numCache>
            </c:numRef>
          </c:cat>
          <c:val>
            <c:numRef>
              <c:f>Sales_contribution!$C$4:$E$4</c:f>
              <c:numCache>
                <c:formatCode>#,##0</c:formatCode>
                <c:ptCount val="3"/>
                <c:pt idx="0">
                  <c:v>3352</c:v>
                </c:pt>
                <c:pt idx="1">
                  <c:v>3541</c:v>
                </c:pt>
                <c:pt idx="2">
                  <c:v>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4-4716-B656-B3460A62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60095"/>
        <c:axId val="776258175"/>
      </c:barChart>
      <c:catAx>
        <c:axId val="7762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58175"/>
        <c:crosses val="autoZero"/>
        <c:auto val="1"/>
        <c:lblAlgn val="ctr"/>
        <c:lblOffset val="100"/>
        <c:noMultiLvlLbl val="0"/>
      </c:catAx>
      <c:valAx>
        <c:axId val="7762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Gross_margin!$B$5</c:f>
              <c:strCache>
                <c:ptCount val="1"/>
                <c:pt idx="0">
                  <c:v>Gross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Gross_margin!$C$2:$E$2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Gross_margin!$C$5:$E$5</c:f>
              <c:numCache>
                <c:formatCode>General</c:formatCode>
                <c:ptCount val="3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4-478B-B695-C4D74A61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65199"/>
        <c:axId val="938467599"/>
      </c:lineChart>
      <c:catAx>
        <c:axId val="9384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67599"/>
        <c:crosses val="autoZero"/>
        <c:auto val="1"/>
        <c:lblAlgn val="ctr"/>
        <c:lblOffset val="100"/>
        <c:noMultiLvlLbl val="0"/>
      </c:catAx>
      <c:valAx>
        <c:axId val="9384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1</xdr:row>
      <xdr:rowOff>101600</xdr:rowOff>
    </xdr:from>
    <xdr:to>
      <xdr:col>14</xdr:col>
      <xdr:colOff>12699</xdr:colOff>
      <xdr:row>18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8B6D2B-3D5D-D885-7DD7-F715FE73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</xdr:colOff>
      <xdr:row>6</xdr:row>
      <xdr:rowOff>120650</xdr:rowOff>
    </xdr:from>
    <xdr:to>
      <xdr:col>4</xdr:col>
      <xdr:colOff>714375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C10AF-BFE1-36A7-661B-52A3DA0B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93" workbookViewId="0">
      <selection activeCell="B24" sqref="B24"/>
    </sheetView>
  </sheetViews>
  <sheetFormatPr defaultColWidth="14.453125" defaultRowHeight="15" customHeight="1"/>
  <cols>
    <col min="1" max="1" width="8.81640625" customWidth="1"/>
    <col min="2" max="2" width="69.453125" customWidth="1"/>
    <col min="3" max="6" width="15.453125" customWidth="1"/>
    <col min="7" max="7" width="8.81640625" customWidth="1"/>
  </cols>
  <sheetData>
    <row r="1" spans="1:26" ht="14.25" customHeight="1"/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C3" s="3" t="s">
        <v>1</v>
      </c>
      <c r="D3" s="3" t="s">
        <v>2</v>
      </c>
      <c r="E3" s="3" t="s">
        <v>3</v>
      </c>
    </row>
    <row r="4" spans="1:26" ht="14.25" customHeight="1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B5" s="7" t="s">
        <v>5</v>
      </c>
      <c r="C5" s="8">
        <v>152703</v>
      </c>
      <c r="D5" s="8">
        <v>166761</v>
      </c>
      <c r="E5" s="8">
        <v>195929</v>
      </c>
    </row>
    <row r="6" spans="1:26" ht="14.25" customHeight="1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B7" s="7" t="s">
        <v>7</v>
      </c>
      <c r="C7" s="9">
        <v>132886</v>
      </c>
      <c r="D7" s="9">
        <v>144939</v>
      </c>
      <c r="E7" s="9">
        <v>170684</v>
      </c>
    </row>
    <row r="8" spans="1:26" ht="14.25" customHeight="1">
      <c r="B8" s="7" t="s">
        <v>8</v>
      </c>
      <c r="C8" s="9">
        <v>13502</v>
      </c>
      <c r="D8" s="9">
        <v>14687</v>
      </c>
      <c r="E8" s="9">
        <v>16680</v>
      </c>
      <c r="G8" s="10"/>
    </row>
    <row r="9" spans="1:26" ht="14.25" customHeight="1">
      <c r="B9" s="7" t="s">
        <v>9</v>
      </c>
      <c r="C9" s="9">
        <v>1492</v>
      </c>
      <c r="D9" s="9">
        <v>1645</v>
      </c>
      <c r="E9" s="9">
        <v>1781</v>
      </c>
    </row>
    <row r="10" spans="1:26" ht="14.25" customHeight="1">
      <c r="B10" s="7" t="s">
        <v>10</v>
      </c>
      <c r="C10" s="9">
        <v>86</v>
      </c>
      <c r="D10" s="9">
        <v>55</v>
      </c>
      <c r="E10" s="9">
        <v>76</v>
      </c>
    </row>
    <row r="11" spans="1:26" ht="14.25" customHeight="1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>
      <c r="A12" s="4"/>
      <c r="B12" s="5" t="s">
        <v>12</v>
      </c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B13" s="7" t="s">
        <v>13</v>
      </c>
      <c r="C13" s="9">
        <v>-150</v>
      </c>
      <c r="D13" s="9">
        <v>-160</v>
      </c>
      <c r="E13" s="9">
        <v>-171</v>
      </c>
    </row>
    <row r="14" spans="1:26" ht="14.25" customHeight="1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>
      <c r="B15" s="7" t="s">
        <v>15</v>
      </c>
      <c r="C15" s="9">
        <v>4765</v>
      </c>
      <c r="D15" s="9">
        <v>5367</v>
      </c>
      <c r="E15" s="9">
        <v>6680</v>
      </c>
    </row>
    <row r="16" spans="1:26" ht="14.25" customHeight="1">
      <c r="B16" s="7" t="s">
        <v>16</v>
      </c>
      <c r="C16" s="9">
        <v>1061</v>
      </c>
      <c r="D16" s="9">
        <v>1308</v>
      </c>
      <c r="E16" s="9">
        <v>1601</v>
      </c>
    </row>
    <row r="17" spans="2:6" ht="14.25" customHeight="1">
      <c r="B17" s="7" t="s">
        <v>17</v>
      </c>
      <c r="C17" s="9">
        <v>3704</v>
      </c>
      <c r="D17" s="9">
        <v>4059</v>
      </c>
      <c r="E17" s="9">
        <v>5079</v>
      </c>
    </row>
    <row r="18" spans="2:6" ht="14.25" customHeight="1">
      <c r="B18" s="12"/>
      <c r="C18" s="9"/>
      <c r="D18" s="9"/>
      <c r="E18" s="9"/>
    </row>
    <row r="19" spans="2:6" ht="14.25" customHeight="1">
      <c r="B19" s="7" t="s">
        <v>18</v>
      </c>
      <c r="C19" s="9">
        <v>442923</v>
      </c>
      <c r="D19" s="9">
        <v>443901</v>
      </c>
      <c r="E19" s="9">
        <v>444346</v>
      </c>
    </row>
    <row r="20" spans="2:6" ht="14.25" customHeight="1">
      <c r="B20" s="12"/>
      <c r="C20" s="9"/>
      <c r="D20" s="9"/>
      <c r="E20" s="9"/>
    </row>
    <row r="21" spans="2:6" ht="14.25" customHeight="1">
      <c r="B21" s="7" t="s">
        <v>19</v>
      </c>
      <c r="C21" s="9">
        <v>149351</v>
      </c>
      <c r="D21" s="9">
        <v>163220</v>
      </c>
      <c r="E21" s="9">
        <v>192052</v>
      </c>
    </row>
    <row r="22" spans="2:6" ht="14.25" customHeight="1">
      <c r="B22" s="7" t="s">
        <v>20</v>
      </c>
      <c r="C22" s="9">
        <v>3352</v>
      </c>
      <c r="D22" s="9">
        <v>3541</v>
      </c>
      <c r="E22" s="9">
        <v>3877</v>
      </c>
    </row>
    <row r="23" spans="2:6" ht="14.25" customHeight="1">
      <c r="D23" s="13"/>
      <c r="E23" s="13"/>
      <c r="F23" s="13"/>
    </row>
    <row r="24" spans="2:6" ht="14.25" customHeight="1">
      <c r="B24" s="66" t="s">
        <v>193</v>
      </c>
      <c r="C24" s="67">
        <f>C7+C8+C9+C10+C13+C16</f>
        <v>148877</v>
      </c>
      <c r="D24" s="67">
        <f t="shared" ref="D24:E24" si="0">D7+D8+D9+D10+D13+D16</f>
        <v>162474</v>
      </c>
      <c r="E24" s="67">
        <f t="shared" si="0"/>
        <v>190651</v>
      </c>
      <c r="F24" s="14"/>
    </row>
    <row r="25" spans="2:6" ht="14.25" customHeight="1">
      <c r="D25" s="14"/>
      <c r="E25" s="14"/>
      <c r="F25" s="14"/>
    </row>
    <row r="26" spans="2:6" ht="14.25" customHeight="1">
      <c r="D26" s="14"/>
      <c r="E26" s="14"/>
      <c r="F26" s="14"/>
    </row>
    <row r="27" spans="2:6" ht="14.25" customHeight="1">
      <c r="D27" s="14"/>
      <c r="E27" s="14"/>
      <c r="F27" s="14"/>
    </row>
    <row r="28" spans="2:6" ht="14.25" customHeight="1">
      <c r="D28" s="14"/>
      <c r="E28" s="14"/>
      <c r="F28" s="14"/>
    </row>
    <row r="29" spans="2:6" ht="14.25" customHeight="1">
      <c r="D29" s="14"/>
      <c r="E29" s="14"/>
      <c r="F29" s="14"/>
    </row>
    <row r="30" spans="2:6" ht="14.25" customHeight="1"/>
    <row r="31" spans="2:6" ht="14.25" customHeight="1"/>
    <row r="32" spans="2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CAB8-FF72-451D-A971-FF357B15CD1C}">
  <dimension ref="B1:F5"/>
  <sheetViews>
    <sheetView workbookViewId="0">
      <selection activeCell="H21" sqref="H21"/>
    </sheetView>
  </sheetViews>
  <sheetFormatPr defaultRowHeight="14.5"/>
  <cols>
    <col min="2" max="2" width="43.453125" bestFit="1" customWidth="1"/>
  </cols>
  <sheetData>
    <row r="1" spans="2:6">
      <c r="B1" s="2" t="s">
        <v>21</v>
      </c>
      <c r="C1" s="2"/>
      <c r="D1" s="2"/>
      <c r="E1" s="2"/>
      <c r="F1" s="2"/>
    </row>
    <row r="2" spans="2:6">
      <c r="B2" s="5" t="s">
        <v>188</v>
      </c>
      <c r="C2">
        <v>2018</v>
      </c>
      <c r="D2">
        <v>2019</v>
      </c>
      <c r="E2">
        <v>2020</v>
      </c>
      <c r="F2">
        <v>2021</v>
      </c>
    </row>
    <row r="3" spans="2:6">
      <c r="B3" s="5" t="s">
        <v>56</v>
      </c>
      <c r="C3" s="56">
        <f>'Balance Sheet'!C36</f>
        <v>13103</v>
      </c>
      <c r="D3" s="56">
        <f>'Balance Sheet'!D36</f>
        <v>15584</v>
      </c>
      <c r="E3" s="56">
        <f>'Balance Sheet'!E36</f>
        <v>18705</v>
      </c>
      <c r="F3" s="56">
        <f>'Balance Sheet'!F36</f>
        <v>18078</v>
      </c>
    </row>
    <row r="4" spans="2:6">
      <c r="B4" s="5" t="s">
        <v>47</v>
      </c>
      <c r="C4" s="56">
        <f>'Balance Sheet'!C27</f>
        <v>27727</v>
      </c>
      <c r="D4" s="56">
        <f>'Balance Sheet'!D27</f>
        <v>29816</v>
      </c>
      <c r="E4" s="56">
        <f>'Balance Sheet'!E27</f>
        <v>36851</v>
      </c>
      <c r="F4" s="56">
        <f>'Balance Sheet'!F27</f>
        <v>41190</v>
      </c>
    </row>
    <row r="5" spans="2:6">
      <c r="B5" s="5" t="s">
        <v>189</v>
      </c>
      <c r="C5">
        <f>ROUND(C4/C3,1)</f>
        <v>2.1</v>
      </c>
      <c r="D5">
        <f t="shared" ref="D5:F5" si="0">ROUND(D4/D3,1)</f>
        <v>1.9</v>
      </c>
      <c r="E5">
        <f t="shared" si="0"/>
        <v>2</v>
      </c>
      <c r="F5">
        <f t="shared" si="0"/>
        <v>2.2999999999999998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tabSelected="1" workbookViewId="0">
      <selection activeCell="A21" sqref="A21"/>
    </sheetView>
  </sheetViews>
  <sheetFormatPr defaultColWidth="14.453125" defaultRowHeight="15" customHeight="1"/>
  <cols>
    <col min="1" max="1" width="131.26953125" customWidth="1"/>
  </cols>
  <sheetData>
    <row r="1" spans="1:26">
      <c r="A1" s="51" t="s">
        <v>181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4" t="s">
        <v>182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4" t="s">
        <v>183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4" t="s">
        <v>184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4" t="s">
        <v>185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4" t="s">
        <v>186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4" t="s">
        <v>187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69" t="s">
        <v>196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0" zoomScale="83" workbookViewId="0">
      <selection activeCell="B3" sqref="B3"/>
    </sheetView>
  </sheetViews>
  <sheetFormatPr defaultColWidth="14.453125" defaultRowHeight="15" customHeight="1"/>
  <cols>
    <col min="1" max="1" width="8.81640625" customWidth="1"/>
    <col min="2" max="2" width="104.81640625" customWidth="1"/>
    <col min="3" max="5" width="11.81640625" customWidth="1"/>
    <col min="6" max="6" width="11.54296875" customWidth="1"/>
  </cols>
  <sheetData>
    <row r="1" spans="1:26" ht="14.25" customHeight="1"/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>
      <c r="A10" s="4"/>
      <c r="B10" s="5" t="s">
        <v>30</v>
      </c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>
      <c r="A15" s="4"/>
      <c r="B15" s="5" t="s">
        <v>35</v>
      </c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>
      <c r="A23" s="4"/>
      <c r="B23" s="5" t="s">
        <v>43</v>
      </c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>
      <c r="B27" s="5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>
      <c r="A28" s="4"/>
      <c r="B28" s="5" t="s">
        <v>48</v>
      </c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>
      <c r="A37" s="15"/>
      <c r="B37" s="16" t="s">
        <v>57</v>
      </c>
      <c r="C37" s="17">
        <v>40830</v>
      </c>
      <c r="D37" s="17">
        <v>45400</v>
      </c>
      <c r="E37" s="17">
        <v>55556</v>
      </c>
      <c r="F37" s="17">
        <v>59268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/>
    <row r="39" spans="1:26" ht="14.25" customHeight="1"/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7" zoomScale="79" workbookViewId="0">
      <selection activeCell="B7" sqref="B7"/>
    </sheetView>
  </sheetViews>
  <sheetFormatPr defaultColWidth="14.453125" defaultRowHeight="15" customHeight="1"/>
  <cols>
    <col min="1" max="1" width="8.81640625" customWidth="1"/>
    <col min="2" max="2" width="101.453125" customWidth="1"/>
    <col min="3" max="5" width="15.453125" customWidth="1"/>
    <col min="6" max="6" width="8.81640625" customWidth="1"/>
  </cols>
  <sheetData>
    <row r="1" spans="1:26" ht="14.25" customHeight="1"/>
    <row r="2" spans="1:26" ht="14.25" customHeight="1">
      <c r="A2" s="1"/>
      <c r="B2" s="1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>
      <c r="B5" s="7" t="s">
        <v>61</v>
      </c>
      <c r="C5" s="12"/>
      <c r="D5" s="12"/>
      <c r="E5" s="12"/>
    </row>
    <row r="6" spans="1:26" ht="14.25" customHeight="1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>
      <c r="B11" s="7" t="s">
        <v>67</v>
      </c>
      <c r="C11" s="12"/>
      <c r="D11" s="12"/>
      <c r="E11" s="12"/>
    </row>
    <row r="12" spans="1:26" ht="14.25" customHeight="1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>
      <selection activeCell="B12" sqref="B12"/>
    </sheetView>
  </sheetViews>
  <sheetFormatPr defaultColWidth="14.453125" defaultRowHeight="15" customHeight="1"/>
  <cols>
    <col min="1" max="1" width="8.81640625" customWidth="1"/>
    <col min="2" max="2" width="27.81640625" customWidth="1"/>
    <col min="3" max="10" width="8.453125" customWidth="1"/>
  </cols>
  <sheetData>
    <row r="1" spans="2:13" ht="14.25" customHeight="1">
      <c r="L1" s="52" t="s">
        <v>96</v>
      </c>
      <c r="M1" s="53"/>
    </row>
    <row r="2" spans="2:13" ht="14.25" customHeight="1">
      <c r="B2" s="18" t="s">
        <v>97</v>
      </c>
      <c r="C2" s="18"/>
      <c r="D2" s="18"/>
      <c r="E2" s="18"/>
      <c r="F2" s="18"/>
      <c r="G2" s="18"/>
      <c r="H2" s="18"/>
      <c r="I2" s="18"/>
      <c r="J2" s="18"/>
      <c r="L2" s="53"/>
      <c r="M2" s="53"/>
    </row>
    <row r="3" spans="2:13" ht="14.25" customHeight="1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2" t="s">
        <v>99</v>
      </c>
    </row>
    <row r="4" spans="2:13" ht="14.25" customHeight="1">
      <c r="B4" s="23" t="s">
        <v>100</v>
      </c>
      <c r="C4" s="14">
        <f>SUM('Balance Sheet'!C11:C12)</f>
        <v>19681</v>
      </c>
      <c r="D4" s="14">
        <f>SUM('Balance Sheet'!D11:D12)</f>
        <v>20890</v>
      </c>
      <c r="E4" s="14">
        <f>SUM('Balance Sheet'!E11:E12)</f>
        <v>24595</v>
      </c>
      <c r="F4" s="14">
        <f>E7</f>
        <v>26382</v>
      </c>
      <c r="G4" s="14">
        <f t="shared" ref="G4:J4" si="0">F7</f>
        <v>28343.342884548416</v>
      </c>
      <c r="H4" s="14">
        <f t="shared" si="0"/>
        <v>30450.499805590225</v>
      </c>
      <c r="I4" s="14">
        <f t="shared" si="0"/>
        <v>32714.311158961362</v>
      </c>
      <c r="J4" s="14">
        <f t="shared" si="0"/>
        <v>35146.4232586707</v>
      </c>
      <c r="L4" s="22" t="s">
        <v>101</v>
      </c>
    </row>
    <row r="5" spans="2:13" ht="14.25" customHeight="1">
      <c r="B5" s="23" t="s">
        <v>102</v>
      </c>
      <c r="C5" s="14">
        <f>'Free Cash Flow'!C11</f>
        <v>1492</v>
      </c>
      <c r="D5" s="14">
        <f>'Free Cash Flow'!D11</f>
        <v>1645</v>
      </c>
      <c r="E5" s="14">
        <f>'Free Cash Flow'!E11</f>
        <v>1781</v>
      </c>
      <c r="F5" s="14">
        <f>F11*F4</f>
        <v>1995.9571154515827</v>
      </c>
      <c r="G5" s="14">
        <f t="shared" ref="G5:J5" si="1">G11*G4</f>
        <v>2144.3445116404519</v>
      </c>
      <c r="H5" s="14">
        <f t="shared" si="1"/>
        <v>2303.7636174673962</v>
      </c>
      <c r="I5" s="14">
        <f t="shared" si="1"/>
        <v>2475.0345741348665</v>
      </c>
      <c r="J5" s="14">
        <f t="shared" si="1"/>
        <v>2659.0384954065948</v>
      </c>
      <c r="L5" s="22" t="s">
        <v>103</v>
      </c>
    </row>
    <row r="6" spans="2:13" ht="14.25" customHeight="1">
      <c r="B6" s="23" t="s">
        <v>104</v>
      </c>
      <c r="C6" s="14">
        <f t="shared" ref="C6:E6" si="2">C7-C4+C5</f>
        <v>2701</v>
      </c>
      <c r="D6" s="14">
        <f t="shared" si="2"/>
        <v>5350</v>
      </c>
      <c r="E6" s="14">
        <f t="shared" si="2"/>
        <v>3568</v>
      </c>
      <c r="F6" s="14">
        <f>F12*F4</f>
        <v>3957.2999999999997</v>
      </c>
      <c r="G6" s="14">
        <f t="shared" ref="G6:J6" si="3">G12*G4</f>
        <v>4251.501432682262</v>
      </c>
      <c r="H6" s="14">
        <f t="shared" si="3"/>
        <v>4567.5749708385338</v>
      </c>
      <c r="I6" s="14">
        <f t="shared" si="3"/>
        <v>4907.1466738442041</v>
      </c>
      <c r="J6" s="14">
        <f t="shared" si="3"/>
        <v>5271.9634888006049</v>
      </c>
      <c r="L6" s="24" t="s">
        <v>105</v>
      </c>
    </row>
    <row r="7" spans="2:13" ht="14.25" customHeight="1">
      <c r="B7" s="25" t="s">
        <v>106</v>
      </c>
      <c r="C7" s="26">
        <f>SUM('Balance Sheet'!D11:D12)</f>
        <v>20890</v>
      </c>
      <c r="D7" s="26">
        <f>SUM('Balance Sheet'!E11:E12)</f>
        <v>24595</v>
      </c>
      <c r="E7" s="26">
        <f>SUM('Balance Sheet'!F11:F12)</f>
        <v>26382</v>
      </c>
      <c r="F7" s="26">
        <f>F4-F5+F6</f>
        <v>28343.342884548416</v>
      </c>
      <c r="G7" s="26">
        <f t="shared" ref="G7:J7" si="4">G4-G5+G6</f>
        <v>30450.499805590225</v>
      </c>
      <c r="H7" s="26">
        <f t="shared" si="4"/>
        <v>32714.311158961362</v>
      </c>
      <c r="I7" s="26">
        <f t="shared" si="4"/>
        <v>35146.4232586707</v>
      </c>
      <c r="J7" s="26">
        <f t="shared" si="4"/>
        <v>37759.348252064709</v>
      </c>
    </row>
    <row r="8" spans="2:13" ht="14.25" customHeight="1">
      <c r="E8" s="14"/>
    </row>
    <row r="9" spans="2:13" ht="14.25" customHeight="1">
      <c r="B9" s="18" t="s">
        <v>107</v>
      </c>
      <c r="C9" s="18"/>
      <c r="D9" s="18"/>
      <c r="E9" s="18"/>
      <c r="F9" s="18"/>
      <c r="G9" s="18"/>
      <c r="H9" s="18"/>
      <c r="I9" s="18"/>
      <c r="J9" s="18"/>
    </row>
    <row r="10" spans="2:13" ht="14.25" customHeight="1">
      <c r="B10" s="19" t="s">
        <v>98</v>
      </c>
      <c r="C10" s="20">
        <v>43830</v>
      </c>
      <c r="D10" s="20">
        <v>44196</v>
      </c>
      <c r="E10" s="20">
        <v>44561</v>
      </c>
      <c r="F10" s="21">
        <v>44926</v>
      </c>
      <c r="G10" s="21">
        <v>45291</v>
      </c>
      <c r="H10" s="21">
        <v>45657</v>
      </c>
      <c r="I10" s="21">
        <v>46022</v>
      </c>
      <c r="J10" s="21">
        <v>46387</v>
      </c>
    </row>
    <row r="11" spans="2:13" ht="14.25" customHeight="1">
      <c r="B11" s="27" t="s">
        <v>108</v>
      </c>
      <c r="C11" s="28">
        <f t="shared" ref="C11:E11" si="5">C5/C4</f>
        <v>7.5809156038819159E-2</v>
      </c>
      <c r="D11" s="28">
        <f t="shared" si="5"/>
        <v>7.8745811393011012E-2</v>
      </c>
      <c r="E11" s="28">
        <f t="shared" si="5"/>
        <v>7.2413092091888592E-2</v>
      </c>
      <c r="F11" s="28">
        <f>AVERAGE(C11:E11)</f>
        <v>7.5656019841239583E-2</v>
      </c>
      <c r="G11" s="28">
        <f t="shared" ref="G11:J11" si="6">F11</f>
        <v>7.5656019841239583E-2</v>
      </c>
      <c r="H11" s="28">
        <f t="shared" si="6"/>
        <v>7.5656019841239583E-2</v>
      </c>
      <c r="I11" s="28">
        <f t="shared" si="6"/>
        <v>7.5656019841239583E-2</v>
      </c>
      <c r="J11" s="28">
        <f t="shared" si="6"/>
        <v>7.5656019841239583E-2</v>
      </c>
    </row>
    <row r="12" spans="2:13" ht="14.25" customHeight="1">
      <c r="B12" s="27" t="s">
        <v>109</v>
      </c>
      <c r="C12" s="28">
        <f t="shared" ref="C12:E12" si="7">C6/C4</f>
        <v>0.13723896143488643</v>
      </c>
      <c r="D12" s="28">
        <f t="shared" si="7"/>
        <v>0.25610339875538535</v>
      </c>
      <c r="E12" s="28">
        <f t="shared" si="7"/>
        <v>0.14507013620654605</v>
      </c>
      <c r="F12" s="28">
        <v>0.15</v>
      </c>
      <c r="G12" s="28">
        <f t="shared" ref="G12:J12" si="8">F12</f>
        <v>0.15</v>
      </c>
      <c r="H12" s="28">
        <f t="shared" si="8"/>
        <v>0.15</v>
      </c>
      <c r="I12" s="28">
        <f t="shared" si="8"/>
        <v>0.15</v>
      </c>
      <c r="J12" s="28">
        <f t="shared" si="8"/>
        <v>0.15</v>
      </c>
    </row>
    <row r="13" spans="2:13" ht="14.25" customHeight="1">
      <c r="C13" s="29"/>
      <c r="D13" s="29"/>
      <c r="E13" s="29"/>
      <c r="F13" s="29"/>
      <c r="G13" s="29"/>
      <c r="H13" s="29"/>
      <c r="I13" s="29"/>
      <c r="J13" s="29"/>
    </row>
    <row r="14" spans="2:13" ht="14.25" customHeight="1">
      <c r="C14" s="29"/>
      <c r="D14" s="29"/>
      <c r="E14" s="29"/>
      <c r="F14" s="29"/>
      <c r="G14" s="29"/>
      <c r="H14" s="29"/>
      <c r="I14" s="29"/>
      <c r="J14" s="29"/>
    </row>
    <row r="15" spans="2:13" ht="14.25" customHeight="1">
      <c r="C15" s="29"/>
      <c r="D15" s="29"/>
      <c r="E15" s="29"/>
      <c r="F15" s="29"/>
      <c r="G15" s="29"/>
      <c r="H15" s="29"/>
      <c r="I15" s="29"/>
      <c r="J15" s="29"/>
    </row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zoomScale="79" workbookViewId="0">
      <selection activeCell="L18" sqref="L18"/>
    </sheetView>
  </sheetViews>
  <sheetFormatPr defaultColWidth="14.453125" defaultRowHeight="15" customHeight="1"/>
  <cols>
    <col min="1" max="1" width="8.81640625" customWidth="1"/>
    <col min="2" max="2" width="45.453125" customWidth="1"/>
    <col min="3" max="10" width="10.453125" customWidth="1"/>
  </cols>
  <sheetData>
    <row r="1" spans="2:13" ht="14.25" customHeight="1">
      <c r="L1" s="52" t="s">
        <v>96</v>
      </c>
      <c r="M1" s="53"/>
    </row>
    <row r="2" spans="2:13" ht="14.25" customHeight="1">
      <c r="B2" s="18" t="s">
        <v>110</v>
      </c>
      <c r="C2" s="18"/>
      <c r="D2" s="18"/>
      <c r="E2" s="18"/>
      <c r="F2" s="18"/>
      <c r="G2" s="18"/>
      <c r="H2" s="18"/>
      <c r="I2" s="18"/>
      <c r="J2" s="18"/>
      <c r="L2" s="53"/>
      <c r="M2" s="53"/>
    </row>
    <row r="3" spans="2:13" ht="14.25" customHeight="1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4" t="s">
        <v>111</v>
      </c>
    </row>
    <row r="4" spans="2:13" ht="14.25" customHeight="1">
      <c r="B4" s="23" t="s">
        <v>112</v>
      </c>
      <c r="C4" s="30">
        <f>'Income Statement'!C5</f>
        <v>152703</v>
      </c>
      <c r="D4" s="30">
        <f>'Income Statement'!D5</f>
        <v>166761</v>
      </c>
      <c r="E4" s="30">
        <f>'Income Statement'!E5</f>
        <v>195929</v>
      </c>
      <c r="F4" s="30">
        <f>E4*(1+F23)</f>
        <v>215521.90000000002</v>
      </c>
      <c r="G4" s="30">
        <f t="shared" ref="G4:J4" si="0">F4*(1+G23)</f>
        <v>237074.09000000005</v>
      </c>
      <c r="H4" s="30">
        <f t="shared" si="0"/>
        <v>258410.75810000006</v>
      </c>
      <c r="I4" s="30">
        <f t="shared" si="0"/>
        <v>276499.51116700011</v>
      </c>
      <c r="J4" s="30">
        <f t="shared" si="0"/>
        <v>290324.48672535014</v>
      </c>
      <c r="L4" s="24" t="s">
        <v>113</v>
      </c>
    </row>
    <row r="5" spans="2:13" ht="14.25" customHeight="1">
      <c r="B5" s="31" t="s">
        <v>114</v>
      </c>
      <c r="C5" s="32">
        <f>'Income Statement'!C7</f>
        <v>132886</v>
      </c>
      <c r="D5" s="32">
        <f>'Income Statement'!D7</f>
        <v>144939</v>
      </c>
      <c r="E5" s="32">
        <f>'Income Statement'!E7</f>
        <v>170684</v>
      </c>
      <c r="F5" s="32">
        <f>F4*F25</f>
        <v>187541.37989690871</v>
      </c>
      <c r="G5" s="32">
        <f t="shared" ref="G5:J5" si="1">G4*G25</f>
        <v>206295.51788659961</v>
      </c>
      <c r="H5" s="32">
        <f t="shared" si="1"/>
        <v>224862.11449639357</v>
      </c>
      <c r="I5" s="32">
        <f t="shared" si="1"/>
        <v>240602.46251114114</v>
      </c>
      <c r="J5" s="32">
        <f t="shared" si="1"/>
        <v>252632.58563669823</v>
      </c>
      <c r="L5" s="24" t="s">
        <v>115</v>
      </c>
    </row>
    <row r="6" spans="2:13" ht="14.25" customHeight="1">
      <c r="B6" s="33" t="s">
        <v>116</v>
      </c>
      <c r="C6" s="34">
        <f t="shared" ref="C6:E6" si="2">C4-C5</f>
        <v>19817</v>
      </c>
      <c r="D6" s="34">
        <f t="shared" si="2"/>
        <v>21822</v>
      </c>
      <c r="E6" s="34">
        <f t="shared" si="2"/>
        <v>25245</v>
      </c>
      <c r="F6" s="34">
        <f>F4-F5</f>
        <v>27980.520103091316</v>
      </c>
      <c r="G6" s="34">
        <f t="shared" ref="G6:J6" si="3">G4-G5</f>
        <v>30778.572113400442</v>
      </c>
      <c r="H6" s="34">
        <f t="shared" si="3"/>
        <v>33548.643603606499</v>
      </c>
      <c r="I6" s="34">
        <f t="shared" si="3"/>
        <v>35897.048655858962</v>
      </c>
      <c r="J6" s="34">
        <f t="shared" si="3"/>
        <v>37691.90108865191</v>
      </c>
      <c r="L6" s="24" t="s">
        <v>117</v>
      </c>
    </row>
    <row r="7" spans="2:13" ht="14.25" customHeight="1">
      <c r="B7" s="23" t="s">
        <v>118</v>
      </c>
      <c r="C7" s="30"/>
      <c r="D7" s="30"/>
      <c r="E7" s="30"/>
      <c r="F7" s="30"/>
      <c r="G7" s="30"/>
      <c r="H7" s="30"/>
      <c r="I7" s="30"/>
      <c r="J7" s="30"/>
      <c r="L7" s="24" t="s">
        <v>119</v>
      </c>
    </row>
    <row r="8" spans="2:13" ht="14.25" customHeight="1">
      <c r="B8" s="23" t="s">
        <v>120</v>
      </c>
      <c r="C8" s="30">
        <f>SUM('Income Statement'!C8,'Income Statement'!C10)</f>
        <v>13588</v>
      </c>
      <c r="D8" s="30">
        <f>SUM('Income Statement'!D8,'Income Statement'!D10)</f>
        <v>14742</v>
      </c>
      <c r="E8" s="30">
        <f>SUM('Income Statement'!E8,'Income Statement'!E10)</f>
        <v>16756</v>
      </c>
      <c r="F8" s="30">
        <f>F4*F26</f>
        <v>18887.32847958626</v>
      </c>
      <c r="G8" s="30">
        <f t="shared" ref="G8:J8" si="4">G4*G26</f>
        <v>20776.061327544889</v>
      </c>
      <c r="H8" s="30">
        <f t="shared" si="4"/>
        <v>22645.906847023929</v>
      </c>
      <c r="I8" s="30">
        <f t="shared" si="4"/>
        <v>24231.120326315606</v>
      </c>
      <c r="J8" s="30">
        <f t="shared" si="4"/>
        <v>25442.676342631388</v>
      </c>
      <c r="L8" s="24" t="s">
        <v>121</v>
      </c>
    </row>
    <row r="9" spans="2:13" ht="14.25" customHeight="1">
      <c r="B9" s="31" t="s">
        <v>122</v>
      </c>
      <c r="C9" s="32">
        <f t="shared" ref="C9:E9" si="5">SUM(C8)</f>
        <v>13588</v>
      </c>
      <c r="D9" s="32">
        <f t="shared" si="5"/>
        <v>14742</v>
      </c>
      <c r="E9" s="32">
        <f t="shared" si="5"/>
        <v>16756</v>
      </c>
      <c r="F9" s="32">
        <f>F8-F7</f>
        <v>18887.32847958626</v>
      </c>
      <c r="G9" s="32">
        <f t="shared" ref="G9:J9" si="6">G8-G7</f>
        <v>20776.061327544889</v>
      </c>
      <c r="H9" s="32">
        <f t="shared" si="6"/>
        <v>22645.906847023929</v>
      </c>
      <c r="I9" s="32">
        <f t="shared" si="6"/>
        <v>24231.120326315606</v>
      </c>
      <c r="J9" s="32">
        <f t="shared" si="6"/>
        <v>25442.676342631388</v>
      </c>
      <c r="L9" s="24" t="s">
        <v>123</v>
      </c>
    </row>
    <row r="10" spans="2:13" ht="14.25" customHeight="1">
      <c r="B10" s="33" t="s">
        <v>124</v>
      </c>
      <c r="C10" s="34">
        <f t="shared" ref="C10:E10" si="7">C6-C9</f>
        <v>6229</v>
      </c>
      <c r="D10" s="34">
        <f t="shared" si="7"/>
        <v>7080</v>
      </c>
      <c r="E10" s="34">
        <f t="shared" si="7"/>
        <v>8489</v>
      </c>
      <c r="F10" s="34">
        <f>F6-F9</f>
        <v>9093.1916235050558</v>
      </c>
      <c r="G10" s="34">
        <f t="shared" ref="G10:J10" si="8">G6-G9</f>
        <v>10002.510785855553</v>
      </c>
      <c r="H10" s="34">
        <f t="shared" si="8"/>
        <v>10902.73675658257</v>
      </c>
      <c r="I10" s="34">
        <f t="shared" si="8"/>
        <v>11665.928329543356</v>
      </c>
      <c r="J10" s="34">
        <f t="shared" si="8"/>
        <v>12249.224746020522</v>
      </c>
      <c r="L10" s="24" t="s">
        <v>125</v>
      </c>
    </row>
    <row r="11" spans="2:13" ht="14.25" customHeight="1">
      <c r="B11" s="31" t="s">
        <v>9</v>
      </c>
      <c r="C11" s="32">
        <f>'Income Statement'!C9</f>
        <v>1492</v>
      </c>
      <c r="D11" s="32">
        <f>'Income Statement'!D9</f>
        <v>1645</v>
      </c>
      <c r="E11" s="32">
        <f>'Income Statement'!E9</f>
        <v>1781</v>
      </c>
      <c r="F11" s="32">
        <f>'Fixed Assets'!F5</f>
        <v>1995.9571154515827</v>
      </c>
      <c r="G11" s="32">
        <f>'Fixed Assets'!G5</f>
        <v>2144.3445116404519</v>
      </c>
      <c r="H11" s="32">
        <f>'Fixed Assets'!H5</f>
        <v>2303.7636174673962</v>
      </c>
      <c r="I11" s="32">
        <f>'Fixed Assets'!I5</f>
        <v>2475.0345741348665</v>
      </c>
      <c r="J11" s="32">
        <f>'Fixed Assets'!J5</f>
        <v>2659.0384954065948</v>
      </c>
      <c r="L11" s="22" t="s">
        <v>126</v>
      </c>
    </row>
    <row r="12" spans="2:13" ht="14.25" customHeight="1">
      <c r="B12" s="33" t="s">
        <v>127</v>
      </c>
      <c r="C12" s="34">
        <f t="shared" ref="C12:E12" si="9">C10-C11</f>
        <v>4737</v>
      </c>
      <c r="D12" s="34">
        <f t="shared" si="9"/>
        <v>5435</v>
      </c>
      <c r="E12" s="34">
        <f t="shared" si="9"/>
        <v>6708</v>
      </c>
      <c r="F12" s="34">
        <f>F10-F11</f>
        <v>7097.2345080534733</v>
      </c>
      <c r="G12" s="34">
        <f t="shared" ref="G12:J12" si="10">G10-G11</f>
        <v>7858.1662742151011</v>
      </c>
      <c r="H12" s="34">
        <f t="shared" si="10"/>
        <v>8598.9731391151727</v>
      </c>
      <c r="I12" s="34">
        <f t="shared" si="10"/>
        <v>9190.8937554084896</v>
      </c>
      <c r="J12" s="34">
        <f t="shared" si="10"/>
        <v>9590.1862506139259</v>
      </c>
      <c r="L12" s="24" t="s">
        <v>128</v>
      </c>
    </row>
    <row r="13" spans="2:13" ht="14.25" customHeight="1">
      <c r="B13" s="31" t="s">
        <v>129</v>
      </c>
      <c r="C13" s="32">
        <f>'Income Statement'!C16</f>
        <v>1061</v>
      </c>
      <c r="D13" s="32">
        <f>'Income Statement'!D16</f>
        <v>1308</v>
      </c>
      <c r="E13" s="32">
        <f>'Income Statement'!E16</f>
        <v>1601</v>
      </c>
      <c r="F13" s="32">
        <f>F12*F27</f>
        <v>1490.4192466912293</v>
      </c>
      <c r="G13" s="32">
        <f t="shared" ref="G13:J13" si="11">G12*G27</f>
        <v>1650.2149175851712</v>
      </c>
      <c r="H13" s="32">
        <f t="shared" si="11"/>
        <v>1805.7843592141862</v>
      </c>
      <c r="I13" s="32">
        <f t="shared" si="11"/>
        <v>1930.0876886357828</v>
      </c>
      <c r="J13" s="32">
        <f t="shared" si="11"/>
        <v>2013.9391126289245</v>
      </c>
      <c r="L13" s="24" t="s">
        <v>130</v>
      </c>
    </row>
    <row r="14" spans="2:13" ht="14.25" customHeight="1">
      <c r="B14" s="33" t="s">
        <v>131</v>
      </c>
      <c r="C14" s="34">
        <f t="shared" ref="C14:E14" si="12">C12-C13</f>
        <v>3676</v>
      </c>
      <c r="D14" s="34">
        <f t="shared" si="12"/>
        <v>4127</v>
      </c>
      <c r="E14" s="34">
        <f t="shared" si="12"/>
        <v>5107</v>
      </c>
      <c r="F14" s="34">
        <f>F12-F13</f>
        <v>5606.8152613622442</v>
      </c>
      <c r="G14" s="34">
        <f t="shared" ref="G14:J14" si="13">G12-G13</f>
        <v>6207.9513566299302</v>
      </c>
      <c r="H14" s="34">
        <f t="shared" si="13"/>
        <v>6793.1887799009864</v>
      </c>
      <c r="I14" s="34">
        <f t="shared" si="13"/>
        <v>7260.8060667727068</v>
      </c>
      <c r="J14" s="34">
        <f t="shared" si="13"/>
        <v>7576.2471379850012</v>
      </c>
      <c r="L14" s="24" t="s">
        <v>132</v>
      </c>
    </row>
    <row r="15" spans="2:13" ht="14.25" customHeight="1">
      <c r="B15" s="23" t="s">
        <v>133</v>
      </c>
      <c r="C15" s="30">
        <f t="shared" ref="C15:E15" si="14">C11</f>
        <v>1492</v>
      </c>
      <c r="D15" s="30">
        <f t="shared" si="14"/>
        <v>1645</v>
      </c>
      <c r="E15" s="30">
        <f t="shared" si="14"/>
        <v>1781</v>
      </c>
      <c r="F15" s="30">
        <f>F11</f>
        <v>1995.9571154515827</v>
      </c>
      <c r="G15" s="30">
        <f t="shared" ref="G15:J15" si="15">G11</f>
        <v>2144.3445116404519</v>
      </c>
      <c r="H15" s="30">
        <f t="shared" si="15"/>
        <v>2303.7636174673962</v>
      </c>
      <c r="I15" s="30">
        <f t="shared" si="15"/>
        <v>2475.0345741348665</v>
      </c>
      <c r="J15" s="30">
        <f t="shared" si="15"/>
        <v>2659.0384954065948</v>
      </c>
      <c r="L15" s="24" t="s">
        <v>134</v>
      </c>
    </row>
    <row r="16" spans="2:13" ht="14.25" customHeight="1">
      <c r="B16" s="23" t="s">
        <v>135</v>
      </c>
      <c r="C16" s="30">
        <f>'Fixed Assets'!C6</f>
        <v>2701</v>
      </c>
      <c r="D16" s="30">
        <f>'Fixed Assets'!D6</f>
        <v>5350</v>
      </c>
      <c r="E16" s="30">
        <f>'Fixed Assets'!E6</f>
        <v>3568</v>
      </c>
      <c r="F16" s="30">
        <f>'Fixed Assets'!F6</f>
        <v>3957.2999999999997</v>
      </c>
      <c r="G16" s="30">
        <f>'Fixed Assets'!G6</f>
        <v>4251.501432682262</v>
      </c>
      <c r="H16" s="30">
        <f>'Fixed Assets'!H6</f>
        <v>4567.5749708385338</v>
      </c>
      <c r="I16" s="30">
        <f>'Fixed Assets'!I6</f>
        <v>4907.1466738442041</v>
      </c>
      <c r="J16" s="30">
        <f>'Fixed Assets'!J6</f>
        <v>5271.9634888006049</v>
      </c>
      <c r="L16" s="24" t="s">
        <v>136</v>
      </c>
    </row>
    <row r="17" spans="2:10" ht="14.25" customHeight="1">
      <c r="B17" s="23" t="s">
        <v>137</v>
      </c>
      <c r="C17" s="30">
        <f>C18-(-6806)</f>
        <v>-691</v>
      </c>
      <c r="D17" s="30">
        <f t="shared" ref="D17:E17" si="16">D18-C18</f>
        <v>-2437</v>
      </c>
      <c r="E17" s="30">
        <f t="shared" si="16"/>
        <v>-1378</v>
      </c>
      <c r="F17" s="30">
        <f t="shared" ref="F17" si="17">F18-E18</f>
        <v>-244</v>
      </c>
      <c r="G17" s="30">
        <f t="shared" ref="G17" si="18">G18-F18</f>
        <v>-1156</v>
      </c>
      <c r="H17" s="30">
        <f t="shared" ref="H17" si="19">H18-G18</f>
        <v>-1144</v>
      </c>
      <c r="I17" s="30">
        <f t="shared" ref="I17" si="20">I18-H18</f>
        <v>-970</v>
      </c>
      <c r="J17" s="30">
        <f t="shared" ref="J17" si="21">J18-I18</f>
        <v>-741</v>
      </c>
    </row>
    <row r="18" spans="2:10" ht="14.25" customHeight="1">
      <c r="B18" s="35" t="s">
        <v>138</v>
      </c>
      <c r="C18" s="30">
        <f t="shared" ref="C18:D18" si="22">C29-C30</f>
        <v>-7497</v>
      </c>
      <c r="D18" s="30">
        <f t="shared" si="22"/>
        <v>-9934</v>
      </c>
      <c r="E18" s="30">
        <f>E29-E30</f>
        <v>-11312</v>
      </c>
      <c r="F18" s="30">
        <f t="shared" ref="F18:J18" si="23">F29-F30</f>
        <v>-11556</v>
      </c>
      <c r="G18" s="30">
        <f t="shared" si="23"/>
        <v>-12712</v>
      </c>
      <c r="H18" s="30">
        <f t="shared" si="23"/>
        <v>-13856</v>
      </c>
      <c r="I18" s="30">
        <f t="shared" si="23"/>
        <v>-14826</v>
      </c>
      <c r="J18" s="30">
        <f t="shared" si="23"/>
        <v>-15567</v>
      </c>
    </row>
    <row r="19" spans="2:10" ht="14.25" customHeight="1">
      <c r="B19" s="36" t="s">
        <v>139</v>
      </c>
      <c r="C19" s="37">
        <f t="shared" ref="C19:J19" si="24">C14+C15-C16-C17</f>
        <v>3158</v>
      </c>
      <c r="D19" s="37">
        <f t="shared" si="24"/>
        <v>2859</v>
      </c>
      <c r="E19" s="37">
        <f t="shared" si="24"/>
        <v>4698</v>
      </c>
      <c r="F19" s="37">
        <f t="shared" si="24"/>
        <v>3889.4723768138269</v>
      </c>
      <c r="G19" s="37">
        <f t="shared" si="24"/>
        <v>5256.7944355881209</v>
      </c>
      <c r="H19" s="37">
        <f t="shared" si="24"/>
        <v>5673.3774265298489</v>
      </c>
      <c r="I19" s="37">
        <f t="shared" si="24"/>
        <v>5798.6939670633683</v>
      </c>
      <c r="J19" s="37">
        <f t="shared" si="24"/>
        <v>5704.3221445909903</v>
      </c>
    </row>
    <row r="20" spans="2:10" ht="14.25" customHeight="1"/>
    <row r="21" spans="2:10" ht="14.25" customHeight="1">
      <c r="B21" s="18" t="s">
        <v>107</v>
      </c>
      <c r="C21" s="18"/>
      <c r="D21" s="18"/>
      <c r="E21" s="18"/>
      <c r="F21" s="18"/>
      <c r="G21" s="18"/>
      <c r="H21" s="18"/>
      <c r="I21" s="18"/>
      <c r="J21" s="18"/>
    </row>
    <row r="22" spans="2:10" ht="14.25" customHeight="1">
      <c r="B22" s="19" t="str">
        <f t="shared" ref="B22:J22" si="25">B3</f>
        <v>Fiscal Year</v>
      </c>
      <c r="C22" s="20">
        <f t="shared" si="25"/>
        <v>43830</v>
      </c>
      <c r="D22" s="20">
        <f t="shared" si="25"/>
        <v>44196</v>
      </c>
      <c r="E22" s="20">
        <f t="shared" si="25"/>
        <v>44561</v>
      </c>
      <c r="F22" s="21">
        <f t="shared" si="25"/>
        <v>44926</v>
      </c>
      <c r="G22" s="21">
        <f t="shared" si="25"/>
        <v>45291</v>
      </c>
      <c r="H22" s="21">
        <f t="shared" si="25"/>
        <v>45657</v>
      </c>
      <c r="I22" s="21">
        <f t="shared" si="25"/>
        <v>46022</v>
      </c>
      <c r="J22" s="21">
        <f t="shared" si="25"/>
        <v>46387</v>
      </c>
    </row>
    <row r="23" spans="2:10" ht="14.25" customHeight="1">
      <c r="B23" s="27" t="s">
        <v>140</v>
      </c>
      <c r="C23" s="27"/>
      <c r="D23" s="28">
        <f t="shared" ref="D23:E23" si="26">D4/C4-1</f>
        <v>9.2061059704131587E-2</v>
      </c>
      <c r="E23" s="28">
        <f t="shared" si="26"/>
        <v>0.17490900150514799</v>
      </c>
      <c r="F23" s="28">
        <v>0.1</v>
      </c>
      <c r="G23" s="28">
        <v>0.1</v>
      </c>
      <c r="H23" s="28">
        <v>0.09</v>
      </c>
      <c r="I23" s="28">
        <v>7.0000000000000007E-2</v>
      </c>
      <c r="J23" s="28">
        <v>0.05</v>
      </c>
    </row>
    <row r="24" spans="2:10" ht="14.25" customHeight="1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4.25" customHeight="1">
      <c r="B25" s="27" t="s">
        <v>141</v>
      </c>
      <c r="C25" s="28">
        <f t="shared" ref="C25:E25" si="27">C5/C4</f>
        <v>0.87022520841109863</v>
      </c>
      <c r="D25" s="28">
        <f t="shared" si="27"/>
        <v>0.86914206559087559</v>
      </c>
      <c r="E25" s="28">
        <f t="shared" si="27"/>
        <v>0.87115230517177145</v>
      </c>
      <c r="F25" s="28">
        <f t="shared" ref="F25:F26" si="28">AVERAGE(C25:E25)</f>
        <v>0.87017319305791518</v>
      </c>
      <c r="G25" s="28">
        <f t="shared" ref="G25:J25" si="29">F25</f>
        <v>0.87017319305791518</v>
      </c>
      <c r="H25" s="28">
        <f t="shared" si="29"/>
        <v>0.87017319305791518</v>
      </c>
      <c r="I25" s="28">
        <f t="shared" si="29"/>
        <v>0.87017319305791518</v>
      </c>
      <c r="J25" s="28">
        <f t="shared" si="29"/>
        <v>0.87017319305791518</v>
      </c>
    </row>
    <row r="26" spans="2:10" ht="14.25" customHeight="1">
      <c r="B26" s="27" t="s">
        <v>142</v>
      </c>
      <c r="C26" s="28">
        <f t="shared" ref="C26:E26" si="30">C8/C4</f>
        <v>8.8983189590250353E-2</v>
      </c>
      <c r="D26" s="28">
        <f t="shared" si="30"/>
        <v>8.8401964488099741E-2</v>
      </c>
      <c r="E26" s="28">
        <f t="shared" si="30"/>
        <v>8.5520775382919328E-2</v>
      </c>
      <c r="F26" s="28">
        <f t="shared" si="28"/>
        <v>8.7635309820423155E-2</v>
      </c>
      <c r="G26" s="28">
        <f t="shared" ref="G26:J26" si="31">F26</f>
        <v>8.7635309820423155E-2</v>
      </c>
      <c r="H26" s="28">
        <f t="shared" si="31"/>
        <v>8.7635309820423155E-2</v>
      </c>
      <c r="I26" s="28">
        <f t="shared" si="31"/>
        <v>8.7635309820423155E-2</v>
      </c>
      <c r="J26" s="28">
        <f t="shared" si="31"/>
        <v>8.7635309820423155E-2</v>
      </c>
    </row>
    <row r="27" spans="2:10" ht="14.25" customHeight="1">
      <c r="B27" s="27" t="s">
        <v>143</v>
      </c>
      <c r="C27" s="28">
        <f t="shared" ref="C27:E27" si="32">C13/C12</f>
        <v>0.22398142284146083</v>
      </c>
      <c r="D27" s="28">
        <f t="shared" si="32"/>
        <v>0.24066237350505978</v>
      </c>
      <c r="E27" s="28">
        <f t="shared" si="32"/>
        <v>0.23867024448419796</v>
      </c>
      <c r="F27" s="28">
        <v>0.21</v>
      </c>
      <c r="G27" s="28">
        <v>0.21</v>
      </c>
      <c r="H27" s="28">
        <v>0.21</v>
      </c>
      <c r="I27" s="28">
        <v>0.21</v>
      </c>
      <c r="J27" s="28">
        <v>0.21</v>
      </c>
    </row>
    <row r="28" spans="2:10" ht="14.25" customHeight="1"/>
    <row r="29" spans="2:10" ht="14.25" customHeight="1">
      <c r="B29" s="35" t="s">
        <v>144</v>
      </c>
      <c r="C29" s="14">
        <v>14041</v>
      </c>
      <c r="D29" s="14">
        <v>14815</v>
      </c>
      <c r="E29" s="14">
        <v>17330</v>
      </c>
      <c r="F29" s="30">
        <v>19467</v>
      </c>
      <c r="G29" s="30">
        <v>21414</v>
      </c>
      <c r="H29" s="30">
        <v>23341</v>
      </c>
      <c r="I29" s="30">
        <v>24975</v>
      </c>
      <c r="J29" s="30">
        <v>26224</v>
      </c>
    </row>
    <row r="30" spans="2:10" ht="14.25" customHeight="1">
      <c r="B30" s="35" t="s">
        <v>145</v>
      </c>
      <c r="C30" s="14">
        <v>21538</v>
      </c>
      <c r="D30" s="14">
        <v>24749</v>
      </c>
      <c r="E30" s="14">
        <v>28642</v>
      </c>
      <c r="F30" s="30">
        <v>31023</v>
      </c>
      <c r="G30" s="30">
        <v>34126</v>
      </c>
      <c r="H30" s="30">
        <v>37197</v>
      </c>
      <c r="I30" s="30">
        <v>39801</v>
      </c>
      <c r="J30" s="30">
        <v>41791</v>
      </c>
    </row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zoomScale="80" workbookViewId="0">
      <selection activeCell="C14" sqref="C14"/>
    </sheetView>
  </sheetViews>
  <sheetFormatPr defaultColWidth="14.453125" defaultRowHeight="15" customHeight="1"/>
  <cols>
    <col min="1" max="1" width="8.81640625" customWidth="1"/>
    <col min="2" max="2" width="37.08984375" customWidth="1"/>
    <col min="3" max="3" width="13.26953125" customWidth="1"/>
    <col min="4" max="5" width="8.81640625" customWidth="1"/>
  </cols>
  <sheetData>
    <row r="1" spans="2:7" ht="14.25" customHeight="1">
      <c r="C1" s="38"/>
      <c r="F1" s="52" t="s">
        <v>96</v>
      </c>
      <c r="G1" s="53"/>
    </row>
    <row r="2" spans="2:7" ht="14.25" customHeight="1">
      <c r="B2" s="54" t="s">
        <v>146</v>
      </c>
      <c r="C2" s="55"/>
      <c r="F2" s="53"/>
      <c r="G2" s="53"/>
    </row>
    <row r="3" spans="2:7" ht="18" customHeight="1">
      <c r="B3" s="39" t="s">
        <v>147</v>
      </c>
      <c r="C3" s="40">
        <v>214560</v>
      </c>
      <c r="F3" s="41" t="s">
        <v>148</v>
      </c>
    </row>
    <row r="4" spans="2:7" ht="19.5" customHeight="1">
      <c r="B4" s="39" t="s">
        <v>149</v>
      </c>
      <c r="C4" s="40">
        <v>7491</v>
      </c>
      <c r="F4" s="41" t="s">
        <v>150</v>
      </c>
    </row>
    <row r="5" spans="2:7" ht="13.5" customHeight="1">
      <c r="B5" s="39" t="s">
        <v>151</v>
      </c>
      <c r="C5" s="42">
        <v>0.21</v>
      </c>
    </row>
    <row r="6" spans="2:7" ht="14.25" customHeight="1">
      <c r="B6" s="39" t="s">
        <v>152</v>
      </c>
      <c r="C6" s="42">
        <v>2.3E-2</v>
      </c>
    </row>
    <row r="7" spans="2:7" ht="14.25" customHeight="1">
      <c r="B7" s="39" t="s">
        <v>153</v>
      </c>
      <c r="C7" s="42">
        <v>6.4000000000000001E-2</v>
      </c>
    </row>
    <row r="8" spans="2:7" ht="14.25" customHeight="1">
      <c r="B8" s="39" t="s">
        <v>154</v>
      </c>
      <c r="C8" s="40">
        <v>222051</v>
      </c>
    </row>
    <row r="9" spans="2:7" ht="14.25" customHeight="1">
      <c r="B9" s="39"/>
      <c r="C9" s="43"/>
    </row>
    <row r="10" spans="2:7" ht="14.25" customHeight="1">
      <c r="B10" s="39" t="s">
        <v>155</v>
      </c>
      <c r="C10" s="43">
        <f>C6*(1-C5)</f>
        <v>1.8170000000000002E-2</v>
      </c>
    </row>
    <row r="11" spans="2:7" ht="14.25" customHeight="1">
      <c r="B11" s="39" t="s">
        <v>156</v>
      </c>
      <c r="C11" s="44">
        <f>C3/C8</f>
        <v>0.96626450680249132</v>
      </c>
    </row>
    <row r="12" spans="2:7" ht="14.25" customHeight="1">
      <c r="B12" s="39" t="s">
        <v>157</v>
      </c>
      <c r="C12" s="44">
        <f>C4/C8</f>
        <v>3.3735493197508681E-2</v>
      </c>
    </row>
    <row r="13" spans="2:7" ht="14.25" customHeight="1">
      <c r="B13" s="36" t="s">
        <v>158</v>
      </c>
      <c r="C13" s="45">
        <f>(C11*C7)+(C12*C10)</f>
        <v>6.2453902346758176E-2</v>
      </c>
    </row>
    <row r="14" spans="2:7" ht="14.25" customHeight="1">
      <c r="C14" s="38"/>
    </row>
    <row r="15" spans="2:7" ht="14.25" customHeight="1">
      <c r="C15" s="38"/>
    </row>
    <row r="16" spans="2:7" ht="14.5">
      <c r="C16" s="38"/>
    </row>
    <row r="17" spans="3:5" ht="14.5">
      <c r="C17" s="38"/>
      <c r="E17" s="46"/>
    </row>
    <row r="18" spans="3:5" ht="14.5">
      <c r="C18" s="38"/>
    </row>
    <row r="19" spans="3:5" ht="14.25" customHeight="1">
      <c r="C19" s="38"/>
    </row>
    <row r="20" spans="3:5" ht="14.25" customHeight="1">
      <c r="C20" s="38"/>
    </row>
    <row r="21" spans="3:5" ht="14.25" customHeight="1">
      <c r="C21" s="38"/>
    </row>
    <row r="22" spans="3:5" ht="14.25" customHeight="1">
      <c r="C22" s="38"/>
    </row>
    <row r="23" spans="3:5" ht="14.25" customHeight="1">
      <c r="C23" s="38"/>
    </row>
    <row r="24" spans="3:5" ht="14.25" customHeight="1">
      <c r="C24" s="38"/>
    </row>
    <row r="25" spans="3:5" ht="14.25" customHeight="1">
      <c r="C25" s="38"/>
    </row>
    <row r="26" spans="3:5" ht="14.25" customHeight="1">
      <c r="C26" s="38"/>
    </row>
    <row r="27" spans="3:5" ht="14.25" customHeight="1">
      <c r="C27" s="38"/>
    </row>
    <row r="28" spans="3:5" ht="14.25" customHeight="1">
      <c r="C28" s="38"/>
    </row>
    <row r="29" spans="3:5" ht="14.25" customHeight="1">
      <c r="C29" s="38"/>
    </row>
    <row r="30" spans="3:5" ht="14.25" customHeight="1">
      <c r="C30" s="38"/>
    </row>
    <row r="31" spans="3:5" ht="14.25" customHeight="1">
      <c r="C31" s="38"/>
    </row>
    <row r="32" spans="3:5" ht="14.25" customHeight="1">
      <c r="C32" s="38"/>
    </row>
    <row r="33" spans="3:3" ht="14.25" customHeight="1">
      <c r="C33" s="38"/>
    </row>
    <row r="34" spans="3:3" ht="14.25" customHeight="1">
      <c r="C34" s="38"/>
    </row>
    <row r="35" spans="3:3" ht="14.25" customHeight="1">
      <c r="C35" s="38"/>
    </row>
    <row r="36" spans="3:3" ht="14.25" customHeight="1">
      <c r="C36" s="38"/>
    </row>
    <row r="37" spans="3:3" ht="14.25" customHeight="1">
      <c r="C37" s="38"/>
    </row>
    <row r="38" spans="3:3" ht="14.25" customHeight="1">
      <c r="C38" s="38"/>
    </row>
    <row r="39" spans="3:3" ht="14.25" customHeight="1">
      <c r="C39" s="38"/>
    </row>
    <row r="40" spans="3:3" ht="14.25" customHeight="1">
      <c r="C40" s="38"/>
    </row>
    <row r="41" spans="3:3" ht="14.25" customHeight="1">
      <c r="C41" s="38"/>
    </row>
    <row r="42" spans="3:3" ht="14.25" customHeight="1">
      <c r="C42" s="38"/>
    </row>
    <row r="43" spans="3:3" ht="14.25" customHeight="1">
      <c r="C43" s="38"/>
    </row>
    <row r="44" spans="3:3" ht="14.25" customHeight="1">
      <c r="C44" s="38"/>
    </row>
    <row r="45" spans="3:3" ht="14.25" customHeight="1">
      <c r="C45" s="38"/>
    </row>
    <row r="46" spans="3:3" ht="14.25" customHeight="1">
      <c r="C46" s="38"/>
    </row>
    <row r="47" spans="3:3" ht="14.25" customHeight="1">
      <c r="C47" s="38"/>
    </row>
    <row r="48" spans="3:3" ht="14.25" customHeight="1">
      <c r="C48" s="38"/>
    </row>
    <row r="49" spans="3:3" ht="14.25" customHeight="1">
      <c r="C49" s="38"/>
    </row>
    <row r="50" spans="3:3" ht="14.25" customHeight="1">
      <c r="C50" s="38"/>
    </row>
    <row r="51" spans="3:3" ht="14.25" customHeight="1">
      <c r="C51" s="38"/>
    </row>
    <row r="52" spans="3:3" ht="14.25" customHeight="1">
      <c r="C52" s="38"/>
    </row>
    <row r="53" spans="3:3" ht="14.25" customHeight="1">
      <c r="C53" s="38"/>
    </row>
    <row r="54" spans="3:3" ht="14.25" customHeight="1">
      <c r="C54" s="38"/>
    </row>
    <row r="55" spans="3:3" ht="14.25" customHeight="1">
      <c r="C55" s="38"/>
    </row>
    <row r="56" spans="3:3" ht="14.25" customHeight="1">
      <c r="C56" s="38"/>
    </row>
    <row r="57" spans="3:3" ht="14.25" customHeight="1">
      <c r="C57" s="38"/>
    </row>
    <row r="58" spans="3:3" ht="14.25" customHeight="1">
      <c r="C58" s="38"/>
    </row>
    <row r="59" spans="3:3" ht="14.25" customHeight="1">
      <c r="C59" s="38"/>
    </row>
    <row r="60" spans="3:3" ht="14.25" customHeight="1">
      <c r="C60" s="38"/>
    </row>
    <row r="61" spans="3:3" ht="14.25" customHeight="1">
      <c r="C61" s="38"/>
    </row>
    <row r="62" spans="3:3" ht="14.25" customHeight="1">
      <c r="C62" s="38"/>
    </row>
    <row r="63" spans="3:3" ht="14.25" customHeight="1">
      <c r="C63" s="38"/>
    </row>
    <row r="64" spans="3:3" ht="14.25" customHeight="1">
      <c r="C64" s="38"/>
    </row>
    <row r="65" spans="3:3" ht="14.25" customHeight="1">
      <c r="C65" s="38"/>
    </row>
    <row r="66" spans="3:3" ht="14.25" customHeight="1">
      <c r="C66" s="38"/>
    </row>
    <row r="67" spans="3:3" ht="14.25" customHeight="1">
      <c r="C67" s="38"/>
    </row>
    <row r="68" spans="3:3" ht="14.25" customHeight="1">
      <c r="C68" s="38"/>
    </row>
    <row r="69" spans="3:3" ht="14.25" customHeight="1">
      <c r="C69" s="38"/>
    </row>
    <row r="70" spans="3:3" ht="14.25" customHeight="1">
      <c r="C70" s="38"/>
    </row>
    <row r="71" spans="3:3" ht="14.25" customHeight="1">
      <c r="C71" s="38"/>
    </row>
    <row r="72" spans="3:3" ht="14.25" customHeight="1">
      <c r="C72" s="38"/>
    </row>
    <row r="73" spans="3:3" ht="14.25" customHeight="1">
      <c r="C73" s="38"/>
    </row>
    <row r="74" spans="3:3" ht="14.25" customHeight="1">
      <c r="C74" s="38"/>
    </row>
    <row r="75" spans="3:3" ht="14.25" customHeight="1">
      <c r="C75" s="38"/>
    </row>
    <row r="76" spans="3:3" ht="14.25" customHeight="1">
      <c r="C76" s="38"/>
    </row>
    <row r="77" spans="3:3" ht="14.25" customHeight="1">
      <c r="C77" s="38"/>
    </row>
    <row r="78" spans="3:3" ht="14.25" customHeight="1">
      <c r="C78" s="38"/>
    </row>
    <row r="79" spans="3:3" ht="14.25" customHeight="1">
      <c r="C79" s="38"/>
    </row>
    <row r="80" spans="3:3" ht="14.25" customHeight="1">
      <c r="C80" s="38"/>
    </row>
    <row r="81" spans="3:3" ht="14.25" customHeight="1">
      <c r="C81" s="38"/>
    </row>
    <row r="82" spans="3:3" ht="14.25" customHeight="1">
      <c r="C82" s="38"/>
    </row>
    <row r="83" spans="3:3" ht="14.25" customHeight="1">
      <c r="C83" s="38"/>
    </row>
    <row r="84" spans="3:3" ht="14.25" customHeight="1">
      <c r="C84" s="38"/>
    </row>
    <row r="85" spans="3:3" ht="14.25" customHeight="1">
      <c r="C85" s="38"/>
    </row>
    <row r="86" spans="3:3" ht="14.25" customHeight="1">
      <c r="C86" s="38"/>
    </row>
    <row r="87" spans="3:3" ht="14.25" customHeight="1">
      <c r="C87" s="38"/>
    </row>
    <row r="88" spans="3:3" ht="14.25" customHeight="1">
      <c r="C88" s="38"/>
    </row>
    <row r="89" spans="3:3" ht="14.25" customHeight="1">
      <c r="C89" s="38"/>
    </row>
    <row r="90" spans="3:3" ht="14.25" customHeight="1">
      <c r="C90" s="38"/>
    </row>
    <row r="91" spans="3:3" ht="14.25" customHeight="1">
      <c r="C91" s="38"/>
    </row>
    <row r="92" spans="3:3" ht="14.25" customHeight="1">
      <c r="C92" s="38"/>
    </row>
    <row r="93" spans="3:3" ht="14.25" customHeight="1">
      <c r="C93" s="38"/>
    </row>
    <row r="94" spans="3:3" ht="14.25" customHeight="1">
      <c r="C94" s="38"/>
    </row>
    <row r="95" spans="3:3" ht="14.25" customHeight="1">
      <c r="C95" s="38"/>
    </row>
    <row r="96" spans="3:3" ht="14.25" customHeight="1">
      <c r="C96" s="38"/>
    </row>
    <row r="97" spans="3:3" ht="14.25" customHeight="1">
      <c r="C97" s="38"/>
    </row>
    <row r="98" spans="3:3" ht="14.25" customHeight="1">
      <c r="C98" s="38"/>
    </row>
    <row r="99" spans="3:3" ht="14.25" customHeight="1">
      <c r="C99" s="38"/>
    </row>
    <row r="100" spans="3:3" ht="14.25" customHeight="1">
      <c r="C100" s="38"/>
    </row>
    <row r="101" spans="3:3" ht="14.25" customHeight="1">
      <c r="C101" s="38"/>
    </row>
    <row r="102" spans="3:3" ht="14.25" customHeight="1">
      <c r="C102" s="38"/>
    </row>
    <row r="103" spans="3:3" ht="14.25" customHeight="1">
      <c r="C103" s="38"/>
    </row>
    <row r="104" spans="3:3" ht="14.25" customHeight="1">
      <c r="C104" s="38"/>
    </row>
    <row r="105" spans="3:3" ht="14.25" customHeight="1">
      <c r="C105" s="38"/>
    </row>
    <row r="106" spans="3:3" ht="14.25" customHeight="1">
      <c r="C106" s="38"/>
    </row>
    <row r="107" spans="3:3" ht="14.25" customHeight="1">
      <c r="C107" s="38"/>
    </row>
    <row r="108" spans="3:3" ht="14.25" customHeight="1">
      <c r="C108" s="38"/>
    </row>
    <row r="109" spans="3:3" ht="14.25" customHeight="1">
      <c r="C109" s="38"/>
    </row>
    <row r="110" spans="3:3" ht="14.25" customHeight="1">
      <c r="C110" s="38"/>
    </row>
    <row r="111" spans="3:3" ht="14.25" customHeight="1">
      <c r="C111" s="38"/>
    </row>
    <row r="112" spans="3:3" ht="14.25" customHeight="1">
      <c r="C112" s="38"/>
    </row>
    <row r="113" spans="3:3" ht="14.25" customHeight="1">
      <c r="C113" s="38"/>
    </row>
    <row r="114" spans="3:3" ht="14.25" customHeight="1">
      <c r="C114" s="38"/>
    </row>
    <row r="115" spans="3:3" ht="14.25" customHeight="1">
      <c r="C115" s="38"/>
    </row>
    <row r="116" spans="3:3" ht="14.25" customHeight="1">
      <c r="C116" s="38"/>
    </row>
    <row r="117" spans="3:3" ht="14.25" customHeight="1">
      <c r="C117" s="38"/>
    </row>
    <row r="118" spans="3:3" ht="14.25" customHeight="1">
      <c r="C118" s="38"/>
    </row>
    <row r="119" spans="3:3" ht="14.25" customHeight="1">
      <c r="C119" s="38"/>
    </row>
    <row r="120" spans="3:3" ht="14.25" customHeight="1">
      <c r="C120" s="38"/>
    </row>
    <row r="121" spans="3:3" ht="14.25" customHeight="1">
      <c r="C121" s="38"/>
    </row>
    <row r="122" spans="3:3" ht="14.25" customHeight="1">
      <c r="C122" s="38"/>
    </row>
    <row r="123" spans="3:3" ht="14.25" customHeight="1">
      <c r="C123" s="38"/>
    </row>
    <row r="124" spans="3:3" ht="14.25" customHeight="1">
      <c r="C124" s="38"/>
    </row>
    <row r="125" spans="3:3" ht="14.25" customHeight="1">
      <c r="C125" s="38"/>
    </row>
    <row r="126" spans="3:3" ht="14.25" customHeight="1">
      <c r="C126" s="38"/>
    </row>
    <row r="127" spans="3:3" ht="14.25" customHeight="1">
      <c r="C127" s="38"/>
    </row>
    <row r="128" spans="3:3" ht="14.25" customHeight="1">
      <c r="C128" s="38"/>
    </row>
    <row r="129" spans="3:3" ht="14.25" customHeight="1">
      <c r="C129" s="38"/>
    </row>
    <row r="130" spans="3:3" ht="14.25" customHeight="1">
      <c r="C130" s="38"/>
    </row>
    <row r="131" spans="3:3" ht="14.25" customHeight="1">
      <c r="C131" s="38"/>
    </row>
    <row r="132" spans="3:3" ht="14.25" customHeight="1">
      <c r="C132" s="38"/>
    </row>
    <row r="133" spans="3:3" ht="14.25" customHeight="1">
      <c r="C133" s="38"/>
    </row>
    <row r="134" spans="3:3" ht="14.25" customHeight="1">
      <c r="C134" s="38"/>
    </row>
    <row r="135" spans="3:3" ht="14.25" customHeight="1">
      <c r="C135" s="38"/>
    </row>
    <row r="136" spans="3:3" ht="14.25" customHeight="1">
      <c r="C136" s="38"/>
    </row>
    <row r="137" spans="3:3" ht="14.25" customHeight="1">
      <c r="C137" s="38"/>
    </row>
    <row r="138" spans="3:3" ht="14.25" customHeight="1">
      <c r="C138" s="38"/>
    </row>
    <row r="139" spans="3:3" ht="14.25" customHeight="1">
      <c r="C139" s="38"/>
    </row>
    <row r="140" spans="3:3" ht="14.25" customHeight="1">
      <c r="C140" s="38"/>
    </row>
    <row r="141" spans="3:3" ht="14.25" customHeight="1">
      <c r="C141" s="38"/>
    </row>
    <row r="142" spans="3:3" ht="14.25" customHeight="1">
      <c r="C142" s="38"/>
    </row>
    <row r="143" spans="3:3" ht="14.25" customHeight="1">
      <c r="C143" s="38"/>
    </row>
    <row r="144" spans="3:3" ht="14.25" customHeight="1">
      <c r="C144" s="38"/>
    </row>
    <row r="145" spans="3:3" ht="14.25" customHeight="1">
      <c r="C145" s="38"/>
    </row>
    <row r="146" spans="3:3" ht="14.25" customHeight="1">
      <c r="C146" s="38"/>
    </row>
    <row r="147" spans="3:3" ht="14.25" customHeight="1">
      <c r="C147" s="38"/>
    </row>
    <row r="148" spans="3:3" ht="14.25" customHeight="1">
      <c r="C148" s="38"/>
    </row>
    <row r="149" spans="3:3" ht="14.25" customHeight="1">
      <c r="C149" s="38"/>
    </row>
    <row r="150" spans="3:3" ht="14.25" customHeight="1">
      <c r="C150" s="38"/>
    </row>
    <row r="151" spans="3:3" ht="14.25" customHeight="1">
      <c r="C151" s="38"/>
    </row>
    <row r="152" spans="3:3" ht="14.25" customHeight="1">
      <c r="C152" s="38"/>
    </row>
    <row r="153" spans="3:3" ht="14.25" customHeight="1">
      <c r="C153" s="38"/>
    </row>
    <row r="154" spans="3:3" ht="14.25" customHeight="1">
      <c r="C154" s="38"/>
    </row>
    <row r="155" spans="3:3" ht="14.25" customHeight="1">
      <c r="C155" s="38"/>
    </row>
    <row r="156" spans="3:3" ht="14.25" customHeight="1">
      <c r="C156" s="38"/>
    </row>
    <row r="157" spans="3:3" ht="14.25" customHeight="1">
      <c r="C157" s="38"/>
    </row>
    <row r="158" spans="3:3" ht="14.25" customHeight="1">
      <c r="C158" s="38"/>
    </row>
    <row r="159" spans="3:3" ht="14.25" customHeight="1">
      <c r="C159" s="38"/>
    </row>
    <row r="160" spans="3:3" ht="14.25" customHeight="1">
      <c r="C160" s="38"/>
    </row>
    <row r="161" spans="3:3" ht="14.25" customHeight="1">
      <c r="C161" s="38"/>
    </row>
    <row r="162" spans="3:3" ht="14.25" customHeight="1">
      <c r="C162" s="38"/>
    </row>
    <row r="163" spans="3:3" ht="14.25" customHeight="1">
      <c r="C163" s="38"/>
    </row>
    <row r="164" spans="3:3" ht="14.25" customHeight="1">
      <c r="C164" s="38"/>
    </row>
    <row r="165" spans="3:3" ht="14.25" customHeight="1">
      <c r="C165" s="38"/>
    </row>
    <row r="166" spans="3:3" ht="14.25" customHeight="1">
      <c r="C166" s="38"/>
    </row>
    <row r="167" spans="3:3" ht="14.25" customHeight="1">
      <c r="C167" s="38"/>
    </row>
    <row r="168" spans="3:3" ht="14.25" customHeight="1">
      <c r="C168" s="38"/>
    </row>
    <row r="169" spans="3:3" ht="14.25" customHeight="1">
      <c r="C169" s="38"/>
    </row>
    <row r="170" spans="3:3" ht="14.25" customHeight="1">
      <c r="C170" s="38"/>
    </row>
    <row r="171" spans="3:3" ht="14.25" customHeight="1">
      <c r="C171" s="38"/>
    </row>
    <row r="172" spans="3:3" ht="14.25" customHeight="1">
      <c r="C172" s="38"/>
    </row>
    <row r="173" spans="3:3" ht="14.25" customHeight="1">
      <c r="C173" s="38"/>
    </row>
    <row r="174" spans="3:3" ht="14.25" customHeight="1">
      <c r="C174" s="38"/>
    </row>
    <row r="175" spans="3:3" ht="14.25" customHeight="1">
      <c r="C175" s="38"/>
    </row>
    <row r="176" spans="3:3" ht="14.25" customHeight="1">
      <c r="C176" s="38"/>
    </row>
    <row r="177" spans="3:3" ht="14.25" customHeight="1">
      <c r="C177" s="38"/>
    </row>
    <row r="178" spans="3:3" ht="14.25" customHeight="1">
      <c r="C178" s="38"/>
    </row>
    <row r="179" spans="3:3" ht="14.25" customHeight="1">
      <c r="C179" s="38"/>
    </row>
    <row r="180" spans="3:3" ht="14.25" customHeight="1">
      <c r="C180" s="38"/>
    </row>
    <row r="181" spans="3:3" ht="14.25" customHeight="1">
      <c r="C181" s="38"/>
    </row>
    <row r="182" spans="3:3" ht="14.25" customHeight="1">
      <c r="C182" s="38"/>
    </row>
    <row r="183" spans="3:3" ht="14.25" customHeight="1">
      <c r="C183" s="38"/>
    </row>
    <row r="184" spans="3:3" ht="14.25" customHeight="1">
      <c r="C184" s="38"/>
    </row>
    <row r="185" spans="3:3" ht="14.25" customHeight="1">
      <c r="C185" s="38"/>
    </row>
    <row r="186" spans="3:3" ht="14.25" customHeight="1">
      <c r="C186" s="38"/>
    </row>
    <row r="187" spans="3:3" ht="14.25" customHeight="1">
      <c r="C187" s="38"/>
    </row>
    <row r="188" spans="3:3" ht="14.25" customHeight="1">
      <c r="C188" s="38"/>
    </row>
    <row r="189" spans="3:3" ht="14.25" customHeight="1">
      <c r="C189" s="38"/>
    </row>
    <row r="190" spans="3:3" ht="14.25" customHeight="1">
      <c r="C190" s="38"/>
    </row>
    <row r="191" spans="3:3" ht="14.25" customHeight="1">
      <c r="C191" s="38"/>
    </row>
    <row r="192" spans="3:3" ht="14.25" customHeight="1">
      <c r="C192" s="38"/>
    </row>
    <row r="193" spans="3:3" ht="14.25" customHeight="1">
      <c r="C193" s="38"/>
    </row>
    <row r="194" spans="3:3" ht="14.25" customHeight="1">
      <c r="C194" s="38"/>
    </row>
    <row r="195" spans="3:3" ht="14.25" customHeight="1">
      <c r="C195" s="38"/>
    </row>
    <row r="196" spans="3:3" ht="14.25" customHeight="1">
      <c r="C196" s="38"/>
    </row>
    <row r="197" spans="3:3" ht="14.25" customHeight="1">
      <c r="C197" s="38"/>
    </row>
    <row r="198" spans="3:3" ht="14.25" customHeight="1">
      <c r="C198" s="38"/>
    </row>
    <row r="199" spans="3:3" ht="14.25" customHeight="1">
      <c r="C199" s="38"/>
    </row>
    <row r="200" spans="3:3" ht="14.25" customHeight="1">
      <c r="C200" s="38"/>
    </row>
    <row r="201" spans="3:3" ht="14.25" customHeight="1">
      <c r="C201" s="38"/>
    </row>
    <row r="202" spans="3:3" ht="14.25" customHeight="1">
      <c r="C202" s="38"/>
    </row>
    <row r="203" spans="3:3" ht="14.25" customHeight="1">
      <c r="C203" s="38"/>
    </row>
    <row r="204" spans="3:3" ht="14.25" customHeight="1">
      <c r="C204" s="38"/>
    </row>
    <row r="205" spans="3:3" ht="14.25" customHeight="1">
      <c r="C205" s="38"/>
    </row>
    <row r="206" spans="3:3" ht="14.25" customHeight="1">
      <c r="C206" s="38"/>
    </row>
    <row r="207" spans="3:3" ht="14.25" customHeight="1">
      <c r="C207" s="38"/>
    </row>
    <row r="208" spans="3:3" ht="14.25" customHeight="1">
      <c r="C208" s="38"/>
    </row>
    <row r="209" spans="3:3" ht="14.25" customHeight="1">
      <c r="C209" s="38"/>
    </row>
    <row r="210" spans="3:3" ht="14.25" customHeight="1">
      <c r="C210" s="38"/>
    </row>
    <row r="211" spans="3:3" ht="14.25" customHeight="1">
      <c r="C211" s="38"/>
    </row>
    <row r="212" spans="3:3" ht="14.25" customHeight="1">
      <c r="C212" s="38"/>
    </row>
    <row r="213" spans="3:3" ht="14.25" customHeight="1">
      <c r="C213" s="38"/>
    </row>
    <row r="214" spans="3:3" ht="14.25" customHeight="1">
      <c r="C214" s="38"/>
    </row>
    <row r="215" spans="3:3" ht="14.2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zoomScale="78" workbookViewId="0">
      <selection activeCell="C20" sqref="C20"/>
    </sheetView>
  </sheetViews>
  <sheetFormatPr defaultColWidth="14.453125" defaultRowHeight="15" customHeight="1"/>
  <cols>
    <col min="1" max="1" width="8.81640625" customWidth="1"/>
    <col min="2" max="2" width="28.54296875" customWidth="1"/>
    <col min="3" max="10" width="9.453125" customWidth="1"/>
    <col min="11" max="11" width="8.08984375" customWidth="1"/>
  </cols>
  <sheetData>
    <row r="1" spans="2:14" ht="14.25" customHeight="1">
      <c r="M1" s="52" t="s">
        <v>96</v>
      </c>
      <c r="N1" s="53"/>
    </row>
    <row r="2" spans="2:14" ht="14.25" customHeight="1">
      <c r="B2" s="18" t="s">
        <v>110</v>
      </c>
      <c r="C2" s="18"/>
      <c r="D2" s="18"/>
      <c r="E2" s="18"/>
      <c r="F2" s="18"/>
      <c r="G2" s="18"/>
      <c r="H2" s="18"/>
      <c r="I2" s="18"/>
      <c r="J2" s="18"/>
      <c r="K2" s="18"/>
      <c r="M2" s="53"/>
      <c r="N2" s="53"/>
    </row>
    <row r="3" spans="2:14" ht="14.25" customHeight="1">
      <c r="B3" s="19" t="s">
        <v>98</v>
      </c>
      <c r="C3" s="20"/>
      <c r="D3" s="20">
        <v>43830</v>
      </c>
      <c r="E3" s="20">
        <v>44196</v>
      </c>
      <c r="F3" s="20">
        <v>44561</v>
      </c>
      <c r="G3" s="21">
        <v>44926</v>
      </c>
      <c r="H3" s="21">
        <v>45291</v>
      </c>
      <c r="I3" s="21">
        <v>45657</v>
      </c>
      <c r="J3" s="21">
        <v>46022</v>
      </c>
      <c r="K3" s="21">
        <v>46387</v>
      </c>
      <c r="M3" s="24" t="s">
        <v>159</v>
      </c>
    </row>
    <row r="4" spans="2:14" ht="14.25" customHeight="1">
      <c r="B4" s="23" t="s">
        <v>139</v>
      </c>
      <c r="C4" s="14"/>
      <c r="D4" s="14">
        <f>'Free Cash Flow'!C19</f>
        <v>3158</v>
      </c>
      <c r="E4" s="14">
        <f>'Free Cash Flow'!D19</f>
        <v>2859</v>
      </c>
      <c r="F4" s="14">
        <f>'Free Cash Flow'!E19</f>
        <v>4698</v>
      </c>
      <c r="G4" s="14">
        <f>'Free Cash Flow'!F19</f>
        <v>3889.4723768138269</v>
      </c>
      <c r="H4" s="14">
        <f>'Free Cash Flow'!G19</f>
        <v>5256.7944355881209</v>
      </c>
      <c r="I4" s="14">
        <f>'Free Cash Flow'!H19</f>
        <v>5673.3774265298489</v>
      </c>
      <c r="J4" s="14">
        <f>'Free Cash Flow'!I19</f>
        <v>5798.6939670633683</v>
      </c>
      <c r="K4" s="14">
        <f>'Free Cash Flow'!J19</f>
        <v>5704.3221445909903</v>
      </c>
      <c r="M4" s="24" t="s">
        <v>160</v>
      </c>
    </row>
    <row r="5" spans="2:14" ht="14.25" customHeight="1">
      <c r="M5" s="24" t="s">
        <v>161</v>
      </c>
    </row>
    <row r="6" spans="2:14" ht="14.25" customHeight="1">
      <c r="B6" s="23" t="s">
        <v>162</v>
      </c>
      <c r="G6" s="23">
        <v>1</v>
      </c>
      <c r="H6" s="23">
        <v>2</v>
      </c>
      <c r="I6" s="23">
        <v>3</v>
      </c>
      <c r="J6" s="23">
        <v>4</v>
      </c>
      <c r="K6" s="23">
        <v>5</v>
      </c>
      <c r="M6" s="24" t="s">
        <v>163</v>
      </c>
    </row>
    <row r="7" spans="2:14" ht="14.25" customHeight="1">
      <c r="B7" s="25" t="s">
        <v>164</v>
      </c>
      <c r="C7" s="25"/>
      <c r="D7" s="25"/>
      <c r="E7" s="25"/>
      <c r="F7" s="25"/>
      <c r="G7" s="26">
        <f>G4/(1+$C$12)^G6</f>
        <v>3660.8387133057954</v>
      </c>
      <c r="H7" s="26">
        <f t="shared" ref="H7:K7" si="0">H4/(1+$C$12)^H6</f>
        <v>4656.9417151525204</v>
      </c>
      <c r="I7" s="26">
        <f t="shared" si="0"/>
        <v>4730.5472898498583</v>
      </c>
      <c r="J7" s="26">
        <f t="shared" si="0"/>
        <v>4550.8215391030544</v>
      </c>
      <c r="K7" s="26">
        <f t="shared" si="0"/>
        <v>4213.602507298694</v>
      </c>
      <c r="M7" s="24" t="s">
        <v>165</v>
      </c>
    </row>
    <row r="8" spans="2:14" ht="14.25" customHeight="1">
      <c r="M8" s="22" t="s">
        <v>166</v>
      </c>
    </row>
    <row r="9" spans="2:14" ht="14.25" customHeight="1">
      <c r="B9" s="54" t="s">
        <v>167</v>
      </c>
      <c r="C9" s="55"/>
      <c r="M9" s="24" t="s">
        <v>168</v>
      </c>
    </row>
    <row r="10" spans="2:14" ht="14.25" customHeight="1">
      <c r="B10" s="39" t="s">
        <v>169</v>
      </c>
      <c r="C10" s="14">
        <f>SUM(G7:K7)</f>
        <v>21812.751764709923</v>
      </c>
      <c r="M10" s="24" t="s">
        <v>170</v>
      </c>
    </row>
    <row r="11" spans="2:14" ht="14.25" customHeight="1">
      <c r="B11" s="39" t="s">
        <v>171</v>
      </c>
      <c r="C11" s="47">
        <v>0.03</v>
      </c>
      <c r="M11" s="24" t="s">
        <v>172</v>
      </c>
    </row>
    <row r="12" spans="2:14" ht="15" customHeight="1">
      <c r="B12" s="39" t="s">
        <v>158</v>
      </c>
      <c r="C12" s="29">
        <f>WACC!C13</f>
        <v>6.2453902346758176E-2</v>
      </c>
      <c r="M12" s="24" t="s">
        <v>173</v>
      </c>
    </row>
    <row r="13" spans="2:14" ht="14.25" customHeight="1">
      <c r="B13" s="39" t="s">
        <v>174</v>
      </c>
      <c r="C13" s="14">
        <f>K4*(1+C11)/(C12-C11)</f>
        <v>181039.91767004313</v>
      </c>
    </row>
    <row r="14" spans="2:14" ht="14.25" customHeight="1">
      <c r="B14" s="39" t="s">
        <v>175</v>
      </c>
      <c r="C14" s="14">
        <f>C13/(1+C12)^K6</f>
        <v>133728.46618401128</v>
      </c>
      <c r="D14" s="14"/>
    </row>
    <row r="15" spans="2:14" ht="14.25" customHeight="1">
      <c r="B15" s="39" t="s">
        <v>176</v>
      </c>
      <c r="C15" s="14">
        <f>C14+C10</f>
        <v>155541.2179487212</v>
      </c>
    </row>
    <row r="16" spans="2:14" ht="14.25" customHeight="1">
      <c r="B16" s="35" t="s">
        <v>177</v>
      </c>
      <c r="C16" s="14">
        <f>'Balance Sheet'!F4</f>
        <v>11258</v>
      </c>
    </row>
    <row r="17" spans="1:26" ht="14.25" customHeight="1">
      <c r="B17" s="35" t="s">
        <v>178</v>
      </c>
      <c r="C17" s="14">
        <f>WACC!C4</f>
        <v>7491</v>
      </c>
    </row>
    <row r="18" spans="1:26" ht="14.25" customHeight="1">
      <c r="B18" s="35" t="s">
        <v>179</v>
      </c>
      <c r="C18" s="14">
        <f>'Balance Sheet'!F35</f>
        <v>514</v>
      </c>
    </row>
    <row r="19" spans="1:26" ht="14.25" customHeight="1">
      <c r="A19" s="48"/>
      <c r="B19" s="49" t="s">
        <v>180</v>
      </c>
      <c r="C19" s="50">
        <f>C15+C16-C17-C18</f>
        <v>158794.2179487212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E140-0136-47F6-85BF-24A360EEBA00}">
  <dimension ref="B1:E8"/>
  <sheetViews>
    <sheetView workbookViewId="0">
      <selection activeCell="E24" sqref="E24"/>
    </sheetView>
  </sheetViews>
  <sheetFormatPr defaultRowHeight="14.5"/>
  <cols>
    <col min="2" max="2" width="41.36328125" customWidth="1"/>
  </cols>
  <sheetData>
    <row r="1" spans="2:5">
      <c r="B1" s="58" t="s">
        <v>0</v>
      </c>
      <c r="C1" s="58"/>
      <c r="D1" s="58"/>
      <c r="E1" s="58"/>
    </row>
    <row r="2" spans="2:5">
      <c r="B2" s="5" t="s">
        <v>188</v>
      </c>
      <c r="C2" s="5">
        <v>2019</v>
      </c>
      <c r="D2" s="5">
        <v>2020</v>
      </c>
      <c r="E2" s="5">
        <v>20221</v>
      </c>
    </row>
    <row r="3" spans="2:5">
      <c r="B3" s="5" t="s">
        <v>19</v>
      </c>
      <c r="C3" s="9">
        <v>149351</v>
      </c>
      <c r="D3" s="9">
        <v>163220</v>
      </c>
      <c r="E3" s="9">
        <v>192052</v>
      </c>
    </row>
    <row r="4" spans="2:5">
      <c r="B4" s="60" t="s">
        <v>20</v>
      </c>
      <c r="C4" s="61">
        <v>3352</v>
      </c>
      <c r="D4" s="61">
        <v>3541</v>
      </c>
      <c r="E4" s="61">
        <v>3877</v>
      </c>
    </row>
    <row r="5" spans="2:5">
      <c r="B5" s="64" t="s">
        <v>5</v>
      </c>
      <c r="C5" s="65">
        <f>C3+C4</f>
        <v>152703</v>
      </c>
      <c r="D5" s="65">
        <f t="shared" ref="D5:E5" si="0">D3+D4</f>
        <v>166761</v>
      </c>
      <c r="E5" s="65">
        <f t="shared" si="0"/>
        <v>195929</v>
      </c>
    </row>
    <row r="6" spans="2:5">
      <c r="B6" s="64" t="s">
        <v>192</v>
      </c>
      <c r="C6" s="65"/>
      <c r="D6" s="65">
        <f>(D5-C5)/C5*100</f>
        <v>9.2061059704131551</v>
      </c>
      <c r="E6" s="65">
        <f>(E5-D5)/D5*100</f>
        <v>17.490900150514811</v>
      </c>
    </row>
    <row r="7" spans="2:5">
      <c r="B7" s="62" t="s">
        <v>190</v>
      </c>
      <c r="C7" s="63">
        <f>(C3/C5)*100</f>
        <v>97.804889229419203</v>
      </c>
      <c r="D7" s="63">
        <f t="shared" ref="D7:E7" si="1">(D3/D5)*100</f>
        <v>97.876601843356653</v>
      </c>
      <c r="E7" s="63">
        <f t="shared" si="1"/>
        <v>98.021221973265824</v>
      </c>
    </row>
    <row r="8" spans="2:5">
      <c r="B8" s="59" t="s">
        <v>191</v>
      </c>
      <c r="C8" s="9">
        <f>(C4/C5)*100</f>
        <v>2.1951107705808006</v>
      </c>
      <c r="D8" s="9">
        <f t="shared" ref="D8:E8" si="2">(D4/D5)*100</f>
        <v>2.12339815664334</v>
      </c>
      <c r="E8" s="9">
        <f t="shared" si="2"/>
        <v>1.9787780267341741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FB67-ABB0-4B91-B6AA-E333E3B16C28}">
  <dimension ref="B1:E5"/>
  <sheetViews>
    <sheetView workbookViewId="0">
      <selection activeCell="B17" sqref="B17"/>
    </sheetView>
  </sheetViews>
  <sheetFormatPr defaultRowHeight="14.5"/>
  <cols>
    <col min="2" max="2" width="33" customWidth="1"/>
    <col min="3" max="5" width="11.54296875" customWidth="1"/>
  </cols>
  <sheetData>
    <row r="1" spans="2:5">
      <c r="B1" s="2" t="s">
        <v>0</v>
      </c>
      <c r="C1" s="2"/>
      <c r="D1" s="2"/>
      <c r="E1" s="2"/>
    </row>
    <row r="2" spans="2:5">
      <c r="B2" s="5" t="s">
        <v>194</v>
      </c>
      <c r="C2" s="5">
        <v>2019</v>
      </c>
      <c r="D2" s="5">
        <v>2020</v>
      </c>
      <c r="E2" s="5">
        <v>2021</v>
      </c>
    </row>
    <row r="3" spans="2:5">
      <c r="B3" s="68" t="s">
        <v>5</v>
      </c>
      <c r="C3">
        <f>'Income Statement'!C5</f>
        <v>152703</v>
      </c>
      <c r="D3">
        <f>'Income Statement'!D5</f>
        <v>166761</v>
      </c>
      <c r="E3">
        <f>'Income Statement'!E5</f>
        <v>195929</v>
      </c>
    </row>
    <row r="4" spans="2:5">
      <c r="B4" s="5" t="s">
        <v>193</v>
      </c>
      <c r="C4" s="56">
        <f>'Income Statement'!C24</f>
        <v>148877</v>
      </c>
      <c r="D4" s="56">
        <f>'Income Statement'!D24</f>
        <v>162474</v>
      </c>
      <c r="E4" s="56">
        <f>'Income Statement'!E24</f>
        <v>190651</v>
      </c>
    </row>
    <row r="5" spans="2:5">
      <c r="B5" s="68" t="s">
        <v>195</v>
      </c>
      <c r="C5">
        <f>ROUND((C3-C4)/C3*100,1)</f>
        <v>2.5</v>
      </c>
      <c r="D5">
        <f t="shared" ref="D5:E5" si="0">ROUND((D3-D4)/D3*100,1)</f>
        <v>2.6</v>
      </c>
      <c r="E5">
        <f t="shared" si="0"/>
        <v>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Sales_contribution</vt:lpstr>
      <vt:lpstr>Gross_margin</vt:lpstr>
      <vt:lpstr>Debt_to_equity 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Dhruba Jyoti Chakraborty</cp:lastModifiedBy>
  <dcterms:modified xsi:type="dcterms:W3CDTF">2024-08-23T15:47:29Z</dcterms:modified>
</cp:coreProperties>
</file>