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ooliogroup-my.sharepoint.com/personal/dia_sanjaasuren_oolio_com/Documents/Documents/RBA/"/>
    </mc:Choice>
  </mc:AlternateContent>
  <xr:revisionPtr revIDLastSave="15" documentId="8_{087EE49D-FD6B-4104-A6DF-495944EE9D29}" xr6:coauthVersionLast="47" xr6:coauthVersionMax="47" xr10:uidLastSave="{462C8E1A-AA26-46FD-989E-1A2F2E260801}"/>
  <bookViews>
    <workbookView xWindow="-120" yWindow="-120" windowWidth="29040" windowHeight="15720" firstSheet="4" activeTab="8" xr2:uid="{00000000-000D-0000-FFFF-FFFF00000000}"/>
  </bookViews>
  <sheets>
    <sheet name="COA by Card" sheetId="3" r:id="rId1"/>
    <sheet name="TTV By Card" sheetId="1" r:id="rId2"/>
    <sheet name="MSF By Card" sheetId="2" r:id="rId3"/>
    <sheet name="GP Summary" sheetId="6" r:id="rId4"/>
    <sheet name="GP by Card Type" sheetId="4" r:id="rId5"/>
    <sheet name="Annualized" sheetId="8" r:id="rId6"/>
    <sheet name="Scenarios" sheetId="13" r:id="rId7"/>
    <sheet name="Pie Chart" sheetId="5" r:id="rId8"/>
    <sheet name="What If Options" sheetId="12" r:id="rId9"/>
    <sheet name="Working Paper 1" sheetId="9" r:id="rId10"/>
    <sheet name="Working Paper 2" sheetId="10" r:id="rId11"/>
    <sheet name="Working Paper 3" sheetId="11" r:id="rId12"/>
    <sheet name="What If Back Up" sheetId="14" r:id="rId13"/>
  </sheets>
  <calcPr calcId="191028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3" l="1"/>
  <c r="AL265" i="12"/>
  <c r="X264" i="12"/>
  <c r="R264" i="12"/>
  <c r="D264" i="12"/>
  <c r="W260" i="12"/>
  <c r="V260" i="12"/>
  <c r="AG259" i="12"/>
  <c r="AC259" i="12"/>
  <c r="W259" i="12"/>
  <c r="V259" i="12"/>
  <c r="W258" i="12"/>
  <c r="V258" i="12"/>
  <c r="AG257" i="12"/>
  <c r="AC257" i="12"/>
  <c r="W257" i="12"/>
  <c r="V257" i="12"/>
  <c r="V256" i="12"/>
  <c r="AG255" i="12"/>
  <c r="AC255" i="12"/>
  <c r="V255" i="12"/>
  <c r="M251" i="12"/>
  <c r="L251" i="12"/>
  <c r="I251" i="12"/>
  <c r="H251" i="12"/>
  <c r="E251" i="12"/>
  <c r="R250" i="12"/>
  <c r="R253" i="12" s="1"/>
  <c r="M250" i="12"/>
  <c r="L250" i="12"/>
  <c r="I250" i="12"/>
  <c r="H250" i="12"/>
  <c r="E250" i="12"/>
  <c r="AL249" i="12"/>
  <c r="AL261" i="12" s="1"/>
  <c r="AG249" i="12"/>
  <c r="AC249" i="12"/>
  <c r="Y249" i="12"/>
  <c r="M249" i="12"/>
  <c r="L249" i="12"/>
  <c r="I249" i="12"/>
  <c r="H249" i="12"/>
  <c r="E249" i="12"/>
  <c r="AG248" i="12"/>
  <c r="AC248" i="12"/>
  <c r="Y248" i="12"/>
  <c r="M248" i="12"/>
  <c r="L248" i="12"/>
  <c r="I248" i="12"/>
  <c r="H248" i="12"/>
  <c r="E248" i="12"/>
  <c r="AG247" i="12"/>
  <c r="AC247" i="12"/>
  <c r="Y247" i="12"/>
  <c r="M247" i="12"/>
  <c r="L247" i="12"/>
  <c r="I247" i="12"/>
  <c r="H247" i="12"/>
  <c r="E247" i="12"/>
  <c r="AL246" i="12"/>
  <c r="AG246" i="12"/>
  <c r="AC246" i="12"/>
  <c r="Y246" i="12"/>
  <c r="R246" i="12"/>
  <c r="M246" i="12"/>
  <c r="L246" i="12"/>
  <c r="I246" i="12"/>
  <c r="H246" i="12"/>
  <c r="E246" i="12"/>
  <c r="AL245" i="12"/>
  <c r="AG245" i="12"/>
  <c r="AC245" i="12"/>
  <c r="Y245" i="12"/>
  <c r="W245" i="12"/>
  <c r="W256" i="12" s="1"/>
  <c r="R245" i="12"/>
  <c r="M245" i="12"/>
  <c r="L245" i="12"/>
  <c r="I245" i="12"/>
  <c r="H245" i="12"/>
  <c r="E245" i="12"/>
  <c r="AL244" i="12"/>
  <c r="AG244" i="12"/>
  <c r="AC244" i="12"/>
  <c r="Y244" i="12"/>
  <c r="W244" i="12"/>
  <c r="W255" i="12" s="1"/>
  <c r="R244" i="12"/>
  <c r="M244" i="12"/>
  <c r="L244" i="12"/>
  <c r="I244" i="12"/>
  <c r="H244" i="12"/>
  <c r="E244" i="12"/>
  <c r="AL235" i="12"/>
  <c r="X234" i="12"/>
  <c r="R234" i="12"/>
  <c r="D234" i="12"/>
  <c r="W230" i="12"/>
  <c r="V230" i="12"/>
  <c r="AG229" i="12"/>
  <c r="W229" i="12"/>
  <c r="V229" i="12"/>
  <c r="AC229" i="12" s="1"/>
  <c r="W228" i="12"/>
  <c r="V228" i="12"/>
  <c r="W227" i="12"/>
  <c r="V227" i="12"/>
  <c r="AG227" i="12" s="1"/>
  <c r="V226" i="12"/>
  <c r="V225" i="12"/>
  <c r="AC225" i="12" s="1"/>
  <c r="M221" i="12"/>
  <c r="L221" i="12"/>
  <c r="I221" i="12"/>
  <c r="H221" i="12"/>
  <c r="E221" i="12"/>
  <c r="R220" i="12"/>
  <c r="R223" i="12" s="1"/>
  <c r="M220" i="12"/>
  <c r="L220" i="12"/>
  <c r="I220" i="12"/>
  <c r="H220" i="12"/>
  <c r="E220" i="12"/>
  <c r="AL219" i="12"/>
  <c r="AL231" i="12" s="1"/>
  <c r="AG219" i="12"/>
  <c r="AC219" i="12"/>
  <c r="Y219" i="12"/>
  <c r="M219" i="12"/>
  <c r="L219" i="12"/>
  <c r="I219" i="12"/>
  <c r="H219" i="12"/>
  <c r="E219" i="12"/>
  <c r="AG218" i="12"/>
  <c r="AC218" i="12"/>
  <c r="Y218" i="12"/>
  <c r="M218" i="12"/>
  <c r="L218" i="12"/>
  <c r="I218" i="12"/>
  <c r="H218" i="12"/>
  <c r="E218" i="12"/>
  <c r="AG217" i="12"/>
  <c r="AC217" i="12"/>
  <c r="Y217" i="12"/>
  <c r="M217" i="12"/>
  <c r="L217" i="12"/>
  <c r="I217" i="12"/>
  <c r="H217" i="12"/>
  <c r="E217" i="12"/>
  <c r="AL216" i="12"/>
  <c r="AG216" i="12"/>
  <c r="AC216" i="12"/>
  <c r="Y216" i="12"/>
  <c r="R216" i="12"/>
  <c r="M216" i="12"/>
  <c r="L216" i="12"/>
  <c r="I216" i="12"/>
  <c r="H216" i="12"/>
  <c r="E216" i="12"/>
  <c r="AL215" i="12"/>
  <c r="AG215" i="12"/>
  <c r="AC215" i="12"/>
  <c r="Y215" i="12"/>
  <c r="W215" i="12"/>
  <c r="W226" i="12" s="1"/>
  <c r="R215" i="12"/>
  <c r="M215" i="12"/>
  <c r="L215" i="12"/>
  <c r="I215" i="12"/>
  <c r="H215" i="12"/>
  <c r="E215" i="12"/>
  <c r="AL214" i="12"/>
  <c r="AG214" i="12"/>
  <c r="AC214" i="12"/>
  <c r="Y214" i="12"/>
  <c r="W214" i="12"/>
  <c r="W225" i="12" s="1"/>
  <c r="R214" i="12"/>
  <c r="M214" i="12"/>
  <c r="L214" i="12"/>
  <c r="I214" i="12"/>
  <c r="H214" i="12"/>
  <c r="E214" i="12"/>
  <c r="AL205" i="12"/>
  <c r="X204" i="12"/>
  <c r="R204" i="12"/>
  <c r="D204" i="12"/>
  <c r="W200" i="12"/>
  <c r="V200" i="12"/>
  <c r="AG200" i="12" s="1"/>
  <c r="W199" i="12"/>
  <c r="V199" i="12"/>
  <c r="AG199" i="12" s="1"/>
  <c r="W198" i="12"/>
  <c r="V198" i="12"/>
  <c r="AG198" i="12" s="1"/>
  <c r="AG197" i="12"/>
  <c r="AC197" i="12"/>
  <c r="W197" i="12"/>
  <c r="V197" i="12"/>
  <c r="V196" i="12"/>
  <c r="AG196" i="12" s="1"/>
  <c r="V195" i="12"/>
  <c r="M191" i="12"/>
  <c r="L191" i="12"/>
  <c r="I191" i="12"/>
  <c r="H191" i="12"/>
  <c r="E191" i="12"/>
  <c r="R190" i="12"/>
  <c r="R193" i="12" s="1"/>
  <c r="M190" i="12"/>
  <c r="L190" i="12"/>
  <c r="I190" i="12"/>
  <c r="H190" i="12"/>
  <c r="E190" i="12"/>
  <c r="AL189" i="12"/>
  <c r="AL201" i="12" s="1"/>
  <c r="AG189" i="12"/>
  <c r="AC189" i="12"/>
  <c r="Y189" i="12"/>
  <c r="M189" i="12"/>
  <c r="L189" i="12"/>
  <c r="I189" i="12"/>
  <c r="H189" i="12"/>
  <c r="E189" i="12"/>
  <c r="AG188" i="12"/>
  <c r="AC188" i="12"/>
  <c r="Y188" i="12"/>
  <c r="M188" i="12"/>
  <c r="L188" i="12"/>
  <c r="I188" i="12"/>
  <c r="H188" i="12"/>
  <c r="E188" i="12"/>
  <c r="AG187" i="12"/>
  <c r="AC187" i="12"/>
  <c r="Y187" i="12"/>
  <c r="M187" i="12"/>
  <c r="L187" i="12"/>
  <c r="I187" i="12"/>
  <c r="H187" i="12"/>
  <c r="E187" i="12"/>
  <c r="AL186" i="12"/>
  <c r="AG186" i="12"/>
  <c r="AC186" i="12"/>
  <c r="Y186" i="12"/>
  <c r="R186" i="12"/>
  <c r="M186" i="12"/>
  <c r="L186" i="12"/>
  <c r="I186" i="12"/>
  <c r="H186" i="12"/>
  <c r="E186" i="12"/>
  <c r="AL185" i="12"/>
  <c r="AG185" i="12"/>
  <c r="AC185" i="12"/>
  <c r="Y185" i="12"/>
  <c r="W185" i="12"/>
  <c r="W196" i="12" s="1"/>
  <c r="R185" i="12"/>
  <c r="M185" i="12"/>
  <c r="L185" i="12"/>
  <c r="I185" i="12"/>
  <c r="H185" i="12"/>
  <c r="E185" i="12"/>
  <c r="AL184" i="12"/>
  <c r="AG184" i="12"/>
  <c r="AC184" i="12"/>
  <c r="Y184" i="12"/>
  <c r="W184" i="12"/>
  <c r="W195" i="12" s="1"/>
  <c r="R184" i="12"/>
  <c r="M184" i="12"/>
  <c r="L184" i="12"/>
  <c r="I184" i="12"/>
  <c r="H184" i="12"/>
  <c r="E184" i="12"/>
  <c r="D175" i="12"/>
  <c r="M162" i="12"/>
  <c r="L162" i="12"/>
  <c r="I162" i="12"/>
  <c r="H162" i="12"/>
  <c r="E162" i="12"/>
  <c r="R161" i="12"/>
  <c r="R164" i="12" s="1"/>
  <c r="M161" i="12"/>
  <c r="L161" i="12"/>
  <c r="I161" i="12"/>
  <c r="H161" i="12"/>
  <c r="E161" i="12"/>
  <c r="M160" i="12"/>
  <c r="L160" i="12"/>
  <c r="I160" i="12"/>
  <c r="H160" i="12"/>
  <c r="E160" i="12"/>
  <c r="M159" i="12"/>
  <c r="L159" i="12"/>
  <c r="I159" i="12"/>
  <c r="H159" i="12"/>
  <c r="E159" i="12"/>
  <c r="M158" i="12"/>
  <c r="L158" i="12"/>
  <c r="I158" i="12"/>
  <c r="H158" i="12"/>
  <c r="E158" i="12"/>
  <c r="R157" i="12"/>
  <c r="M157" i="12"/>
  <c r="L157" i="12"/>
  <c r="I157" i="12"/>
  <c r="H157" i="12"/>
  <c r="E157" i="12"/>
  <c r="R156" i="12"/>
  <c r="M156" i="12"/>
  <c r="L156" i="12"/>
  <c r="I156" i="12"/>
  <c r="H156" i="12"/>
  <c r="E156" i="12"/>
  <c r="R155" i="12"/>
  <c r="M155" i="12"/>
  <c r="L155" i="12"/>
  <c r="I155" i="12"/>
  <c r="H155" i="12"/>
  <c r="E155" i="12"/>
  <c r="AL176" i="12"/>
  <c r="X175" i="12"/>
  <c r="W171" i="12"/>
  <c r="V171" i="12"/>
  <c r="AC171" i="12" s="1"/>
  <c r="W170" i="12"/>
  <c r="V170" i="12"/>
  <c r="AG170" i="12" s="1"/>
  <c r="W169" i="12"/>
  <c r="V169" i="12"/>
  <c r="AG169" i="12" s="1"/>
  <c r="W168" i="12"/>
  <c r="V168" i="12"/>
  <c r="AC168" i="12" s="1"/>
  <c r="V167" i="12"/>
  <c r="AG167" i="12" s="1"/>
  <c r="V166" i="12"/>
  <c r="AC166" i="12" s="1"/>
  <c r="AL160" i="12"/>
  <c r="AL172" i="12" s="1"/>
  <c r="AG160" i="12"/>
  <c r="AC160" i="12"/>
  <c r="Y160" i="12"/>
  <c r="AG159" i="12"/>
  <c r="AC159" i="12"/>
  <c r="Y159" i="12"/>
  <c r="AG158" i="12"/>
  <c r="AC158" i="12"/>
  <c r="Y158" i="12"/>
  <c r="AL157" i="12"/>
  <c r="AG157" i="12"/>
  <c r="AC157" i="12"/>
  <c r="Y157" i="12"/>
  <c r="AL156" i="12"/>
  <c r="AG156" i="12"/>
  <c r="AC156" i="12"/>
  <c r="Y156" i="12"/>
  <c r="W156" i="12"/>
  <c r="W167" i="12" s="1"/>
  <c r="AL155" i="12"/>
  <c r="AG155" i="12"/>
  <c r="AC155" i="12"/>
  <c r="Y155" i="12"/>
  <c r="W155" i="12"/>
  <c r="W166" i="12" s="1"/>
  <c r="AL146" i="12"/>
  <c r="X145" i="12"/>
  <c r="W141" i="12"/>
  <c r="V141" i="12"/>
  <c r="AC141" i="12" s="1"/>
  <c r="W140" i="12"/>
  <c r="V140" i="12"/>
  <c r="AG140" i="12" s="1"/>
  <c r="W139" i="12"/>
  <c r="V139" i="12"/>
  <c r="AG139" i="12" s="1"/>
  <c r="W138" i="12"/>
  <c r="V138" i="12"/>
  <c r="AC138" i="12" s="1"/>
  <c r="V137" i="12"/>
  <c r="AC137" i="12" s="1"/>
  <c r="V136" i="12"/>
  <c r="AG136" i="12" s="1"/>
  <c r="AL130" i="12"/>
  <c r="AL142" i="12" s="1"/>
  <c r="AG130" i="12"/>
  <c r="AC130" i="12"/>
  <c r="Y130" i="12"/>
  <c r="AG129" i="12"/>
  <c r="AC129" i="12"/>
  <c r="Y129" i="12"/>
  <c r="AG128" i="12"/>
  <c r="AC128" i="12"/>
  <c r="Y128" i="12"/>
  <c r="AL127" i="12"/>
  <c r="AG127" i="12"/>
  <c r="AC127" i="12"/>
  <c r="Y127" i="12"/>
  <c r="AL126" i="12"/>
  <c r="AG126" i="12"/>
  <c r="AC126" i="12"/>
  <c r="Y126" i="12"/>
  <c r="W126" i="12"/>
  <c r="W137" i="12" s="1"/>
  <c r="AL125" i="12"/>
  <c r="AG125" i="12"/>
  <c r="AC125" i="12"/>
  <c r="Y125" i="12"/>
  <c r="W125" i="12"/>
  <c r="W136" i="12" s="1"/>
  <c r="M57" i="3"/>
  <c r="M35" i="3"/>
  <c r="R85" i="12"/>
  <c r="AL86" i="12"/>
  <c r="X85" i="12"/>
  <c r="W81" i="12"/>
  <c r="V81" i="12"/>
  <c r="W80" i="12"/>
  <c r="V80" i="12"/>
  <c r="AG80" i="12" s="1"/>
  <c r="W79" i="12"/>
  <c r="V79" i="12"/>
  <c r="AG79" i="12" s="1"/>
  <c r="W78" i="12"/>
  <c r="V78" i="12"/>
  <c r="AC78" i="12" s="1"/>
  <c r="V77" i="12"/>
  <c r="AG77" i="12" s="1"/>
  <c r="V76" i="12"/>
  <c r="AL70" i="12"/>
  <c r="AL82" i="12" s="1"/>
  <c r="AG70" i="12"/>
  <c r="AC70" i="12"/>
  <c r="Y70" i="12"/>
  <c r="AG69" i="12"/>
  <c r="AC69" i="12"/>
  <c r="Y69" i="12"/>
  <c r="AG68" i="12"/>
  <c r="AC68" i="12"/>
  <c r="Y68" i="12"/>
  <c r="AL67" i="12"/>
  <c r="AG67" i="12"/>
  <c r="AC67" i="12"/>
  <c r="Y67" i="12"/>
  <c r="AL66" i="12"/>
  <c r="AG66" i="12"/>
  <c r="AC66" i="12"/>
  <c r="Y66" i="12"/>
  <c r="W66" i="12"/>
  <c r="W77" i="12" s="1"/>
  <c r="AL65" i="12"/>
  <c r="AG65" i="12"/>
  <c r="AC65" i="12"/>
  <c r="Y65" i="12"/>
  <c r="W65" i="12"/>
  <c r="W76" i="12" s="1"/>
  <c r="R55" i="12"/>
  <c r="R26" i="12"/>
  <c r="AL56" i="12"/>
  <c r="X55" i="12"/>
  <c r="W51" i="12"/>
  <c r="V51" i="12"/>
  <c r="AC51" i="12" s="1"/>
  <c r="W50" i="12"/>
  <c r="V50" i="12"/>
  <c r="AG50" i="12" s="1"/>
  <c r="W49" i="12"/>
  <c r="V49" i="12"/>
  <c r="AC49" i="12" s="1"/>
  <c r="W48" i="12"/>
  <c r="V48" i="12"/>
  <c r="AG48" i="12" s="1"/>
  <c r="V47" i="12"/>
  <c r="AG47" i="12" s="1"/>
  <c r="V46" i="12"/>
  <c r="AL40" i="12"/>
  <c r="AL52" i="12" s="1"/>
  <c r="AG40" i="12"/>
  <c r="AC40" i="12"/>
  <c r="Y40" i="12"/>
  <c r="AG39" i="12"/>
  <c r="AC39" i="12"/>
  <c r="Y39" i="12"/>
  <c r="AG38" i="12"/>
  <c r="AC38" i="12"/>
  <c r="Y38" i="12"/>
  <c r="AL37" i="12"/>
  <c r="AG37" i="12"/>
  <c r="AC37" i="12"/>
  <c r="Y37" i="12"/>
  <c r="AL36" i="12"/>
  <c r="AG36" i="12"/>
  <c r="AC36" i="12"/>
  <c r="Y36" i="12"/>
  <c r="W36" i="12"/>
  <c r="W47" i="12" s="1"/>
  <c r="AL35" i="12"/>
  <c r="AG35" i="12"/>
  <c r="AC35" i="12"/>
  <c r="Y35" i="12"/>
  <c r="W35" i="12"/>
  <c r="W46" i="12" s="1"/>
  <c r="AL26" i="12"/>
  <c r="AL10" i="12"/>
  <c r="AL22" i="12" s="1"/>
  <c r="AL7" i="12"/>
  <c r="AL6" i="12"/>
  <c r="AL5" i="12"/>
  <c r="V21" i="12"/>
  <c r="AG21" i="12" s="1"/>
  <c r="V20" i="12"/>
  <c r="AG20" i="12" s="1"/>
  <c r="V19" i="12"/>
  <c r="AG19" i="12" s="1"/>
  <c r="V18" i="12"/>
  <c r="AG18" i="12" s="1"/>
  <c r="V17" i="12"/>
  <c r="AG17" i="12" s="1"/>
  <c r="V16" i="12"/>
  <c r="AC16" i="12" s="1"/>
  <c r="B23" i="12"/>
  <c r="B22" i="12"/>
  <c r="B21" i="12"/>
  <c r="B20" i="12"/>
  <c r="B19" i="12"/>
  <c r="B18" i="12"/>
  <c r="B17" i="12"/>
  <c r="B16" i="12"/>
  <c r="A23" i="12"/>
  <c r="A22" i="12"/>
  <c r="A21" i="12"/>
  <c r="A20" i="12"/>
  <c r="A19" i="12"/>
  <c r="A18" i="12"/>
  <c r="A17" i="12"/>
  <c r="A16" i="12"/>
  <c r="D6" i="11" s="1"/>
  <c r="F6" i="11" s="1"/>
  <c r="W18" i="12"/>
  <c r="W19" i="12"/>
  <c r="W20" i="12"/>
  <c r="W21" i="12"/>
  <c r="X25" i="12"/>
  <c r="AG10" i="12"/>
  <c r="AC10" i="12"/>
  <c r="Y10" i="12"/>
  <c r="AG9" i="12"/>
  <c r="AC9" i="12"/>
  <c r="Y9" i="12"/>
  <c r="AG8" i="12"/>
  <c r="AC8" i="12"/>
  <c r="Y8" i="12"/>
  <c r="AG7" i="12"/>
  <c r="AC7" i="12"/>
  <c r="Y7" i="12"/>
  <c r="AG6" i="12"/>
  <c r="AC6" i="12"/>
  <c r="Y6" i="12"/>
  <c r="W6" i="12"/>
  <c r="W17" i="12" s="1"/>
  <c r="AG5" i="12"/>
  <c r="AC5" i="12"/>
  <c r="Y5" i="12"/>
  <c r="W5" i="12"/>
  <c r="W16" i="12" s="1"/>
  <c r="D7" i="14"/>
  <c r="D8" i="14"/>
  <c r="E202" i="14"/>
  <c r="N189" i="14"/>
  <c r="M189" i="14"/>
  <c r="J189" i="14"/>
  <c r="I189" i="14"/>
  <c r="F189" i="14"/>
  <c r="S188" i="14"/>
  <c r="S191" i="14" s="1"/>
  <c r="N188" i="14"/>
  <c r="M188" i="14"/>
  <c r="J188" i="14"/>
  <c r="I188" i="14"/>
  <c r="F188" i="14"/>
  <c r="N187" i="14"/>
  <c r="M187" i="14"/>
  <c r="J187" i="14"/>
  <c r="I187" i="14"/>
  <c r="F187" i="14"/>
  <c r="N186" i="14"/>
  <c r="M186" i="14"/>
  <c r="J186" i="14"/>
  <c r="I186" i="14"/>
  <c r="F186" i="14"/>
  <c r="N185" i="14"/>
  <c r="M185" i="14"/>
  <c r="J185" i="14"/>
  <c r="I185" i="14"/>
  <c r="F185" i="14"/>
  <c r="S184" i="14"/>
  <c r="N184" i="14"/>
  <c r="M184" i="14"/>
  <c r="J184" i="14"/>
  <c r="I184" i="14"/>
  <c r="F184" i="14"/>
  <c r="S183" i="14"/>
  <c r="N183" i="14"/>
  <c r="M183" i="14"/>
  <c r="J183" i="14"/>
  <c r="I183" i="14"/>
  <c r="F183" i="14"/>
  <c r="S182" i="14"/>
  <c r="N182" i="14"/>
  <c r="M182" i="14"/>
  <c r="J182" i="14"/>
  <c r="I182" i="14"/>
  <c r="F182" i="14"/>
  <c r="E173" i="14"/>
  <c r="N160" i="14"/>
  <c r="M160" i="14"/>
  <c r="J160" i="14"/>
  <c r="I160" i="14"/>
  <c r="F160" i="14"/>
  <c r="S159" i="14"/>
  <c r="S162" i="14" s="1"/>
  <c r="N159" i="14"/>
  <c r="M159" i="14"/>
  <c r="J159" i="14"/>
  <c r="I159" i="14"/>
  <c r="F159" i="14"/>
  <c r="N158" i="14"/>
  <c r="M158" i="14"/>
  <c r="J158" i="14"/>
  <c r="I158" i="14"/>
  <c r="F158" i="14"/>
  <c r="N157" i="14"/>
  <c r="M157" i="14"/>
  <c r="J157" i="14"/>
  <c r="I157" i="14"/>
  <c r="F157" i="14"/>
  <c r="N156" i="14"/>
  <c r="M156" i="14"/>
  <c r="J156" i="14"/>
  <c r="I156" i="14"/>
  <c r="F156" i="14"/>
  <c r="S155" i="14"/>
  <c r="N155" i="14"/>
  <c r="M155" i="14"/>
  <c r="J155" i="14"/>
  <c r="I155" i="14"/>
  <c r="F155" i="14"/>
  <c r="S154" i="14"/>
  <c r="N154" i="14"/>
  <c r="M154" i="14"/>
  <c r="J154" i="14"/>
  <c r="I154" i="14"/>
  <c r="F154" i="14"/>
  <c r="S153" i="14"/>
  <c r="N153" i="14"/>
  <c r="M153" i="14"/>
  <c r="J153" i="14"/>
  <c r="I153" i="14"/>
  <c r="F153" i="14"/>
  <c r="E142" i="14"/>
  <c r="N129" i="14"/>
  <c r="M129" i="14"/>
  <c r="J129" i="14"/>
  <c r="I129" i="14"/>
  <c r="F129" i="14"/>
  <c r="S128" i="14"/>
  <c r="S131" i="14" s="1"/>
  <c r="N128" i="14"/>
  <c r="M128" i="14"/>
  <c r="J128" i="14"/>
  <c r="I128" i="14"/>
  <c r="F128" i="14"/>
  <c r="N127" i="14"/>
  <c r="M127" i="14"/>
  <c r="J127" i="14"/>
  <c r="I127" i="14"/>
  <c r="F127" i="14"/>
  <c r="N126" i="14"/>
  <c r="M126" i="14"/>
  <c r="J126" i="14"/>
  <c r="I126" i="14"/>
  <c r="F126" i="14"/>
  <c r="N125" i="14"/>
  <c r="M125" i="14"/>
  <c r="J125" i="14"/>
  <c r="I125" i="14"/>
  <c r="F125" i="14"/>
  <c r="S124" i="14"/>
  <c r="N124" i="14"/>
  <c r="M124" i="14"/>
  <c r="J124" i="14"/>
  <c r="I124" i="14"/>
  <c r="F124" i="14"/>
  <c r="S123" i="14"/>
  <c r="N123" i="14"/>
  <c r="M123" i="14"/>
  <c r="J123" i="14"/>
  <c r="I123" i="14"/>
  <c r="F123" i="14"/>
  <c r="S122" i="14"/>
  <c r="N122" i="14"/>
  <c r="M122" i="14"/>
  <c r="J122" i="14"/>
  <c r="I122" i="14"/>
  <c r="F122" i="14"/>
  <c r="E112" i="14"/>
  <c r="S101" i="14"/>
  <c r="N99" i="14"/>
  <c r="M99" i="14"/>
  <c r="J99" i="14"/>
  <c r="I99" i="14"/>
  <c r="F99" i="14"/>
  <c r="S98" i="14"/>
  <c r="N98" i="14"/>
  <c r="M98" i="14"/>
  <c r="J98" i="14"/>
  <c r="I98" i="14"/>
  <c r="F98" i="14"/>
  <c r="N97" i="14"/>
  <c r="M97" i="14"/>
  <c r="J97" i="14"/>
  <c r="I97" i="14"/>
  <c r="F97" i="14"/>
  <c r="N96" i="14"/>
  <c r="M96" i="14"/>
  <c r="J96" i="14"/>
  <c r="I96" i="14"/>
  <c r="F96" i="14"/>
  <c r="N95" i="14"/>
  <c r="M95" i="14"/>
  <c r="J95" i="14"/>
  <c r="I95" i="14"/>
  <c r="F95" i="14"/>
  <c r="S94" i="14"/>
  <c r="N94" i="14"/>
  <c r="M94" i="14"/>
  <c r="J94" i="14"/>
  <c r="I94" i="14"/>
  <c r="F94" i="14"/>
  <c r="S93" i="14"/>
  <c r="N93" i="14"/>
  <c r="M93" i="14"/>
  <c r="J93" i="14"/>
  <c r="I93" i="14"/>
  <c r="F93" i="14"/>
  <c r="S92" i="14"/>
  <c r="N92" i="14"/>
  <c r="M92" i="14"/>
  <c r="J92" i="14"/>
  <c r="I92" i="14"/>
  <c r="F92" i="14"/>
  <c r="E82" i="14"/>
  <c r="N69" i="14"/>
  <c r="M69" i="14"/>
  <c r="J69" i="14"/>
  <c r="I69" i="14"/>
  <c r="F69" i="14"/>
  <c r="S68" i="14"/>
  <c r="S71" i="14" s="1"/>
  <c r="N68" i="14"/>
  <c r="M68" i="14"/>
  <c r="J68" i="14"/>
  <c r="I68" i="14"/>
  <c r="F68" i="14"/>
  <c r="N67" i="14"/>
  <c r="M67" i="14"/>
  <c r="J67" i="14"/>
  <c r="I67" i="14"/>
  <c r="F67" i="14"/>
  <c r="N66" i="14"/>
  <c r="M66" i="14"/>
  <c r="J66" i="14"/>
  <c r="I66" i="14"/>
  <c r="F66" i="14"/>
  <c r="N65" i="14"/>
  <c r="M65" i="14"/>
  <c r="J65" i="14"/>
  <c r="I65" i="14"/>
  <c r="F65" i="14"/>
  <c r="S64" i="14"/>
  <c r="N64" i="14"/>
  <c r="M64" i="14"/>
  <c r="J64" i="14"/>
  <c r="I64" i="14"/>
  <c r="F64" i="14"/>
  <c r="S63" i="14"/>
  <c r="N63" i="14"/>
  <c r="M63" i="14"/>
  <c r="J63" i="14"/>
  <c r="I63" i="14"/>
  <c r="F63" i="14"/>
  <c r="S62" i="14"/>
  <c r="N62" i="14"/>
  <c r="M62" i="14"/>
  <c r="J62" i="14"/>
  <c r="I62" i="14"/>
  <c r="F62" i="14"/>
  <c r="E52" i="14"/>
  <c r="N39" i="14"/>
  <c r="M39" i="14"/>
  <c r="J39" i="14"/>
  <c r="I39" i="14"/>
  <c r="F39" i="14"/>
  <c r="S38" i="14"/>
  <c r="S41" i="14" s="1"/>
  <c r="N38" i="14"/>
  <c r="M38" i="14"/>
  <c r="J38" i="14"/>
  <c r="I38" i="14"/>
  <c r="F38" i="14"/>
  <c r="N37" i="14"/>
  <c r="M37" i="14"/>
  <c r="J37" i="14"/>
  <c r="I37" i="14"/>
  <c r="F37" i="14"/>
  <c r="N36" i="14"/>
  <c r="M36" i="14"/>
  <c r="J36" i="14"/>
  <c r="I36" i="14"/>
  <c r="F36" i="14"/>
  <c r="N35" i="14"/>
  <c r="M35" i="14"/>
  <c r="J35" i="14"/>
  <c r="I35" i="14"/>
  <c r="F35" i="14"/>
  <c r="S34" i="14"/>
  <c r="N34" i="14"/>
  <c r="M34" i="14"/>
  <c r="J34" i="14"/>
  <c r="I34" i="14"/>
  <c r="F34" i="14"/>
  <c r="S33" i="14"/>
  <c r="N33" i="14"/>
  <c r="M33" i="14"/>
  <c r="J33" i="14"/>
  <c r="I33" i="14"/>
  <c r="F33" i="14"/>
  <c r="S32" i="14"/>
  <c r="N32" i="14"/>
  <c r="M32" i="14"/>
  <c r="J32" i="14"/>
  <c r="I32" i="14"/>
  <c r="F32" i="14"/>
  <c r="E25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C16" i="14"/>
  <c r="B16" i="14"/>
  <c r="A16" i="14"/>
  <c r="N12" i="14"/>
  <c r="M12" i="14"/>
  <c r="J12" i="14"/>
  <c r="I12" i="14"/>
  <c r="F12" i="14"/>
  <c r="D12" i="14"/>
  <c r="N11" i="14"/>
  <c r="M11" i="14"/>
  <c r="N22" i="14" s="1"/>
  <c r="J11" i="14"/>
  <c r="I11" i="14"/>
  <c r="J22" i="14" s="1"/>
  <c r="F11" i="14"/>
  <c r="D11" i="14"/>
  <c r="S10" i="14"/>
  <c r="S22" i="14" s="1"/>
  <c r="N10" i="14"/>
  <c r="M10" i="14"/>
  <c r="J10" i="14"/>
  <c r="I10" i="14"/>
  <c r="F10" i="14"/>
  <c r="D10" i="14"/>
  <c r="N9" i="14"/>
  <c r="M9" i="14"/>
  <c r="J9" i="14"/>
  <c r="I9" i="14"/>
  <c r="F9" i="14"/>
  <c r="D9" i="14"/>
  <c r="N8" i="14"/>
  <c r="M8" i="14"/>
  <c r="N19" i="14" s="1"/>
  <c r="J8" i="14"/>
  <c r="I8" i="14"/>
  <c r="J19" i="14" s="1"/>
  <c r="F8" i="14"/>
  <c r="S7" i="14"/>
  <c r="R7" i="14"/>
  <c r="N7" i="14"/>
  <c r="M7" i="14"/>
  <c r="N18" i="14" s="1"/>
  <c r="J7" i="14"/>
  <c r="I7" i="14"/>
  <c r="J18" i="14" s="1"/>
  <c r="F7" i="14"/>
  <c r="S6" i="14"/>
  <c r="R6" i="14"/>
  <c r="N6" i="14"/>
  <c r="M6" i="14"/>
  <c r="N17" i="14" s="1"/>
  <c r="J6" i="14"/>
  <c r="I6" i="14"/>
  <c r="J17" i="14" s="1"/>
  <c r="F6" i="14"/>
  <c r="D6" i="14"/>
  <c r="S5" i="14"/>
  <c r="R5" i="14"/>
  <c r="N5" i="14"/>
  <c r="M5" i="14"/>
  <c r="N16" i="14" s="1"/>
  <c r="J5" i="14"/>
  <c r="I5" i="14"/>
  <c r="J16" i="14" s="1"/>
  <c r="F5" i="14"/>
  <c r="D5" i="14"/>
  <c r="L55" i="1"/>
  <c r="D55" i="1"/>
  <c r="E55" i="1"/>
  <c r="F55" i="1"/>
  <c r="G55" i="1"/>
  <c r="H55" i="1"/>
  <c r="C55" i="1"/>
  <c r="Q80" i="6"/>
  <c r="J80" i="6"/>
  <c r="AG80" i="6" s="1"/>
  <c r="I80" i="6"/>
  <c r="H80" i="6"/>
  <c r="G80" i="6"/>
  <c r="F80" i="6"/>
  <c r="E80" i="6"/>
  <c r="S80" i="6" s="1"/>
  <c r="D80" i="6"/>
  <c r="R80" i="6" s="1"/>
  <c r="C80" i="6"/>
  <c r="K79" i="6"/>
  <c r="J79" i="6"/>
  <c r="I79" i="6"/>
  <c r="H79" i="6"/>
  <c r="G79" i="6"/>
  <c r="F79" i="6"/>
  <c r="E79" i="6"/>
  <c r="S79" i="6" s="1"/>
  <c r="D79" i="6"/>
  <c r="R79" i="6" s="1"/>
  <c r="C79" i="6"/>
  <c r="Q79" i="6" s="1"/>
  <c r="AA78" i="6"/>
  <c r="J78" i="6"/>
  <c r="K78" i="6" s="1"/>
  <c r="I78" i="6"/>
  <c r="H78" i="6"/>
  <c r="G78" i="6"/>
  <c r="F78" i="6"/>
  <c r="E78" i="6"/>
  <c r="S78" i="6" s="1"/>
  <c r="D78" i="6"/>
  <c r="R78" i="6" s="1"/>
  <c r="C78" i="6"/>
  <c r="Q78" i="6" s="1"/>
  <c r="AA77" i="6"/>
  <c r="J77" i="6"/>
  <c r="AG77" i="6" s="1"/>
  <c r="I77" i="6"/>
  <c r="AF77" i="6" s="1"/>
  <c r="H77" i="6"/>
  <c r="AE77" i="6" s="1"/>
  <c r="G77" i="6"/>
  <c r="AD77" i="6" s="1"/>
  <c r="F77" i="6"/>
  <c r="AC77" i="6" s="1"/>
  <c r="E77" i="6"/>
  <c r="D77" i="6"/>
  <c r="C77" i="6"/>
  <c r="Q77" i="6" s="1"/>
  <c r="I56" i="4"/>
  <c r="D56" i="4"/>
  <c r="J55" i="4"/>
  <c r="J56" i="4" s="1"/>
  <c r="I55" i="4"/>
  <c r="H55" i="4"/>
  <c r="H56" i="4" s="1"/>
  <c r="G55" i="4"/>
  <c r="G56" i="4" s="1"/>
  <c r="F55" i="4"/>
  <c r="F56" i="4" s="1"/>
  <c r="E55" i="4"/>
  <c r="E56" i="4" s="1"/>
  <c r="D55" i="4"/>
  <c r="C55" i="4"/>
  <c r="K55" i="4" s="1"/>
  <c r="J67" i="3"/>
  <c r="I67" i="3"/>
  <c r="H67" i="3"/>
  <c r="G67" i="3"/>
  <c r="F67" i="3"/>
  <c r="E67" i="3"/>
  <c r="D67" i="3"/>
  <c r="C67" i="3"/>
  <c r="K67" i="3" s="1"/>
  <c r="J66" i="3"/>
  <c r="I66" i="3"/>
  <c r="H66" i="3"/>
  <c r="G66" i="3"/>
  <c r="F66" i="3"/>
  <c r="E66" i="3"/>
  <c r="D66" i="3"/>
  <c r="C66" i="3"/>
  <c r="K56" i="2"/>
  <c r="K55" i="2"/>
  <c r="K56" i="1"/>
  <c r="D67" i="6"/>
  <c r="J70" i="4"/>
  <c r="J71" i="4" s="1"/>
  <c r="I70" i="4"/>
  <c r="I71" i="4" s="1"/>
  <c r="H70" i="4"/>
  <c r="H71" i="4" s="1"/>
  <c r="G70" i="4"/>
  <c r="G71" i="4" s="1"/>
  <c r="F70" i="4"/>
  <c r="E70" i="4"/>
  <c r="E71" i="4" s="1"/>
  <c r="D70" i="4"/>
  <c r="C70" i="4"/>
  <c r="F68" i="4"/>
  <c r="J67" i="4"/>
  <c r="J68" i="4" s="1"/>
  <c r="I67" i="4"/>
  <c r="I68" i="4" s="1"/>
  <c r="H67" i="4"/>
  <c r="G67" i="4"/>
  <c r="F67" i="4"/>
  <c r="E67" i="4"/>
  <c r="E68" i="4" s="1"/>
  <c r="D67" i="4"/>
  <c r="D68" i="4" s="1"/>
  <c r="C67" i="4"/>
  <c r="C68" i="4" s="1"/>
  <c r="J61" i="4"/>
  <c r="J62" i="4" s="1"/>
  <c r="I61" i="4"/>
  <c r="H61" i="4"/>
  <c r="H91" i="4" s="1"/>
  <c r="G61" i="4"/>
  <c r="G91" i="4" s="1"/>
  <c r="F61" i="4"/>
  <c r="F91" i="4" s="1"/>
  <c r="E61" i="4"/>
  <c r="E91" i="4" s="1"/>
  <c r="D61" i="4"/>
  <c r="D91" i="4" s="1"/>
  <c r="C61" i="4"/>
  <c r="C62" i="4" s="1"/>
  <c r="J115" i="3"/>
  <c r="I115" i="3"/>
  <c r="I99" i="3" s="1"/>
  <c r="H115" i="3"/>
  <c r="H99" i="3" s="1"/>
  <c r="G115" i="3"/>
  <c r="F115" i="3"/>
  <c r="E115" i="3"/>
  <c r="E99" i="3" s="1"/>
  <c r="E102" i="3" s="1"/>
  <c r="D115" i="3"/>
  <c r="D99" i="3" s="1"/>
  <c r="C115" i="3"/>
  <c r="C99" i="3" s="1"/>
  <c r="K113" i="3"/>
  <c r="K112" i="3"/>
  <c r="K111" i="3"/>
  <c r="K110" i="3"/>
  <c r="K109" i="3"/>
  <c r="K108" i="3"/>
  <c r="K107" i="3"/>
  <c r="J101" i="3"/>
  <c r="J99" i="3"/>
  <c r="J102" i="3" s="1"/>
  <c r="J104" i="3" s="1"/>
  <c r="G99" i="3"/>
  <c r="G102" i="3" s="1"/>
  <c r="F99" i="3"/>
  <c r="F102" i="3" s="1"/>
  <c r="J98" i="3"/>
  <c r="I98" i="3"/>
  <c r="H98" i="3"/>
  <c r="G98" i="3"/>
  <c r="F98" i="3"/>
  <c r="E98" i="3"/>
  <c r="D98" i="3"/>
  <c r="C98" i="3"/>
  <c r="K96" i="3"/>
  <c r="K93" i="3"/>
  <c r="J92" i="3"/>
  <c r="I92" i="3"/>
  <c r="H92" i="3"/>
  <c r="G92" i="3"/>
  <c r="F92" i="3"/>
  <c r="E92" i="3"/>
  <c r="D92" i="3"/>
  <c r="C92" i="3"/>
  <c r="K90" i="3"/>
  <c r="K92" i="3" s="1"/>
  <c r="K87" i="3"/>
  <c r="K89" i="3" s="1"/>
  <c r="K84" i="3"/>
  <c r="K81" i="3"/>
  <c r="K78" i="3"/>
  <c r="H77" i="3"/>
  <c r="K75" i="3"/>
  <c r="K77" i="3" s="1"/>
  <c r="K72" i="3"/>
  <c r="K93" i="2"/>
  <c r="K79" i="2" s="1"/>
  <c r="J93" i="2"/>
  <c r="J79" i="2" s="1"/>
  <c r="I93" i="2"/>
  <c r="I79" i="2" s="1"/>
  <c r="H93" i="2"/>
  <c r="G93" i="2"/>
  <c r="F93" i="2"/>
  <c r="E93" i="2"/>
  <c r="E79" i="2" s="1"/>
  <c r="D93" i="2"/>
  <c r="D79" i="2" s="1"/>
  <c r="C93" i="2"/>
  <c r="L91" i="2"/>
  <c r="L90" i="2"/>
  <c r="L89" i="2"/>
  <c r="L88" i="2"/>
  <c r="L87" i="2"/>
  <c r="L86" i="2"/>
  <c r="L85" i="2"/>
  <c r="K82" i="2"/>
  <c r="J82" i="2"/>
  <c r="J89" i="3" s="1"/>
  <c r="I82" i="2"/>
  <c r="I89" i="3" s="1"/>
  <c r="H82" i="2"/>
  <c r="H89" i="3" s="1"/>
  <c r="G82" i="2"/>
  <c r="G89" i="3" s="1"/>
  <c r="F82" i="2"/>
  <c r="F89" i="3" s="1"/>
  <c r="E82" i="2"/>
  <c r="E89" i="3" s="1"/>
  <c r="D82" i="2"/>
  <c r="D89" i="3" s="1"/>
  <c r="C82" i="2"/>
  <c r="C89" i="3" s="1"/>
  <c r="L81" i="2"/>
  <c r="H79" i="2"/>
  <c r="G79" i="2"/>
  <c r="F79" i="2"/>
  <c r="C79" i="2"/>
  <c r="K78" i="2"/>
  <c r="J78" i="2"/>
  <c r="J83" i="3" s="1"/>
  <c r="I78" i="2"/>
  <c r="I83" i="3" s="1"/>
  <c r="H78" i="2"/>
  <c r="H83" i="3" s="1"/>
  <c r="G78" i="2"/>
  <c r="G83" i="3" s="1"/>
  <c r="F78" i="2"/>
  <c r="F83" i="3" s="1"/>
  <c r="E78" i="2"/>
  <c r="E83" i="3" s="1"/>
  <c r="D78" i="2"/>
  <c r="D83" i="3" s="1"/>
  <c r="C78" i="2"/>
  <c r="C83" i="3" s="1"/>
  <c r="L77" i="2"/>
  <c r="K76" i="2"/>
  <c r="J76" i="2"/>
  <c r="J80" i="3" s="1"/>
  <c r="I76" i="2"/>
  <c r="I80" i="3" s="1"/>
  <c r="H76" i="2"/>
  <c r="H80" i="3" s="1"/>
  <c r="G76" i="2"/>
  <c r="G80" i="3" s="1"/>
  <c r="F76" i="2"/>
  <c r="F80" i="3" s="1"/>
  <c r="E76" i="2"/>
  <c r="E80" i="3" s="1"/>
  <c r="D76" i="2"/>
  <c r="D80" i="3" s="1"/>
  <c r="C76" i="2"/>
  <c r="C80" i="3" s="1"/>
  <c r="L75" i="2"/>
  <c r="K74" i="2"/>
  <c r="J74" i="2"/>
  <c r="J77" i="3" s="1"/>
  <c r="I74" i="2"/>
  <c r="I77" i="3" s="1"/>
  <c r="H74" i="2"/>
  <c r="G74" i="2"/>
  <c r="G77" i="3" s="1"/>
  <c r="F74" i="2"/>
  <c r="F77" i="3" s="1"/>
  <c r="E74" i="2"/>
  <c r="E77" i="3" s="1"/>
  <c r="D74" i="2"/>
  <c r="D77" i="3" s="1"/>
  <c r="C74" i="2"/>
  <c r="C77" i="3" s="1"/>
  <c r="L73" i="2"/>
  <c r="K72" i="2"/>
  <c r="J72" i="2"/>
  <c r="J74" i="3" s="1"/>
  <c r="I72" i="2"/>
  <c r="I74" i="3" s="1"/>
  <c r="H72" i="2"/>
  <c r="H74" i="3" s="1"/>
  <c r="G72" i="2"/>
  <c r="G74" i="3" s="1"/>
  <c r="F72" i="2"/>
  <c r="F74" i="3" s="1"/>
  <c r="E72" i="2"/>
  <c r="E74" i="3" s="1"/>
  <c r="D72" i="2"/>
  <c r="D74" i="3" s="1"/>
  <c r="C72" i="2"/>
  <c r="C74" i="3" s="1"/>
  <c r="L71" i="2"/>
  <c r="K70" i="2"/>
  <c r="J70" i="2"/>
  <c r="I70" i="2"/>
  <c r="H70" i="2"/>
  <c r="G70" i="2"/>
  <c r="F70" i="2"/>
  <c r="E70" i="2"/>
  <c r="D70" i="2"/>
  <c r="C70" i="2"/>
  <c r="L69" i="2"/>
  <c r="K68" i="2"/>
  <c r="J68" i="2"/>
  <c r="I68" i="2"/>
  <c r="H68" i="2"/>
  <c r="G68" i="2"/>
  <c r="F68" i="2"/>
  <c r="E68" i="2"/>
  <c r="D68" i="2"/>
  <c r="C68" i="2"/>
  <c r="L67" i="2"/>
  <c r="K66" i="2"/>
  <c r="J66" i="2"/>
  <c r="I66" i="2"/>
  <c r="H66" i="2"/>
  <c r="G66" i="2"/>
  <c r="F66" i="2"/>
  <c r="E66" i="2"/>
  <c r="D66" i="2"/>
  <c r="C66" i="2"/>
  <c r="L65" i="2"/>
  <c r="K64" i="2"/>
  <c r="J64" i="2"/>
  <c r="I64" i="2"/>
  <c r="H64" i="2"/>
  <c r="G64" i="2"/>
  <c r="F64" i="2"/>
  <c r="E64" i="2"/>
  <c r="D64" i="2"/>
  <c r="C64" i="2"/>
  <c r="L63" i="2"/>
  <c r="K62" i="2"/>
  <c r="J62" i="2"/>
  <c r="I62" i="2"/>
  <c r="H62" i="2"/>
  <c r="G62" i="2"/>
  <c r="F62" i="2"/>
  <c r="E62" i="2"/>
  <c r="D62" i="2"/>
  <c r="C62" i="2"/>
  <c r="L61" i="2"/>
  <c r="K47" i="2"/>
  <c r="D55" i="2" s="1"/>
  <c r="K48" i="2"/>
  <c r="K96" i="1"/>
  <c r="J96" i="1"/>
  <c r="I96" i="1"/>
  <c r="H96" i="1"/>
  <c r="H80" i="1" s="1"/>
  <c r="H82" i="1" s="1"/>
  <c r="G96" i="1"/>
  <c r="G80" i="1" s="1"/>
  <c r="F96" i="1"/>
  <c r="F80" i="1" s="1"/>
  <c r="E96" i="1"/>
  <c r="E80" i="1" s="1"/>
  <c r="D96" i="1"/>
  <c r="D80" i="1" s="1"/>
  <c r="C96" i="1"/>
  <c r="J80" i="1"/>
  <c r="I80" i="1"/>
  <c r="I82" i="1" s="1"/>
  <c r="C80" i="1"/>
  <c r="K78" i="1"/>
  <c r="K76" i="1"/>
  <c r="K74" i="1"/>
  <c r="K72" i="1"/>
  <c r="K70" i="1"/>
  <c r="K68" i="1"/>
  <c r="K66" i="1"/>
  <c r="K64" i="1"/>
  <c r="K62" i="1"/>
  <c r="K47" i="1"/>
  <c r="D46" i="1"/>
  <c r="E46" i="1"/>
  <c r="E67" i="6" s="1"/>
  <c r="F46" i="1"/>
  <c r="F67" i="6" s="1"/>
  <c r="C46" i="1"/>
  <c r="C67" i="6" s="1"/>
  <c r="Z67" i="6" s="1"/>
  <c r="AU36" i="11"/>
  <c r="AM36" i="11"/>
  <c r="AE40" i="11"/>
  <c r="AE39" i="11"/>
  <c r="D145" i="12"/>
  <c r="M132" i="12"/>
  <c r="I132" i="12"/>
  <c r="E132" i="12"/>
  <c r="R131" i="12"/>
  <c r="R134" i="12" s="1"/>
  <c r="M131" i="12"/>
  <c r="I131" i="12"/>
  <c r="E131" i="12"/>
  <c r="M130" i="12"/>
  <c r="I130" i="12"/>
  <c r="E130" i="12"/>
  <c r="M129" i="12"/>
  <c r="I129" i="12"/>
  <c r="E129" i="12"/>
  <c r="M128" i="12"/>
  <c r="I128" i="12"/>
  <c r="E128" i="12"/>
  <c r="R127" i="12"/>
  <c r="M127" i="12"/>
  <c r="I127" i="12"/>
  <c r="E127" i="12"/>
  <c r="R126" i="12"/>
  <c r="M126" i="12"/>
  <c r="I126" i="12"/>
  <c r="E126" i="12"/>
  <c r="R125" i="12"/>
  <c r="M125" i="12"/>
  <c r="I125" i="12"/>
  <c r="E125" i="12"/>
  <c r="R101" i="12"/>
  <c r="R104" i="12" s="1"/>
  <c r="R97" i="12"/>
  <c r="R96" i="12"/>
  <c r="R95" i="12"/>
  <c r="R71" i="12"/>
  <c r="R74" i="12" s="1"/>
  <c r="R67" i="12"/>
  <c r="R66" i="12"/>
  <c r="R65" i="12"/>
  <c r="AG260" i="12" l="1"/>
  <c r="AC260" i="12"/>
  <c r="AG258" i="12"/>
  <c r="AC258" i="12"/>
  <c r="AG256" i="12"/>
  <c r="AG264" i="12" s="1"/>
  <c r="AC256" i="12"/>
  <c r="AC264" i="12" s="1"/>
  <c r="E253" i="12"/>
  <c r="V264" i="12"/>
  <c r="Y253" i="12"/>
  <c r="AC167" i="12"/>
  <c r="D9" i="11"/>
  <c r="D10" i="11"/>
  <c r="D11" i="11"/>
  <c r="V204" i="12"/>
  <c r="D12" i="11"/>
  <c r="AC195" i="12"/>
  <c r="AG225" i="12"/>
  <c r="AC227" i="12"/>
  <c r="AG141" i="12"/>
  <c r="AC196" i="12"/>
  <c r="AC200" i="12"/>
  <c r="AG171" i="12"/>
  <c r="E223" i="12"/>
  <c r="AG226" i="12"/>
  <c r="AC226" i="12"/>
  <c r="AG230" i="12"/>
  <c r="AC230" i="12"/>
  <c r="V234" i="12"/>
  <c r="AG228" i="12"/>
  <c r="AC228" i="12"/>
  <c r="Y223" i="12"/>
  <c r="Y193" i="12"/>
  <c r="AC198" i="12"/>
  <c r="AC199" i="12"/>
  <c r="AG195" i="12"/>
  <c r="AG204" i="12" s="1"/>
  <c r="E193" i="12"/>
  <c r="AG138" i="12"/>
  <c r="AG16" i="12"/>
  <c r="AG137" i="12"/>
  <c r="AG166" i="12"/>
  <c r="AC136" i="12"/>
  <c r="AG168" i="12"/>
  <c r="E164" i="12"/>
  <c r="Y164" i="12"/>
  <c r="AC169" i="12"/>
  <c r="AC170" i="12"/>
  <c r="V175" i="12"/>
  <c r="AC77" i="12"/>
  <c r="AC81" i="12"/>
  <c r="AG81" i="12"/>
  <c r="AC139" i="12"/>
  <c r="V85" i="12"/>
  <c r="X249" i="12" s="1"/>
  <c r="Y260" i="12" s="1"/>
  <c r="AC140" i="12"/>
  <c r="AG49" i="12"/>
  <c r="AG78" i="12"/>
  <c r="AG76" i="12"/>
  <c r="Y134" i="12"/>
  <c r="V145" i="12"/>
  <c r="X158" i="12" s="1"/>
  <c r="Y169" i="12" s="1"/>
  <c r="AH169" i="12" s="1"/>
  <c r="Y74" i="12"/>
  <c r="AC79" i="12"/>
  <c r="AC80" i="12"/>
  <c r="V55" i="12"/>
  <c r="AC21" i="12"/>
  <c r="Y44" i="12"/>
  <c r="AC50" i="12"/>
  <c r="AG51" i="12"/>
  <c r="AC46" i="12"/>
  <c r="AC18" i="12"/>
  <c r="AC17" i="12"/>
  <c r="AG46" i="12"/>
  <c r="AC47" i="12"/>
  <c r="AC48" i="12"/>
  <c r="AC20" i="12"/>
  <c r="AC19" i="12"/>
  <c r="V25" i="12"/>
  <c r="D8" i="11"/>
  <c r="D13" i="11"/>
  <c r="D7" i="11"/>
  <c r="Y14" i="12"/>
  <c r="B25" i="12"/>
  <c r="J20" i="14"/>
  <c r="N21" i="14"/>
  <c r="N20" i="14"/>
  <c r="A25" i="14"/>
  <c r="S164" i="14" s="1"/>
  <c r="F14" i="14"/>
  <c r="J21" i="14"/>
  <c r="N23" i="14"/>
  <c r="N25" i="14" s="1"/>
  <c r="S16" i="14"/>
  <c r="S44" i="14"/>
  <c r="S195" i="14"/>
  <c r="S194" i="14"/>
  <c r="S193" i="14"/>
  <c r="S166" i="14"/>
  <c r="S165" i="14"/>
  <c r="S134" i="14"/>
  <c r="S133" i="14"/>
  <c r="S105" i="14"/>
  <c r="S104" i="14"/>
  <c r="S103" i="14"/>
  <c r="S75" i="14"/>
  <c r="S43" i="14"/>
  <c r="F79" i="14"/>
  <c r="O79" i="14" s="1"/>
  <c r="G46" i="14"/>
  <c r="G16" i="14"/>
  <c r="F170" i="14"/>
  <c r="K170" i="14" s="1"/>
  <c r="G47" i="14"/>
  <c r="F139" i="14"/>
  <c r="K139" i="14" s="1"/>
  <c r="F199" i="14"/>
  <c r="O199" i="14" s="1"/>
  <c r="F109" i="14"/>
  <c r="K109" i="14" s="1"/>
  <c r="S17" i="14"/>
  <c r="S18" i="14"/>
  <c r="G17" i="14"/>
  <c r="G45" i="14"/>
  <c r="F108" i="14"/>
  <c r="K108" i="14" s="1"/>
  <c r="F131" i="14"/>
  <c r="F133" i="14"/>
  <c r="O133" i="14" s="1"/>
  <c r="T18" i="14"/>
  <c r="G49" i="14"/>
  <c r="F76" i="14"/>
  <c r="K76" i="14" s="1"/>
  <c r="F77" i="14"/>
  <c r="K77" i="14" s="1"/>
  <c r="F194" i="14"/>
  <c r="O194" i="14" s="1"/>
  <c r="F195" i="14"/>
  <c r="K195" i="14" s="1"/>
  <c r="F198" i="14"/>
  <c r="O198" i="14" s="1"/>
  <c r="F78" i="14"/>
  <c r="O78" i="14" s="1"/>
  <c r="F196" i="14"/>
  <c r="K196" i="14" s="1"/>
  <c r="G44" i="14"/>
  <c r="G48" i="14"/>
  <c r="F134" i="14"/>
  <c r="K134" i="14" s="1"/>
  <c r="F162" i="14"/>
  <c r="F164" i="14"/>
  <c r="K198" i="14"/>
  <c r="G19" i="14"/>
  <c r="G21" i="14"/>
  <c r="B25" i="14"/>
  <c r="O75" i="14"/>
  <c r="F136" i="14"/>
  <c r="K136" i="14" s="1"/>
  <c r="F137" i="14"/>
  <c r="K137" i="14" s="1"/>
  <c r="F71" i="14"/>
  <c r="F73" i="14"/>
  <c r="F105" i="14"/>
  <c r="K105" i="14" s="1"/>
  <c r="F75" i="14"/>
  <c r="K75" i="14" s="1"/>
  <c r="G43" i="14"/>
  <c r="F41" i="14"/>
  <c r="F197" i="14"/>
  <c r="O197" i="14" s="1"/>
  <c r="G20" i="14"/>
  <c r="G23" i="14"/>
  <c r="F104" i="14"/>
  <c r="K104" i="14" s="1"/>
  <c r="F165" i="14"/>
  <c r="O165" i="14" s="1"/>
  <c r="F166" i="14"/>
  <c r="K166" i="14" s="1"/>
  <c r="F191" i="14"/>
  <c r="F193" i="14"/>
  <c r="O196" i="14"/>
  <c r="G22" i="14"/>
  <c r="J23" i="14"/>
  <c r="F101" i="14"/>
  <c r="F103" i="14"/>
  <c r="F167" i="14"/>
  <c r="K167" i="14" s="1"/>
  <c r="AE78" i="6"/>
  <c r="AE80" i="6"/>
  <c r="AE79" i="6"/>
  <c r="AD79" i="6"/>
  <c r="S77" i="6"/>
  <c r="AD78" i="6"/>
  <c r="AC78" i="6"/>
  <c r="AB77" i="6"/>
  <c r="AB78" i="6"/>
  <c r="AB79" i="6"/>
  <c r="Z80" i="6"/>
  <c r="K77" i="6"/>
  <c r="AH77" i="6" s="1"/>
  <c r="AI77" i="6" s="1"/>
  <c r="AF78" i="6"/>
  <c r="AG79" i="6"/>
  <c r="AF79" i="6"/>
  <c r="AF80" i="6"/>
  <c r="U79" i="6"/>
  <c r="AD80" i="6"/>
  <c r="AG78" i="6"/>
  <c r="Z79" i="6"/>
  <c r="AA80" i="6"/>
  <c r="R77" i="6"/>
  <c r="M77" i="6"/>
  <c r="Z77" i="6"/>
  <c r="Z78" i="6"/>
  <c r="AA79" i="6"/>
  <c r="K80" i="6"/>
  <c r="AB80" i="6"/>
  <c r="AC80" i="6"/>
  <c r="AC79" i="6"/>
  <c r="T77" i="6"/>
  <c r="T80" i="6"/>
  <c r="U80" i="6" s="1"/>
  <c r="T79" i="6"/>
  <c r="T78" i="6"/>
  <c r="U78" i="6" s="1"/>
  <c r="K56" i="4"/>
  <c r="C56" i="4"/>
  <c r="H101" i="3"/>
  <c r="H102" i="3"/>
  <c r="H104" i="3" s="1"/>
  <c r="E62" i="4"/>
  <c r="K115" i="3"/>
  <c r="G101" i="3"/>
  <c r="K98" i="3"/>
  <c r="H47" i="2"/>
  <c r="H68" i="6" s="1"/>
  <c r="F62" i="4"/>
  <c r="G47" i="2"/>
  <c r="G68" i="6" s="1"/>
  <c r="E55" i="2"/>
  <c r="F47" i="2"/>
  <c r="F68" i="6" s="1"/>
  <c r="AC68" i="6" s="1"/>
  <c r="F55" i="2"/>
  <c r="G55" i="2"/>
  <c r="R68" i="6"/>
  <c r="E47" i="2"/>
  <c r="E68" i="6" s="1"/>
  <c r="S68" i="6" s="1"/>
  <c r="K80" i="3"/>
  <c r="H55" i="2"/>
  <c r="D47" i="2"/>
  <c r="D68" i="6" s="1"/>
  <c r="I55" i="2"/>
  <c r="C47" i="2"/>
  <c r="C68" i="6" s="1"/>
  <c r="Z68" i="6" s="1"/>
  <c r="K83" i="3"/>
  <c r="J55" i="2"/>
  <c r="J47" i="2"/>
  <c r="J68" i="6" s="1"/>
  <c r="F71" i="4"/>
  <c r="C55" i="2"/>
  <c r="I47" i="2"/>
  <c r="I68" i="6" s="1"/>
  <c r="T68" i="6" s="1"/>
  <c r="K74" i="3"/>
  <c r="D62" i="4"/>
  <c r="Q67" i="6"/>
  <c r="AA67" i="6"/>
  <c r="AA68" i="6"/>
  <c r="AB67" i="6"/>
  <c r="AB68" i="6"/>
  <c r="AC67" i="6"/>
  <c r="G92" i="4"/>
  <c r="E92" i="4"/>
  <c r="D92" i="4"/>
  <c r="F92" i="4"/>
  <c r="H92" i="4"/>
  <c r="K70" i="4"/>
  <c r="G62" i="4"/>
  <c r="G68" i="4"/>
  <c r="C71" i="4"/>
  <c r="I91" i="4"/>
  <c r="H62" i="4"/>
  <c r="H68" i="4"/>
  <c r="D71" i="4"/>
  <c r="J91" i="4"/>
  <c r="K61" i="4"/>
  <c r="I62" i="4"/>
  <c r="K67" i="4"/>
  <c r="C91" i="4"/>
  <c r="F104" i="3"/>
  <c r="C101" i="3"/>
  <c r="K99" i="3"/>
  <c r="K102" i="3" s="1"/>
  <c r="C102" i="3"/>
  <c r="G104" i="3"/>
  <c r="D102" i="3"/>
  <c r="D101" i="3"/>
  <c r="I101" i="3"/>
  <c r="I102" i="3"/>
  <c r="E104" i="3"/>
  <c r="E101" i="3"/>
  <c r="F101" i="3"/>
  <c r="L79" i="2"/>
  <c r="E82" i="1"/>
  <c r="G82" i="1"/>
  <c r="D82" i="1"/>
  <c r="F82" i="1"/>
  <c r="K80" i="1"/>
  <c r="J82" i="1"/>
  <c r="C82" i="1"/>
  <c r="P12" i="13"/>
  <c r="E134" i="12"/>
  <c r="Z260" i="12" l="1"/>
  <c r="Z257" i="12"/>
  <c r="Z259" i="12"/>
  <c r="Z256" i="12"/>
  <c r="Z258" i="12"/>
  <c r="Z255" i="12"/>
  <c r="X248" i="12"/>
  <c r="Y259" i="12" s="1"/>
  <c r="X245" i="12"/>
  <c r="Y256" i="12" s="1"/>
  <c r="X244" i="12"/>
  <c r="X246" i="12"/>
  <c r="Y257" i="12" s="1"/>
  <c r="X247" i="12"/>
  <c r="Y258" i="12" s="1"/>
  <c r="AB253" i="12"/>
  <c r="AG234" i="12"/>
  <c r="X217" i="12"/>
  <c r="Y228" i="12" s="1"/>
  <c r="X216" i="12"/>
  <c r="Y227" i="12" s="1"/>
  <c r="X218" i="12"/>
  <c r="Y229" i="12" s="1"/>
  <c r="Z171" i="12"/>
  <c r="AD171" i="12" s="1"/>
  <c r="Z230" i="12"/>
  <c r="Z197" i="12"/>
  <c r="Z227" i="12"/>
  <c r="Z196" i="12"/>
  <c r="AH196" i="12" s="1"/>
  <c r="X219" i="12"/>
  <c r="Y230" i="12" s="1"/>
  <c r="Z229" i="12"/>
  <c r="Z168" i="12"/>
  <c r="AD168" i="12" s="1"/>
  <c r="Z198" i="12"/>
  <c r="AD198" i="12" s="1"/>
  <c r="X214" i="12"/>
  <c r="Y225" i="12" s="1"/>
  <c r="AC234" i="12"/>
  <c r="AB223" i="12" s="1"/>
  <c r="Z225" i="12"/>
  <c r="X215" i="12"/>
  <c r="Y226" i="12" s="1"/>
  <c r="Z195" i="12"/>
  <c r="AD195" i="12" s="1"/>
  <c r="Z226" i="12"/>
  <c r="X187" i="12"/>
  <c r="Y198" i="12" s="1"/>
  <c r="Z228" i="12"/>
  <c r="AC204" i="12"/>
  <c r="AB193" i="12" s="1"/>
  <c r="AG175" i="12"/>
  <c r="Z200" i="12"/>
  <c r="Z199" i="12"/>
  <c r="X65" i="12"/>
  <c r="Y76" i="12" s="1"/>
  <c r="X184" i="12"/>
  <c r="Y195" i="12" s="1"/>
  <c r="X185" i="12"/>
  <c r="Y196" i="12" s="1"/>
  <c r="X188" i="12"/>
  <c r="Y199" i="12" s="1"/>
  <c r="X186" i="12"/>
  <c r="Y197" i="12" s="1"/>
  <c r="X189" i="12"/>
  <c r="Y200" i="12" s="1"/>
  <c r="Z169" i="12"/>
  <c r="AD169" i="12" s="1"/>
  <c r="Z166" i="12"/>
  <c r="AD166" i="12" s="1"/>
  <c r="X157" i="12"/>
  <c r="Y168" i="12" s="1"/>
  <c r="AH168" i="12" s="1"/>
  <c r="Z139" i="12"/>
  <c r="AD139" i="12" s="1"/>
  <c r="Z167" i="12"/>
  <c r="AC175" i="12"/>
  <c r="AB164" i="12" s="1"/>
  <c r="Z170" i="12"/>
  <c r="AD170" i="12" s="1"/>
  <c r="X126" i="12"/>
  <c r="Y137" i="12" s="1"/>
  <c r="X160" i="12"/>
  <c r="Y171" i="12" s="1"/>
  <c r="AH171" i="12" s="1"/>
  <c r="X155" i="12"/>
  <c r="X156" i="12"/>
  <c r="Y167" i="12" s="1"/>
  <c r="AH167" i="12" s="1"/>
  <c r="X159" i="12"/>
  <c r="Y170" i="12" s="1"/>
  <c r="AH170" i="12" s="1"/>
  <c r="X130" i="12"/>
  <c r="Y141" i="12" s="1"/>
  <c r="X66" i="12"/>
  <c r="Y77" i="12" s="1"/>
  <c r="X125" i="12"/>
  <c r="Y136" i="12" s="1"/>
  <c r="AH136" i="12" s="1"/>
  <c r="X127" i="12"/>
  <c r="Y138" i="12" s="1"/>
  <c r="X68" i="12"/>
  <c r="Y79" i="12" s="1"/>
  <c r="X67" i="12"/>
  <c r="Y78" i="12" s="1"/>
  <c r="AG85" i="12"/>
  <c r="X69" i="12"/>
  <c r="Y80" i="12" s="1"/>
  <c r="AC145" i="12"/>
  <c r="AB134" i="12" s="1"/>
  <c r="X128" i="12"/>
  <c r="Y139" i="12" s="1"/>
  <c r="X129" i="12"/>
  <c r="Y140" i="12" s="1"/>
  <c r="X70" i="12"/>
  <c r="Y81" i="12" s="1"/>
  <c r="AG145" i="12"/>
  <c r="Z76" i="12"/>
  <c r="Z138" i="12"/>
  <c r="AD138" i="12" s="1"/>
  <c r="Z137" i="12"/>
  <c r="AD137" i="12" s="1"/>
  <c r="Z136" i="12"/>
  <c r="AD136" i="12" s="1"/>
  <c r="Z140" i="12"/>
  <c r="AD140" i="12" s="1"/>
  <c r="Z141" i="12"/>
  <c r="AD141" i="12" s="1"/>
  <c r="X9" i="12"/>
  <c r="Y20" i="12" s="1"/>
  <c r="Z16" i="12"/>
  <c r="Z47" i="12"/>
  <c r="X5" i="12"/>
  <c r="Y16" i="12" s="1"/>
  <c r="Z78" i="12"/>
  <c r="Z51" i="12"/>
  <c r="Z79" i="12"/>
  <c r="Z77" i="12"/>
  <c r="Z80" i="12"/>
  <c r="Z81" i="12"/>
  <c r="X37" i="12"/>
  <c r="Y48" i="12" s="1"/>
  <c r="AG55" i="12"/>
  <c r="Z18" i="12"/>
  <c r="Z48" i="12"/>
  <c r="X35" i="12"/>
  <c r="X39" i="12"/>
  <c r="Y50" i="12" s="1"/>
  <c r="X36" i="12"/>
  <c r="Y47" i="12" s="1"/>
  <c r="Z46" i="12"/>
  <c r="X40" i="12"/>
  <c r="Y51" i="12" s="1"/>
  <c r="X38" i="12"/>
  <c r="Y49" i="12" s="1"/>
  <c r="Z50" i="12"/>
  <c r="Z17" i="12"/>
  <c r="Z49" i="12"/>
  <c r="X8" i="12"/>
  <c r="Y19" i="12" s="1"/>
  <c r="AC55" i="12"/>
  <c r="Z20" i="12"/>
  <c r="X6" i="12"/>
  <c r="Y17" i="12" s="1"/>
  <c r="X10" i="12"/>
  <c r="Y21" i="12" s="1"/>
  <c r="Z19" i="12"/>
  <c r="Z21" i="12"/>
  <c r="X7" i="12"/>
  <c r="Y18" i="12" s="1"/>
  <c r="G50" i="14"/>
  <c r="F110" i="14"/>
  <c r="K110" i="14" s="1"/>
  <c r="O108" i="14"/>
  <c r="F107" i="14"/>
  <c r="O107" i="14" s="1"/>
  <c r="F138" i="14"/>
  <c r="K138" i="14" s="1"/>
  <c r="F140" i="14"/>
  <c r="F74" i="14"/>
  <c r="O74" i="14" s="1"/>
  <c r="T17" i="14"/>
  <c r="T16" i="14"/>
  <c r="S73" i="14"/>
  <c r="S82" i="14" s="1"/>
  <c r="S135" i="14"/>
  <c r="S45" i="14"/>
  <c r="S52" i="14" s="1"/>
  <c r="F200" i="14"/>
  <c r="K200" i="14" s="1"/>
  <c r="F168" i="14"/>
  <c r="O168" i="14" s="1"/>
  <c r="F169" i="14"/>
  <c r="O169" i="14" s="1"/>
  <c r="F80" i="14"/>
  <c r="K80" i="14" s="1"/>
  <c r="F171" i="14"/>
  <c r="F106" i="14"/>
  <c r="F135" i="14"/>
  <c r="K135" i="14" s="1"/>
  <c r="G18" i="14"/>
  <c r="S74" i="14"/>
  <c r="S112" i="14"/>
  <c r="O139" i="14"/>
  <c r="S202" i="14"/>
  <c r="AI182" i="14" s="1"/>
  <c r="O135" i="14"/>
  <c r="O134" i="14"/>
  <c r="J25" i="14"/>
  <c r="N26" i="14" s="1"/>
  <c r="K197" i="14"/>
  <c r="S142" i="14"/>
  <c r="AI124" i="14" s="1"/>
  <c r="O104" i="14"/>
  <c r="K168" i="14"/>
  <c r="K169" i="14"/>
  <c r="O76" i="14"/>
  <c r="K74" i="14"/>
  <c r="O110" i="14"/>
  <c r="O137" i="14"/>
  <c r="O105" i="14"/>
  <c r="K194" i="14"/>
  <c r="K78" i="14"/>
  <c r="K79" i="14"/>
  <c r="S20" i="14"/>
  <c r="R14" i="14" s="1"/>
  <c r="AI6" i="14" s="1"/>
  <c r="K165" i="14"/>
  <c r="O136" i="14"/>
  <c r="G25" i="14"/>
  <c r="K103" i="14"/>
  <c r="O109" i="14"/>
  <c r="O170" i="14"/>
  <c r="K133" i="14"/>
  <c r="K193" i="14"/>
  <c r="O193" i="14"/>
  <c r="K199" i="14"/>
  <c r="K107" i="14"/>
  <c r="O167" i="14"/>
  <c r="O103" i="14"/>
  <c r="O77" i="14"/>
  <c r="F173" i="14"/>
  <c r="K164" i="14"/>
  <c r="O80" i="14"/>
  <c r="W5" i="14"/>
  <c r="I14" i="14"/>
  <c r="W6" i="14" s="1"/>
  <c r="G52" i="14"/>
  <c r="T20" i="14"/>
  <c r="O164" i="14"/>
  <c r="M14" i="14"/>
  <c r="Z6" i="14" s="1"/>
  <c r="Z5" i="14"/>
  <c r="O195" i="14"/>
  <c r="K73" i="14"/>
  <c r="O166" i="14"/>
  <c r="O73" i="14"/>
  <c r="S173" i="14"/>
  <c r="AH78" i="6"/>
  <c r="AH79" i="6"/>
  <c r="W77" i="6"/>
  <c r="L77" i="6"/>
  <c r="AH80" i="6"/>
  <c r="U77" i="6"/>
  <c r="V77" i="6" s="1"/>
  <c r="Q68" i="6"/>
  <c r="K68" i="6"/>
  <c r="U68" i="6"/>
  <c r="K71" i="4"/>
  <c r="K68" i="4"/>
  <c r="K62" i="4"/>
  <c r="K91" i="4"/>
  <c r="I92" i="4"/>
  <c r="C92" i="4"/>
  <c r="J92" i="4"/>
  <c r="I104" i="3"/>
  <c r="K101" i="3"/>
  <c r="K104" i="3"/>
  <c r="D104" i="3"/>
  <c r="C104" i="3"/>
  <c r="M102" i="3"/>
  <c r="R37" i="12"/>
  <c r="R36" i="12"/>
  <c r="R35" i="12"/>
  <c r="R41" i="12"/>
  <c r="R10" i="12"/>
  <c r="AD256" i="12" l="1"/>
  <c r="AH256" i="12"/>
  <c r="AH258" i="12"/>
  <c r="AD258" i="12"/>
  <c r="AH259" i="12"/>
  <c r="AD259" i="12"/>
  <c r="AH255" i="12"/>
  <c r="AD255" i="12"/>
  <c r="Z264" i="12"/>
  <c r="AH257" i="12"/>
  <c r="AD257" i="12"/>
  <c r="AD260" i="12"/>
  <c r="AH260" i="12"/>
  <c r="Y255" i="12"/>
  <c r="Y264" i="12" s="1"/>
  <c r="AB264" i="12" s="1"/>
  <c r="X253" i="12"/>
  <c r="AH229" i="12"/>
  <c r="AD229" i="12"/>
  <c r="AH228" i="12"/>
  <c r="AD228" i="12"/>
  <c r="AD227" i="12"/>
  <c r="AH227" i="12"/>
  <c r="AH198" i="12"/>
  <c r="AD226" i="12"/>
  <c r="AH226" i="12"/>
  <c r="AD197" i="12"/>
  <c r="AH197" i="12"/>
  <c r="Z204" i="12"/>
  <c r="AF204" i="12" s="1"/>
  <c r="AF193" i="12" s="1"/>
  <c r="AH230" i="12"/>
  <c r="AD230" i="12"/>
  <c r="X223" i="12"/>
  <c r="Y234" i="12"/>
  <c r="AB234" i="12" s="1"/>
  <c r="AH195" i="12"/>
  <c r="AD196" i="12"/>
  <c r="Z234" i="12"/>
  <c r="AF234" i="12" s="1"/>
  <c r="AF223" i="12" s="1"/>
  <c r="AH225" i="12"/>
  <c r="AD225" i="12"/>
  <c r="Y204" i="12"/>
  <c r="AB204" i="12" s="1"/>
  <c r="AH199" i="12"/>
  <c r="AD199" i="12"/>
  <c r="AD200" i="12"/>
  <c r="AH200" i="12"/>
  <c r="X193" i="12"/>
  <c r="AD47" i="12"/>
  <c r="AH47" i="12"/>
  <c r="AD20" i="12"/>
  <c r="AH20" i="12"/>
  <c r="AH46" i="12"/>
  <c r="AD46" i="12"/>
  <c r="AD81" i="12"/>
  <c r="AH81" i="12"/>
  <c r="AD16" i="12"/>
  <c r="AH16" i="12"/>
  <c r="AD78" i="12"/>
  <c r="AH78" i="12"/>
  <c r="AD76" i="12"/>
  <c r="AH76" i="12"/>
  <c r="AD80" i="12"/>
  <c r="AH80" i="12"/>
  <c r="AD19" i="12"/>
  <c r="AH19" i="12"/>
  <c r="AD77" i="12"/>
  <c r="AH77" i="12"/>
  <c r="Z175" i="12"/>
  <c r="AF175" i="12" s="1"/>
  <c r="AF164" i="12" s="1"/>
  <c r="AD167" i="12"/>
  <c r="AD175" i="12" s="1"/>
  <c r="AC164" i="12" s="1"/>
  <c r="AD50" i="12"/>
  <c r="AH50" i="12"/>
  <c r="Y166" i="12"/>
  <c r="X164" i="12"/>
  <c r="AD49" i="12"/>
  <c r="AH49" i="12"/>
  <c r="AD79" i="12"/>
  <c r="AH79" i="12"/>
  <c r="AD18" i="12"/>
  <c r="AH18" i="12"/>
  <c r="AD17" i="12"/>
  <c r="AH17" i="12"/>
  <c r="AH48" i="12"/>
  <c r="AD48" i="12"/>
  <c r="AD51" i="12"/>
  <c r="AH51" i="12"/>
  <c r="AD21" i="12"/>
  <c r="AH21" i="12"/>
  <c r="AH139" i="12"/>
  <c r="AH138" i="12"/>
  <c r="AH141" i="12"/>
  <c r="X134" i="12"/>
  <c r="AH137" i="12"/>
  <c r="AH140" i="12"/>
  <c r="Z145" i="12"/>
  <c r="Y85" i="12"/>
  <c r="X74" i="12"/>
  <c r="Z85" i="12"/>
  <c r="AF85" i="12" s="1"/>
  <c r="AF74" i="12" s="1"/>
  <c r="Z55" i="12"/>
  <c r="Y46" i="12"/>
  <c r="X44" i="12"/>
  <c r="AB44" i="12"/>
  <c r="AI34" i="14"/>
  <c r="AI32" i="14"/>
  <c r="AI36" i="14" s="1"/>
  <c r="K171" i="14"/>
  <c r="K173" i="14" s="1"/>
  <c r="O171" i="14"/>
  <c r="K106" i="14"/>
  <c r="O106" i="14"/>
  <c r="F142" i="14"/>
  <c r="T133" i="14" s="1"/>
  <c r="O200" i="14"/>
  <c r="K140" i="14"/>
  <c r="K142" i="14" s="1"/>
  <c r="O140" i="14"/>
  <c r="F202" i="14"/>
  <c r="F112" i="14"/>
  <c r="T105" i="14" s="1"/>
  <c r="F82" i="14"/>
  <c r="T75" i="14" s="1"/>
  <c r="O138" i="14"/>
  <c r="O142" i="14" s="1"/>
  <c r="Z124" i="14" s="1"/>
  <c r="AI5" i="14"/>
  <c r="O112" i="14"/>
  <c r="M112" i="14" s="1"/>
  <c r="N101" i="14" s="1"/>
  <c r="AI122" i="14"/>
  <c r="O82" i="14"/>
  <c r="K82" i="14"/>
  <c r="W64" i="14" s="1"/>
  <c r="AC6" i="14"/>
  <c r="T195" i="14"/>
  <c r="T194" i="14"/>
  <c r="T193" i="14"/>
  <c r="T104" i="14"/>
  <c r="T103" i="14"/>
  <c r="T166" i="14"/>
  <c r="T165" i="14"/>
  <c r="T164" i="14"/>
  <c r="T135" i="14"/>
  <c r="T134" i="14"/>
  <c r="O173" i="14"/>
  <c r="AC5" i="14"/>
  <c r="T73" i="14"/>
  <c r="AI64" i="14"/>
  <c r="AI62" i="14"/>
  <c r="AI155" i="14"/>
  <c r="AI153" i="14"/>
  <c r="R20" i="14"/>
  <c r="AI7" i="14"/>
  <c r="S14" i="14"/>
  <c r="AI8" i="14" s="1"/>
  <c r="AI10" i="14" s="1"/>
  <c r="O202" i="14"/>
  <c r="AI126" i="14"/>
  <c r="K202" i="14"/>
  <c r="K112" i="14"/>
  <c r="K92" i="4"/>
  <c r="R44" i="12"/>
  <c r="R7" i="12"/>
  <c r="R6" i="12"/>
  <c r="R5" i="12"/>
  <c r="R22" i="12"/>
  <c r="D55" i="12"/>
  <c r="AD264" i="12" l="1"/>
  <c r="AH264" i="12"/>
  <c r="AM255" i="12"/>
  <c r="AM256" i="12"/>
  <c r="AM257" i="12"/>
  <c r="AF264" i="12"/>
  <c r="AF253" i="12" s="1"/>
  <c r="AD234" i="12"/>
  <c r="AC223" i="12" s="1"/>
  <c r="AH234" i="12"/>
  <c r="AM227" i="12"/>
  <c r="AM225" i="12"/>
  <c r="AM226" i="12"/>
  <c r="AH204" i="12"/>
  <c r="AD204" i="12"/>
  <c r="AC193" i="12" s="1"/>
  <c r="AM195" i="12"/>
  <c r="AM197" i="12"/>
  <c r="AM196" i="12"/>
  <c r="AM168" i="12"/>
  <c r="AM167" i="12"/>
  <c r="AM166" i="12"/>
  <c r="AH166" i="12"/>
  <c r="AH175" i="12" s="1"/>
  <c r="Y175" i="12"/>
  <c r="AB175" i="12" s="1"/>
  <c r="AH145" i="12"/>
  <c r="AG134" i="12" s="1"/>
  <c r="AD145" i="12"/>
  <c r="AC134" i="12" s="1"/>
  <c r="Y145" i="12"/>
  <c r="AB145" i="12" s="1"/>
  <c r="AM138" i="12"/>
  <c r="AM136" i="12"/>
  <c r="AM137" i="12"/>
  <c r="AF145" i="12"/>
  <c r="AF134" i="12" s="1"/>
  <c r="AD85" i="12"/>
  <c r="AC74" i="12" s="1"/>
  <c r="AH85" i="12"/>
  <c r="AG74" i="12" s="1"/>
  <c r="AM47" i="12"/>
  <c r="AF55" i="12"/>
  <c r="AM78" i="12"/>
  <c r="AM76" i="12"/>
  <c r="AM77" i="12"/>
  <c r="AM48" i="12"/>
  <c r="AM46" i="12"/>
  <c r="AH55" i="12"/>
  <c r="AD55" i="12"/>
  <c r="Y55" i="12"/>
  <c r="AB55" i="12" s="1"/>
  <c r="I142" i="14"/>
  <c r="J131" i="14" s="1"/>
  <c r="W125" i="14" s="1"/>
  <c r="W124" i="14"/>
  <c r="W155" i="14"/>
  <c r="AC155" i="14" s="1"/>
  <c r="I173" i="14"/>
  <c r="J162" i="14" s="1"/>
  <c r="W156" i="14" s="1"/>
  <c r="AI9" i="14"/>
  <c r="T74" i="14"/>
  <c r="T82" i="14" s="1"/>
  <c r="O174" i="14"/>
  <c r="N83" i="14"/>
  <c r="I82" i="14"/>
  <c r="J71" i="14" s="1"/>
  <c r="W65" i="14" s="1"/>
  <c r="M82" i="14"/>
  <c r="N71" i="14" s="1"/>
  <c r="Z65" i="14" s="1"/>
  <c r="T112" i="14"/>
  <c r="O143" i="14"/>
  <c r="T142" i="14"/>
  <c r="Z64" i="14"/>
  <c r="M142" i="14"/>
  <c r="N131" i="14" s="1"/>
  <c r="Z125" i="14" s="1"/>
  <c r="O113" i="14"/>
  <c r="I112" i="14"/>
  <c r="J101" i="14" s="1"/>
  <c r="N203" i="14"/>
  <c r="I202" i="14"/>
  <c r="J191" i="14" s="1"/>
  <c r="W185" i="14" s="1"/>
  <c r="W184" i="14"/>
  <c r="AI66" i="14"/>
  <c r="Z155" i="14"/>
  <c r="M173" i="14"/>
  <c r="N162" i="14" s="1"/>
  <c r="Z156" i="14" s="1"/>
  <c r="AC156" i="14" s="1"/>
  <c r="AC64" i="14"/>
  <c r="AC124" i="14"/>
  <c r="AL6" i="14"/>
  <c r="AI157" i="14"/>
  <c r="T202" i="14"/>
  <c r="AC65" i="14"/>
  <c r="M202" i="14"/>
  <c r="N191" i="14" s="1"/>
  <c r="Z185" i="14" s="1"/>
  <c r="Z184" i="14"/>
  <c r="AL5" i="14"/>
  <c r="AF5" i="14"/>
  <c r="T173" i="14"/>
  <c r="D115" i="12"/>
  <c r="M102" i="12"/>
  <c r="I102" i="12"/>
  <c r="E102" i="12"/>
  <c r="M101" i="12"/>
  <c r="I101" i="12"/>
  <c r="E101" i="12"/>
  <c r="M100" i="12"/>
  <c r="I100" i="12"/>
  <c r="E100" i="12"/>
  <c r="M99" i="12"/>
  <c r="I99" i="12"/>
  <c r="E99" i="12"/>
  <c r="M98" i="12"/>
  <c r="I98" i="12"/>
  <c r="E98" i="12"/>
  <c r="M97" i="12"/>
  <c r="I97" i="12"/>
  <c r="E97" i="12"/>
  <c r="M96" i="12"/>
  <c r="I96" i="12"/>
  <c r="E96" i="12"/>
  <c r="M95" i="12"/>
  <c r="I95" i="12"/>
  <c r="E95" i="12"/>
  <c r="D85" i="12"/>
  <c r="M72" i="12"/>
  <c r="I72" i="12"/>
  <c r="E72" i="12"/>
  <c r="M71" i="12"/>
  <c r="I71" i="12"/>
  <c r="E71" i="12"/>
  <c r="M70" i="12"/>
  <c r="I70" i="12"/>
  <c r="E70" i="12"/>
  <c r="M69" i="12"/>
  <c r="I69" i="12"/>
  <c r="E69" i="12"/>
  <c r="M68" i="12"/>
  <c r="I68" i="12"/>
  <c r="E68" i="12"/>
  <c r="M67" i="12"/>
  <c r="I67" i="12"/>
  <c r="E67" i="12"/>
  <c r="M66" i="12"/>
  <c r="I66" i="12"/>
  <c r="E66" i="12"/>
  <c r="M65" i="12"/>
  <c r="I65" i="12"/>
  <c r="E65" i="12"/>
  <c r="I35" i="12"/>
  <c r="C12" i="12"/>
  <c r="C11" i="12"/>
  <c r="C10" i="12"/>
  <c r="C9" i="12"/>
  <c r="C8" i="12"/>
  <c r="C7" i="12"/>
  <c r="C6" i="12"/>
  <c r="C5" i="12"/>
  <c r="M42" i="12"/>
  <c r="I42" i="12"/>
  <c r="E42" i="12"/>
  <c r="M41" i="12"/>
  <c r="I41" i="12"/>
  <c r="E41" i="12"/>
  <c r="M40" i="12"/>
  <c r="I40" i="12"/>
  <c r="E40" i="12"/>
  <c r="M39" i="12"/>
  <c r="I39" i="12"/>
  <c r="E39" i="12"/>
  <c r="M38" i="12"/>
  <c r="I38" i="12"/>
  <c r="E38" i="12"/>
  <c r="M37" i="12"/>
  <c r="I37" i="12"/>
  <c r="E37" i="12"/>
  <c r="M36" i="12"/>
  <c r="I36" i="12"/>
  <c r="E36" i="12"/>
  <c r="M35" i="12"/>
  <c r="E35" i="12"/>
  <c r="AG253" i="12" l="1"/>
  <c r="AC253" i="12"/>
  <c r="AM259" i="12"/>
  <c r="AM229" i="12"/>
  <c r="AL223" i="12" s="1"/>
  <c r="AG223" i="12"/>
  <c r="AG193" i="12"/>
  <c r="AM199" i="12"/>
  <c r="AG164" i="12"/>
  <c r="AM170" i="12"/>
  <c r="AM140" i="12"/>
  <c r="AM80" i="12"/>
  <c r="AC44" i="12"/>
  <c r="AM50" i="12"/>
  <c r="AF44" i="12"/>
  <c r="AG44" i="12"/>
  <c r="AC125" i="14"/>
  <c r="AC184" i="14"/>
  <c r="AL155" i="14"/>
  <c r="AF155" i="14"/>
  <c r="AC185" i="14"/>
  <c r="AL124" i="14"/>
  <c r="AF124" i="14"/>
  <c r="AL64" i="14"/>
  <c r="AF64" i="14"/>
  <c r="AI184" i="14"/>
  <c r="AI186" i="14" s="1"/>
  <c r="E44" i="12"/>
  <c r="E104" i="12"/>
  <c r="E74" i="12"/>
  <c r="AL253" i="12" l="1"/>
  <c r="AL193" i="12"/>
  <c r="AL164" i="12"/>
  <c r="AL134" i="12"/>
  <c r="AL74" i="12"/>
  <c r="AL184" i="14"/>
  <c r="AF184" i="14"/>
  <c r="M12" i="12"/>
  <c r="M11" i="12"/>
  <c r="M10" i="12"/>
  <c r="M9" i="12"/>
  <c r="M8" i="12"/>
  <c r="M7" i="12"/>
  <c r="M6" i="12"/>
  <c r="M5" i="12"/>
  <c r="I6" i="12"/>
  <c r="I7" i="12"/>
  <c r="I8" i="12"/>
  <c r="I9" i="12"/>
  <c r="I10" i="12"/>
  <c r="I11" i="12"/>
  <c r="I12" i="12"/>
  <c r="I5" i="12"/>
  <c r="E6" i="12" l="1"/>
  <c r="E12" i="12"/>
  <c r="E10" i="12"/>
  <c r="E7" i="12"/>
  <c r="E11" i="12"/>
  <c r="E8" i="12"/>
  <c r="E9" i="12"/>
  <c r="D25" i="12"/>
  <c r="E5" i="12"/>
  <c r="D47" i="3"/>
  <c r="E47" i="3"/>
  <c r="F47" i="3"/>
  <c r="G47" i="3"/>
  <c r="H47" i="3"/>
  <c r="I47" i="3"/>
  <c r="J47" i="3"/>
  <c r="C47" i="3"/>
  <c r="K40" i="3"/>
  <c r="K41" i="3"/>
  <c r="K42" i="3"/>
  <c r="K43" i="3"/>
  <c r="K44" i="3"/>
  <c r="K45" i="3"/>
  <c r="K39" i="3"/>
  <c r="F17" i="10"/>
  <c r="F16" i="10"/>
  <c r="F18" i="10" s="1"/>
  <c r="F13" i="10"/>
  <c r="F8" i="10"/>
  <c r="C8" i="10"/>
  <c r="F7" i="10"/>
  <c r="G10" i="10"/>
  <c r="G15" i="10"/>
  <c r="G19" i="10"/>
  <c r="G22" i="10"/>
  <c r="G23" i="10"/>
  <c r="G27" i="10"/>
  <c r="G28" i="10"/>
  <c r="G29" i="10"/>
  <c r="G30" i="10"/>
  <c r="G32" i="10"/>
  <c r="G34" i="10"/>
  <c r="G36" i="10"/>
  <c r="G5" i="10"/>
  <c r="C31" i="10"/>
  <c r="C29" i="10"/>
  <c r="C20" i="10"/>
  <c r="K13" i="10"/>
  <c r="L13" i="10"/>
  <c r="M13" i="10"/>
  <c r="N13" i="10"/>
  <c r="O13" i="10"/>
  <c r="P13" i="10"/>
  <c r="J13" i="10"/>
  <c r="C11" i="10"/>
  <c r="E9" i="10"/>
  <c r="D5" i="10"/>
  <c r="E5" i="10" s="1"/>
  <c r="C6" i="10"/>
  <c r="D6" i="10" s="1"/>
  <c r="E6" i="10" s="1"/>
  <c r="E20" i="10" s="1"/>
  <c r="E24" i="10" s="1"/>
  <c r="G24" i="10" s="1"/>
  <c r="L50" i="9"/>
  <c r="L51" i="9"/>
  <c r="L52" i="9"/>
  <c r="AA40" i="8"/>
  <c r="AA31" i="8"/>
  <c r="AA32" i="8"/>
  <c r="AA33" i="8"/>
  <c r="AA34" i="8"/>
  <c r="AA35" i="8"/>
  <c r="AA36" i="8"/>
  <c r="AA37" i="8"/>
  <c r="AA38" i="8"/>
  <c r="AA39" i="8"/>
  <c r="AA30" i="8"/>
  <c r="L31" i="8"/>
  <c r="L32" i="8"/>
  <c r="L33" i="8"/>
  <c r="L34" i="8"/>
  <c r="L35" i="8"/>
  <c r="L36" i="8"/>
  <c r="L37" i="8"/>
  <c r="L38" i="8"/>
  <c r="L39" i="8"/>
  <c r="L30" i="8"/>
  <c r="Z40" i="8"/>
  <c r="Z32" i="8"/>
  <c r="Z30" i="8"/>
  <c r="K5" i="8"/>
  <c r="K6" i="8"/>
  <c r="K7" i="8"/>
  <c r="K8" i="8"/>
  <c r="K9" i="8"/>
  <c r="K10" i="8"/>
  <c r="K11" i="8"/>
  <c r="K12" i="8"/>
  <c r="K4" i="8"/>
  <c r="T5" i="8"/>
  <c r="T6" i="8"/>
  <c r="T7" i="8"/>
  <c r="T8" i="8"/>
  <c r="T9" i="8"/>
  <c r="T10" i="8"/>
  <c r="T11" i="8"/>
  <c r="T12" i="8"/>
  <c r="T4" i="8"/>
  <c r="S5" i="8"/>
  <c r="S6" i="8"/>
  <c r="S7" i="8"/>
  <c r="S8" i="8"/>
  <c r="S9" i="8"/>
  <c r="S10" i="8"/>
  <c r="S11" i="8"/>
  <c r="S12" i="8"/>
  <c r="S4" i="8"/>
  <c r="V5" i="8"/>
  <c r="W5" i="8"/>
  <c r="X5" i="8"/>
  <c r="V6" i="8"/>
  <c r="W6" i="8"/>
  <c r="X6" i="8"/>
  <c r="V7" i="8"/>
  <c r="W7" i="8"/>
  <c r="X7" i="8"/>
  <c r="V8" i="8"/>
  <c r="W8" i="8"/>
  <c r="X8" i="8"/>
  <c r="V9" i="8"/>
  <c r="W9" i="8"/>
  <c r="X9" i="8"/>
  <c r="Y9" i="8" s="1"/>
  <c r="V10" i="8"/>
  <c r="W10" i="8"/>
  <c r="X10" i="8"/>
  <c r="V11" i="8"/>
  <c r="W11" i="8"/>
  <c r="X11" i="8"/>
  <c r="V12" i="8"/>
  <c r="W12" i="8"/>
  <c r="X12" i="8"/>
  <c r="Y12" i="8"/>
  <c r="X4" i="8"/>
  <c r="W4" i="8"/>
  <c r="V4" i="8"/>
  <c r="R30" i="8"/>
  <c r="R31" i="8"/>
  <c r="R32" i="8"/>
  <c r="R33" i="8"/>
  <c r="R34" i="8"/>
  <c r="R35" i="8"/>
  <c r="R36" i="8"/>
  <c r="R37" i="8"/>
  <c r="R38" i="8"/>
  <c r="F5" i="8"/>
  <c r="U5" i="8" s="1"/>
  <c r="F6" i="8"/>
  <c r="F7" i="8"/>
  <c r="U7" i="8" s="1"/>
  <c r="F8" i="8"/>
  <c r="U8" i="8" s="1"/>
  <c r="F9" i="8"/>
  <c r="U9" i="8" s="1"/>
  <c r="F10" i="8"/>
  <c r="U10" i="8" s="1"/>
  <c r="F11" i="8"/>
  <c r="U11" i="8" s="1"/>
  <c r="F12" i="8"/>
  <c r="U12" i="8" s="1"/>
  <c r="F4" i="8"/>
  <c r="D1" i="8"/>
  <c r="B32" i="8" s="1"/>
  <c r="E32" i="8" s="1"/>
  <c r="T32" i="8" s="1"/>
  <c r="D50" i="8"/>
  <c r="E50" i="8"/>
  <c r="F50" i="8"/>
  <c r="G50" i="8"/>
  <c r="G39" i="8" s="1"/>
  <c r="H50" i="8"/>
  <c r="I50" i="8"/>
  <c r="L50" i="8"/>
  <c r="J30" i="8"/>
  <c r="J31" i="8"/>
  <c r="J32" i="8"/>
  <c r="J33" i="8"/>
  <c r="J34" i="8"/>
  <c r="J35" i="8"/>
  <c r="J36" i="8"/>
  <c r="J37" i="8"/>
  <c r="J38" i="8"/>
  <c r="C39" i="8"/>
  <c r="R39" i="8" s="1"/>
  <c r="H39" i="8"/>
  <c r="I39" i="8"/>
  <c r="E14" i="12" l="1"/>
  <c r="G6" i="10"/>
  <c r="D8" i="10"/>
  <c r="G20" i="10"/>
  <c r="C7" i="10"/>
  <c r="E8" i="10"/>
  <c r="G8" i="10" s="1"/>
  <c r="E7" i="10"/>
  <c r="D7" i="10"/>
  <c r="C33" i="10"/>
  <c r="E31" i="10"/>
  <c r="G31" i="10" s="1"/>
  <c r="C16" i="10"/>
  <c r="D11" i="10"/>
  <c r="D16" i="10" s="1"/>
  <c r="E26" i="10"/>
  <c r="G26" i="10" s="1"/>
  <c r="D20" i="10"/>
  <c r="J39" i="8"/>
  <c r="Y6" i="8"/>
  <c r="B47" i="8"/>
  <c r="B46" i="8"/>
  <c r="B45" i="8"/>
  <c r="B30" i="8"/>
  <c r="D30" i="8" s="1"/>
  <c r="B44" i="8"/>
  <c r="B38" i="8"/>
  <c r="W38" i="8" s="1"/>
  <c r="Y4" i="8"/>
  <c r="Y11" i="8"/>
  <c r="AA11" i="8" s="1"/>
  <c r="B37" i="8"/>
  <c r="E37" i="8" s="1"/>
  <c r="T37" i="8" s="1"/>
  <c r="AA9" i="8"/>
  <c r="B36" i="8"/>
  <c r="D36" i="8" s="1"/>
  <c r="S36" i="8" s="1"/>
  <c r="B35" i="8"/>
  <c r="B34" i="8"/>
  <c r="Y5" i="8"/>
  <c r="AA5" i="8" s="1"/>
  <c r="B31" i="8"/>
  <c r="V31" i="8" s="1"/>
  <c r="AA12" i="8"/>
  <c r="B43" i="8"/>
  <c r="Y8" i="8"/>
  <c r="AA8" i="8" s="1"/>
  <c r="B48" i="8"/>
  <c r="U4" i="8"/>
  <c r="AA4" i="8" s="1"/>
  <c r="Q30" i="8"/>
  <c r="X30" i="8"/>
  <c r="X32" i="8"/>
  <c r="W32" i="8"/>
  <c r="I40" i="8"/>
  <c r="Q32" i="8"/>
  <c r="V32" i="8"/>
  <c r="H40" i="8"/>
  <c r="E36" i="8"/>
  <c r="T36" i="8" s="1"/>
  <c r="D32" i="8"/>
  <c r="Y7" i="8"/>
  <c r="AA7" i="8" s="1"/>
  <c r="G40" i="8"/>
  <c r="U6" i="8"/>
  <c r="AA6" i="8" s="1"/>
  <c r="Y10" i="8"/>
  <c r="AA10" i="8" s="1"/>
  <c r="B49" i="8"/>
  <c r="B33" i="8"/>
  <c r="G7" i="10" l="1"/>
  <c r="G9" i="10"/>
  <c r="D31" i="10"/>
  <c r="D33" i="10" s="1"/>
  <c r="E35" i="10"/>
  <c r="E33" i="10"/>
  <c r="G33" i="10" s="1"/>
  <c r="E11" i="10"/>
  <c r="G11" i="10" s="1"/>
  <c r="Q31" i="8"/>
  <c r="W31" i="8"/>
  <c r="X38" i="8"/>
  <c r="E30" i="8"/>
  <c r="V38" i="8"/>
  <c r="Y38" i="8" s="1"/>
  <c r="W30" i="8"/>
  <c r="V37" i="8"/>
  <c r="D37" i="8"/>
  <c r="S37" i="8" s="1"/>
  <c r="B50" i="8"/>
  <c r="Q38" i="8"/>
  <c r="V36" i="8"/>
  <c r="E38" i="8"/>
  <c r="T38" i="8" s="1"/>
  <c r="Q36" i="8"/>
  <c r="D38" i="8"/>
  <c r="S38" i="8" s="1"/>
  <c r="V34" i="8"/>
  <c r="Q34" i="8"/>
  <c r="E34" i="8"/>
  <c r="T34" i="8" s="1"/>
  <c r="X34" i="8"/>
  <c r="W34" i="8"/>
  <c r="E35" i="8"/>
  <c r="T35" i="8" s="1"/>
  <c r="V35" i="8"/>
  <c r="W35" i="8"/>
  <c r="X35" i="8"/>
  <c r="Q35" i="8"/>
  <c r="X36" i="8"/>
  <c r="D34" i="8"/>
  <c r="Q37" i="8"/>
  <c r="D35" i="8"/>
  <c r="X37" i="8"/>
  <c r="W37" i="8"/>
  <c r="V30" i="8"/>
  <c r="Y30" i="8" s="1"/>
  <c r="E31" i="8"/>
  <c r="T31" i="8" s="1"/>
  <c r="D31" i="8"/>
  <c r="X31" i="8"/>
  <c r="Y31" i="8" s="1"/>
  <c r="W36" i="8"/>
  <c r="X33" i="8"/>
  <c r="V33" i="8"/>
  <c r="E33" i="8"/>
  <c r="T33" i="8" s="1"/>
  <c r="W33" i="8"/>
  <c r="D33" i="8"/>
  <c r="Q33" i="8"/>
  <c r="T30" i="8"/>
  <c r="S30" i="8"/>
  <c r="F30" i="8"/>
  <c r="Y32" i="8"/>
  <c r="J40" i="8"/>
  <c r="F36" i="8"/>
  <c r="F32" i="8"/>
  <c r="S32" i="8"/>
  <c r="E21" i="10" l="1"/>
  <c r="E16" i="10"/>
  <c r="G16" i="10" s="1"/>
  <c r="G21" i="10"/>
  <c r="G35" i="10"/>
  <c r="F37" i="8"/>
  <c r="F35" i="8"/>
  <c r="F34" i="8"/>
  <c r="U34" i="8" s="1"/>
  <c r="S35" i="8"/>
  <c r="Y36" i="8"/>
  <c r="S34" i="8"/>
  <c r="F38" i="8"/>
  <c r="U38" i="8" s="1"/>
  <c r="Y37" i="8"/>
  <c r="S31" i="8"/>
  <c r="F31" i="8"/>
  <c r="Y35" i="8"/>
  <c r="Y34" i="8"/>
  <c r="U35" i="8"/>
  <c r="U30" i="8"/>
  <c r="F33" i="8"/>
  <c r="S33" i="8"/>
  <c r="U32" i="8"/>
  <c r="Y33" i="8"/>
  <c r="U37" i="8"/>
  <c r="U36" i="8"/>
  <c r="U31" i="8" l="1"/>
  <c r="U33" i="8"/>
  <c r="T24" i="8" l="1"/>
  <c r="S24" i="8"/>
  <c r="Q24" i="8"/>
  <c r="Q13" i="8" s="1"/>
  <c r="R13" i="8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4" i="8"/>
  <c r="L4" i="8" s="1"/>
  <c r="U24" i="8"/>
  <c r="AA24" i="8"/>
  <c r="X24" i="8"/>
  <c r="W24" i="8"/>
  <c r="V24" i="8"/>
  <c r="C13" i="8"/>
  <c r="D24" i="8"/>
  <c r="D13" i="8" s="1"/>
  <c r="E24" i="8"/>
  <c r="E13" i="8" s="1"/>
  <c r="F24" i="8"/>
  <c r="G24" i="8"/>
  <c r="G13" i="8" s="1"/>
  <c r="H24" i="8"/>
  <c r="H13" i="8" s="1"/>
  <c r="I24" i="8"/>
  <c r="I13" i="8" s="1"/>
  <c r="L24" i="8"/>
  <c r="B24" i="8"/>
  <c r="B13" i="8" s="1"/>
  <c r="Z40" i="6"/>
  <c r="AG36" i="6"/>
  <c r="AF36" i="6"/>
  <c r="AE36" i="6"/>
  <c r="AD36" i="6"/>
  <c r="AC36" i="6"/>
  <c r="AB36" i="6"/>
  <c r="AA36" i="6"/>
  <c r="Z36" i="6"/>
  <c r="AG32" i="6"/>
  <c r="AF32" i="6"/>
  <c r="AE32" i="6"/>
  <c r="AD32" i="6"/>
  <c r="AC32" i="6"/>
  <c r="AB32" i="6"/>
  <c r="AA32" i="6"/>
  <c r="Z32" i="6"/>
  <c r="AG28" i="6"/>
  <c r="AF28" i="6"/>
  <c r="AE28" i="6"/>
  <c r="AD28" i="6"/>
  <c r="AC28" i="6"/>
  <c r="AB28" i="6"/>
  <c r="AA28" i="6"/>
  <c r="Z28" i="6"/>
  <c r="AH24" i="6"/>
  <c r="AG24" i="6"/>
  <c r="AF24" i="6"/>
  <c r="AE24" i="6"/>
  <c r="AD24" i="6"/>
  <c r="AC24" i="6"/>
  <c r="AB24" i="6"/>
  <c r="AA24" i="6"/>
  <c r="Z24" i="6"/>
  <c r="AH20" i="6"/>
  <c r="AG20" i="6"/>
  <c r="AF20" i="6"/>
  <c r="AE20" i="6"/>
  <c r="AD20" i="6"/>
  <c r="AC20" i="6"/>
  <c r="AB20" i="6"/>
  <c r="AA20" i="6"/>
  <c r="Z20" i="6"/>
  <c r="AG16" i="6"/>
  <c r="AF16" i="6"/>
  <c r="AE16" i="6"/>
  <c r="AD16" i="6"/>
  <c r="AC16" i="6"/>
  <c r="AB16" i="6"/>
  <c r="AA16" i="6"/>
  <c r="Z16" i="6"/>
  <c r="AH12" i="6"/>
  <c r="AG12" i="6"/>
  <c r="AF12" i="6"/>
  <c r="AE12" i="6"/>
  <c r="AD12" i="6"/>
  <c r="AC12" i="6"/>
  <c r="AB12" i="6"/>
  <c r="AA12" i="6"/>
  <c r="Z12" i="6"/>
  <c r="AA8" i="6"/>
  <c r="AB8" i="6"/>
  <c r="AC8" i="6"/>
  <c r="AD8" i="6"/>
  <c r="AE8" i="6"/>
  <c r="AF8" i="6"/>
  <c r="AG8" i="6"/>
  <c r="AH8" i="6"/>
  <c r="Z8" i="6"/>
  <c r="AA4" i="6"/>
  <c r="AB4" i="6"/>
  <c r="AC4" i="6"/>
  <c r="AD4" i="6"/>
  <c r="AE4" i="6"/>
  <c r="AF4" i="6"/>
  <c r="AG4" i="6"/>
  <c r="AA6" i="6"/>
  <c r="Z4" i="6"/>
  <c r="AH4" i="6" s="1"/>
  <c r="AH60" i="6"/>
  <c r="AG60" i="6"/>
  <c r="AF60" i="6"/>
  <c r="AE60" i="6"/>
  <c r="AD60" i="6"/>
  <c r="AC60" i="6"/>
  <c r="AB60" i="6"/>
  <c r="AA60" i="6"/>
  <c r="Z60" i="6"/>
  <c r="Q40" i="6"/>
  <c r="T36" i="6"/>
  <c r="S36" i="6"/>
  <c r="R36" i="6"/>
  <c r="Q36" i="6"/>
  <c r="T32" i="6"/>
  <c r="S32" i="6"/>
  <c r="R32" i="6"/>
  <c r="Q32" i="6"/>
  <c r="U32" i="6" s="1"/>
  <c r="T28" i="6"/>
  <c r="S28" i="6"/>
  <c r="R28" i="6"/>
  <c r="Q28" i="6"/>
  <c r="U28" i="6" s="1"/>
  <c r="T24" i="6"/>
  <c r="S24" i="6"/>
  <c r="R24" i="6"/>
  <c r="Q24" i="6"/>
  <c r="U24" i="6" s="1"/>
  <c r="T20" i="6"/>
  <c r="S20" i="6"/>
  <c r="R20" i="6"/>
  <c r="Q20" i="6"/>
  <c r="T16" i="6"/>
  <c r="S16" i="6"/>
  <c r="R16" i="6"/>
  <c r="Q16" i="6"/>
  <c r="U16" i="6" s="1"/>
  <c r="T12" i="6"/>
  <c r="S12" i="6"/>
  <c r="R12" i="6"/>
  <c r="Q12" i="6"/>
  <c r="T8" i="6"/>
  <c r="S8" i="6"/>
  <c r="R8" i="6"/>
  <c r="Q8" i="6"/>
  <c r="T4" i="6"/>
  <c r="S4" i="6"/>
  <c r="R4" i="6"/>
  <c r="Q4" i="6"/>
  <c r="U60" i="6"/>
  <c r="T60" i="6"/>
  <c r="S60" i="6"/>
  <c r="R60" i="6"/>
  <c r="Q60" i="6"/>
  <c r="D45" i="6"/>
  <c r="E45" i="6"/>
  <c r="AB45" i="6" s="1"/>
  <c r="E8" i="11" s="1"/>
  <c r="F45" i="6"/>
  <c r="G45" i="6"/>
  <c r="H45" i="6"/>
  <c r="I45" i="6"/>
  <c r="J45" i="6"/>
  <c r="C45" i="6"/>
  <c r="D37" i="6"/>
  <c r="AA37" i="6" s="1"/>
  <c r="E37" i="6"/>
  <c r="F37" i="6"/>
  <c r="AC37" i="6" s="1"/>
  <c r="G37" i="6"/>
  <c r="AD37" i="6" s="1"/>
  <c r="H37" i="6"/>
  <c r="AE37" i="6" s="1"/>
  <c r="I37" i="6"/>
  <c r="J37" i="6"/>
  <c r="AG37" i="6" s="1"/>
  <c r="D38" i="6"/>
  <c r="AA38" i="6" s="1"/>
  <c r="E38" i="6"/>
  <c r="F38" i="6"/>
  <c r="G38" i="6"/>
  <c r="AD38" i="6" s="1"/>
  <c r="H38" i="6"/>
  <c r="AE38" i="6" s="1"/>
  <c r="I38" i="6"/>
  <c r="AF38" i="6" s="1"/>
  <c r="J38" i="6"/>
  <c r="AG38" i="6" s="1"/>
  <c r="C38" i="6"/>
  <c r="Q38" i="6" s="1"/>
  <c r="C37" i="6"/>
  <c r="Z37" i="6" s="1"/>
  <c r="D33" i="6"/>
  <c r="AA33" i="6" s="1"/>
  <c r="E33" i="6"/>
  <c r="F33" i="6"/>
  <c r="AC33" i="6" s="1"/>
  <c r="G33" i="6"/>
  <c r="AD33" i="6" s="1"/>
  <c r="H33" i="6"/>
  <c r="AE33" i="6" s="1"/>
  <c r="I33" i="6"/>
  <c r="AF33" i="6" s="1"/>
  <c r="J33" i="6"/>
  <c r="AG33" i="6" s="1"/>
  <c r="D34" i="6"/>
  <c r="AA34" i="6" s="1"/>
  <c r="E34" i="6"/>
  <c r="AB34" i="6" s="1"/>
  <c r="F34" i="6"/>
  <c r="AC34" i="6" s="1"/>
  <c r="G34" i="6"/>
  <c r="AD34" i="6" s="1"/>
  <c r="H34" i="6"/>
  <c r="AE34" i="6" s="1"/>
  <c r="I34" i="6"/>
  <c r="J34" i="6"/>
  <c r="AG34" i="6" s="1"/>
  <c r="C34" i="6"/>
  <c r="Z34" i="6" s="1"/>
  <c r="C33" i="6"/>
  <c r="Z33" i="6" s="1"/>
  <c r="D29" i="6"/>
  <c r="AA29" i="6" s="1"/>
  <c r="E29" i="6"/>
  <c r="AB29" i="6" s="1"/>
  <c r="F29" i="6"/>
  <c r="AC29" i="6" s="1"/>
  <c r="G29" i="6"/>
  <c r="AD29" i="6" s="1"/>
  <c r="H29" i="6"/>
  <c r="AE29" i="6" s="1"/>
  <c r="I29" i="6"/>
  <c r="AF29" i="6" s="1"/>
  <c r="J29" i="6"/>
  <c r="AG29" i="6" s="1"/>
  <c r="D30" i="6"/>
  <c r="AA30" i="6" s="1"/>
  <c r="E30" i="6"/>
  <c r="AB30" i="6" s="1"/>
  <c r="F30" i="6"/>
  <c r="AC30" i="6" s="1"/>
  <c r="G30" i="6"/>
  <c r="AD30" i="6" s="1"/>
  <c r="H30" i="6"/>
  <c r="AE30" i="6" s="1"/>
  <c r="I30" i="6"/>
  <c r="AF30" i="6" s="1"/>
  <c r="J30" i="6"/>
  <c r="AG30" i="6" s="1"/>
  <c r="C30" i="6"/>
  <c r="Z30" i="6" s="1"/>
  <c r="C29" i="6"/>
  <c r="Q29" i="6" s="1"/>
  <c r="D25" i="6"/>
  <c r="AA25" i="6" s="1"/>
  <c r="E25" i="6"/>
  <c r="AB25" i="6" s="1"/>
  <c r="F25" i="6"/>
  <c r="AC25" i="6" s="1"/>
  <c r="G25" i="6"/>
  <c r="AD25" i="6" s="1"/>
  <c r="H25" i="6"/>
  <c r="AE25" i="6" s="1"/>
  <c r="I25" i="6"/>
  <c r="J25" i="6"/>
  <c r="AG25" i="6" s="1"/>
  <c r="D26" i="6"/>
  <c r="AA26" i="6" s="1"/>
  <c r="E26" i="6"/>
  <c r="AB26" i="6" s="1"/>
  <c r="F26" i="6"/>
  <c r="AC26" i="6" s="1"/>
  <c r="G26" i="6"/>
  <c r="AD26" i="6" s="1"/>
  <c r="H26" i="6"/>
  <c r="AE26" i="6" s="1"/>
  <c r="I26" i="6"/>
  <c r="J26" i="6"/>
  <c r="AG26" i="6" s="1"/>
  <c r="C26" i="6"/>
  <c r="Z26" i="6" s="1"/>
  <c r="C25" i="6"/>
  <c r="Q25" i="6" s="1"/>
  <c r="D21" i="6"/>
  <c r="E21" i="6"/>
  <c r="AB21" i="6" s="1"/>
  <c r="F21" i="6"/>
  <c r="AC21" i="6" s="1"/>
  <c r="G21" i="6"/>
  <c r="AD21" i="6" s="1"/>
  <c r="H21" i="6"/>
  <c r="AE21" i="6" s="1"/>
  <c r="I21" i="6"/>
  <c r="AF21" i="6" s="1"/>
  <c r="J21" i="6"/>
  <c r="AG21" i="6" s="1"/>
  <c r="D22" i="6"/>
  <c r="AA22" i="6" s="1"/>
  <c r="E22" i="6"/>
  <c r="AB22" i="6" s="1"/>
  <c r="F22" i="6"/>
  <c r="AC22" i="6" s="1"/>
  <c r="G22" i="6"/>
  <c r="AD22" i="6" s="1"/>
  <c r="H22" i="6"/>
  <c r="AE22" i="6" s="1"/>
  <c r="I22" i="6"/>
  <c r="AF22" i="6" s="1"/>
  <c r="J22" i="6"/>
  <c r="AG22" i="6" s="1"/>
  <c r="C22" i="6"/>
  <c r="Z22" i="6" s="1"/>
  <c r="C21" i="6"/>
  <c r="Q21" i="6" s="1"/>
  <c r="D17" i="6"/>
  <c r="AA17" i="6" s="1"/>
  <c r="E17" i="6"/>
  <c r="AB17" i="6" s="1"/>
  <c r="F17" i="6"/>
  <c r="AC17" i="6" s="1"/>
  <c r="G17" i="6"/>
  <c r="AD17" i="6" s="1"/>
  <c r="H17" i="6"/>
  <c r="AE17" i="6" s="1"/>
  <c r="I17" i="6"/>
  <c r="AF17" i="6" s="1"/>
  <c r="J17" i="6"/>
  <c r="AG17" i="6" s="1"/>
  <c r="D18" i="6"/>
  <c r="AA18" i="6" s="1"/>
  <c r="E18" i="6"/>
  <c r="AB18" i="6" s="1"/>
  <c r="F18" i="6"/>
  <c r="AC18" i="6" s="1"/>
  <c r="G18" i="6"/>
  <c r="AD18" i="6" s="1"/>
  <c r="H18" i="6"/>
  <c r="AE18" i="6" s="1"/>
  <c r="I18" i="6"/>
  <c r="AF18" i="6" s="1"/>
  <c r="J18" i="6"/>
  <c r="AG18" i="6" s="1"/>
  <c r="C18" i="6"/>
  <c r="Z18" i="6" s="1"/>
  <c r="C17" i="6"/>
  <c r="Q17" i="6" s="1"/>
  <c r="D13" i="6"/>
  <c r="AA13" i="6" s="1"/>
  <c r="E13" i="6"/>
  <c r="AB13" i="6" s="1"/>
  <c r="F13" i="6"/>
  <c r="AC13" i="6" s="1"/>
  <c r="G13" i="6"/>
  <c r="AD13" i="6" s="1"/>
  <c r="H13" i="6"/>
  <c r="AE13" i="6" s="1"/>
  <c r="I13" i="6"/>
  <c r="AF13" i="6" s="1"/>
  <c r="J13" i="6"/>
  <c r="AG13" i="6" s="1"/>
  <c r="D14" i="6"/>
  <c r="AA14" i="6" s="1"/>
  <c r="E14" i="6"/>
  <c r="AB14" i="6" s="1"/>
  <c r="F14" i="6"/>
  <c r="AC14" i="6" s="1"/>
  <c r="G14" i="6"/>
  <c r="AD14" i="6" s="1"/>
  <c r="H14" i="6"/>
  <c r="AE14" i="6" s="1"/>
  <c r="I14" i="6"/>
  <c r="AF14" i="6" s="1"/>
  <c r="J14" i="6"/>
  <c r="AG14" i="6" s="1"/>
  <c r="C14" i="6"/>
  <c r="Q14" i="6" s="1"/>
  <c r="C13" i="6"/>
  <c r="Q13" i="6" s="1"/>
  <c r="K36" i="6"/>
  <c r="AH36" i="6" s="1"/>
  <c r="K32" i="6"/>
  <c r="AH32" i="6" s="1"/>
  <c r="K28" i="6"/>
  <c r="AH28" i="6" s="1"/>
  <c r="K24" i="6"/>
  <c r="K20" i="6"/>
  <c r="K16" i="6"/>
  <c r="AH16" i="6" s="1"/>
  <c r="K12" i="6"/>
  <c r="K8" i="6"/>
  <c r="D9" i="6"/>
  <c r="AA9" i="6" s="1"/>
  <c r="E9" i="6"/>
  <c r="AB9" i="6" s="1"/>
  <c r="F9" i="6"/>
  <c r="AC9" i="6" s="1"/>
  <c r="G9" i="6"/>
  <c r="AD9" i="6" s="1"/>
  <c r="H9" i="6"/>
  <c r="AE9" i="6" s="1"/>
  <c r="I9" i="6"/>
  <c r="J9" i="6"/>
  <c r="AG9" i="6" s="1"/>
  <c r="D10" i="6"/>
  <c r="E10" i="6"/>
  <c r="F10" i="6"/>
  <c r="AC10" i="6" s="1"/>
  <c r="G10" i="6"/>
  <c r="AD10" i="6" s="1"/>
  <c r="H10" i="6"/>
  <c r="AE10" i="6" s="1"/>
  <c r="I10" i="6"/>
  <c r="AF10" i="6" s="1"/>
  <c r="J10" i="6"/>
  <c r="AG10" i="6" s="1"/>
  <c r="C10" i="6"/>
  <c r="Q10" i="6" s="1"/>
  <c r="C9" i="6"/>
  <c r="Z9" i="6" s="1"/>
  <c r="D6" i="6"/>
  <c r="E6" i="6"/>
  <c r="AB6" i="6" s="1"/>
  <c r="F6" i="6"/>
  <c r="AC6" i="6" s="1"/>
  <c r="G6" i="6"/>
  <c r="AD6" i="6" s="1"/>
  <c r="H6" i="6"/>
  <c r="AE6" i="6" s="1"/>
  <c r="I6" i="6"/>
  <c r="AF6" i="6" s="1"/>
  <c r="J6" i="6"/>
  <c r="AG6" i="6" s="1"/>
  <c r="C6" i="6"/>
  <c r="Z6" i="6" s="1"/>
  <c r="K4" i="6"/>
  <c r="D5" i="6"/>
  <c r="E5" i="6"/>
  <c r="F5" i="6"/>
  <c r="AC5" i="6" s="1"/>
  <c r="G5" i="6"/>
  <c r="AD5" i="6" s="1"/>
  <c r="H5" i="6"/>
  <c r="AE5" i="6" s="1"/>
  <c r="I5" i="6"/>
  <c r="AF5" i="6" s="1"/>
  <c r="J5" i="6"/>
  <c r="AG5" i="6" s="1"/>
  <c r="C5" i="6"/>
  <c r="Z5" i="6" s="1"/>
  <c r="K60" i="6"/>
  <c r="J60" i="6"/>
  <c r="J40" i="6" s="1"/>
  <c r="AG40" i="6" s="1"/>
  <c r="I60" i="6"/>
  <c r="I40" i="6" s="1"/>
  <c r="T40" i="6" s="1"/>
  <c r="H60" i="6"/>
  <c r="H40" i="6" s="1"/>
  <c r="G60" i="6"/>
  <c r="G40" i="6" s="1"/>
  <c r="F60" i="6"/>
  <c r="F40" i="6" s="1"/>
  <c r="F44" i="6" s="1"/>
  <c r="E60" i="6"/>
  <c r="E40" i="6" s="1"/>
  <c r="E44" i="6" s="1"/>
  <c r="AB44" i="6" s="1"/>
  <c r="D60" i="6"/>
  <c r="D40" i="6" s="1"/>
  <c r="C60" i="6"/>
  <c r="C40" i="6" s="1"/>
  <c r="J30" i="3"/>
  <c r="D30" i="3"/>
  <c r="E30" i="3"/>
  <c r="F30" i="3"/>
  <c r="G30" i="3"/>
  <c r="H30" i="3"/>
  <c r="I30" i="3"/>
  <c r="C30" i="3"/>
  <c r="D24" i="3"/>
  <c r="E24" i="3"/>
  <c r="F24" i="3"/>
  <c r="G24" i="3"/>
  <c r="H24" i="3"/>
  <c r="I24" i="3"/>
  <c r="J24" i="3"/>
  <c r="C24" i="3"/>
  <c r="D21" i="3"/>
  <c r="E21" i="3"/>
  <c r="F21" i="3"/>
  <c r="G21" i="3"/>
  <c r="H21" i="3"/>
  <c r="I21" i="3"/>
  <c r="J21" i="3"/>
  <c r="C21" i="3"/>
  <c r="D18" i="3"/>
  <c r="E18" i="3"/>
  <c r="F18" i="3"/>
  <c r="G18" i="3"/>
  <c r="H18" i="3"/>
  <c r="I18" i="3"/>
  <c r="J18" i="3"/>
  <c r="C18" i="3"/>
  <c r="D15" i="3"/>
  <c r="E15" i="3"/>
  <c r="F15" i="3"/>
  <c r="G15" i="3"/>
  <c r="H15" i="3"/>
  <c r="I15" i="3"/>
  <c r="J15" i="3"/>
  <c r="C15" i="3"/>
  <c r="D12" i="3"/>
  <c r="E12" i="3"/>
  <c r="F12" i="3"/>
  <c r="G12" i="3"/>
  <c r="H12" i="3"/>
  <c r="I12" i="3"/>
  <c r="J12" i="3"/>
  <c r="C12" i="3"/>
  <c r="D9" i="3"/>
  <c r="E9" i="3"/>
  <c r="F9" i="3"/>
  <c r="G9" i="3"/>
  <c r="H9" i="3"/>
  <c r="I9" i="3"/>
  <c r="J9" i="3"/>
  <c r="C9" i="3"/>
  <c r="D6" i="3"/>
  <c r="E6" i="3"/>
  <c r="F6" i="3"/>
  <c r="G6" i="3"/>
  <c r="H6" i="3"/>
  <c r="I6" i="3"/>
  <c r="J6" i="3"/>
  <c r="C6" i="3"/>
  <c r="K20" i="1"/>
  <c r="K18" i="1"/>
  <c r="K16" i="1"/>
  <c r="K14" i="1"/>
  <c r="K12" i="1"/>
  <c r="K10" i="1"/>
  <c r="K8" i="1"/>
  <c r="K6" i="1"/>
  <c r="K4" i="1"/>
  <c r="K4" i="3"/>
  <c r="K7" i="3"/>
  <c r="K10" i="3"/>
  <c r="K13" i="3"/>
  <c r="K16" i="3"/>
  <c r="K19" i="3"/>
  <c r="K22" i="3"/>
  <c r="K25" i="3"/>
  <c r="K28" i="3"/>
  <c r="C28" i="4"/>
  <c r="C39" i="6" s="1"/>
  <c r="Q39" i="6" s="1"/>
  <c r="D28" i="4"/>
  <c r="D39" i="6" s="1"/>
  <c r="E28" i="4"/>
  <c r="E39" i="6" s="1"/>
  <c r="F28" i="4"/>
  <c r="F39" i="6" s="1"/>
  <c r="AC39" i="6" s="1"/>
  <c r="G28" i="4"/>
  <c r="G39" i="6" s="1"/>
  <c r="AD39" i="6" s="1"/>
  <c r="H28" i="4"/>
  <c r="H39" i="6" s="1"/>
  <c r="AE39" i="6" s="1"/>
  <c r="I28" i="4"/>
  <c r="I39" i="6" s="1"/>
  <c r="AF39" i="6" s="1"/>
  <c r="J28" i="4"/>
  <c r="J39" i="6" s="1"/>
  <c r="C19" i="4"/>
  <c r="C27" i="6" s="1"/>
  <c r="Z27" i="6" s="1"/>
  <c r="D19" i="4"/>
  <c r="D27" i="6" s="1"/>
  <c r="E19" i="4"/>
  <c r="E27" i="6" s="1"/>
  <c r="F19" i="4"/>
  <c r="F27" i="6" s="1"/>
  <c r="AC27" i="6" s="1"/>
  <c r="G19" i="4"/>
  <c r="G27" i="6" s="1"/>
  <c r="AD27" i="6" s="1"/>
  <c r="H19" i="4"/>
  <c r="H27" i="6" s="1"/>
  <c r="AE27" i="6" s="1"/>
  <c r="I19" i="4"/>
  <c r="I27" i="6" s="1"/>
  <c r="AF27" i="6" s="1"/>
  <c r="J19" i="4"/>
  <c r="J27" i="6" s="1"/>
  <c r="E73" i="3" l="1"/>
  <c r="E73" i="4" s="1"/>
  <c r="E74" i="4" s="1"/>
  <c r="D73" i="3"/>
  <c r="D73" i="4" s="1"/>
  <c r="D74" i="4" s="1"/>
  <c r="C73" i="3"/>
  <c r="C73" i="4" s="1"/>
  <c r="J73" i="3"/>
  <c r="J73" i="4" s="1"/>
  <c r="J74" i="4" s="1"/>
  <c r="I73" i="3"/>
  <c r="I73" i="4" s="1"/>
  <c r="I74" i="4" s="1"/>
  <c r="H73" i="3"/>
  <c r="H73" i="4" s="1"/>
  <c r="H74" i="4" s="1"/>
  <c r="G73" i="3"/>
  <c r="G73" i="4" s="1"/>
  <c r="G74" i="4" s="1"/>
  <c r="F73" i="3"/>
  <c r="F73" i="4" s="1"/>
  <c r="F74" i="4" s="1"/>
  <c r="K73" i="3"/>
  <c r="K30" i="3"/>
  <c r="C97" i="3"/>
  <c r="J97" i="3"/>
  <c r="I97" i="3"/>
  <c r="F97" i="3"/>
  <c r="H97" i="3"/>
  <c r="G97" i="3"/>
  <c r="E97" i="3"/>
  <c r="D97" i="3"/>
  <c r="K97" i="3"/>
  <c r="E94" i="3"/>
  <c r="D94" i="3"/>
  <c r="K94" i="3"/>
  <c r="C94" i="3"/>
  <c r="J94" i="3"/>
  <c r="H94" i="3"/>
  <c r="I94" i="3"/>
  <c r="G94" i="3"/>
  <c r="F94" i="3"/>
  <c r="Q9" i="6"/>
  <c r="Q33" i="6"/>
  <c r="K24" i="3"/>
  <c r="D91" i="3"/>
  <c r="G91" i="3"/>
  <c r="C91" i="3"/>
  <c r="J91" i="3"/>
  <c r="I91" i="3"/>
  <c r="H91" i="3"/>
  <c r="F91" i="3"/>
  <c r="E91" i="3"/>
  <c r="K91" i="3"/>
  <c r="S45" i="6"/>
  <c r="K21" i="3"/>
  <c r="F88" i="3"/>
  <c r="F88" i="4" s="1"/>
  <c r="I88" i="3"/>
  <c r="I88" i="4" s="1"/>
  <c r="H88" i="3"/>
  <c r="H88" i="4" s="1"/>
  <c r="G88" i="3"/>
  <c r="G88" i="4" s="1"/>
  <c r="E88" i="3"/>
  <c r="E88" i="4" s="1"/>
  <c r="D88" i="3"/>
  <c r="D88" i="4" s="1"/>
  <c r="C88" i="3"/>
  <c r="C88" i="4" s="1"/>
  <c r="J88" i="3"/>
  <c r="J88" i="4" s="1"/>
  <c r="K88" i="3"/>
  <c r="K18" i="3"/>
  <c r="I85" i="3"/>
  <c r="I85" i="4" s="1"/>
  <c r="H85" i="3"/>
  <c r="H85" i="4" s="1"/>
  <c r="G85" i="3"/>
  <c r="G85" i="4" s="1"/>
  <c r="D85" i="3"/>
  <c r="D85" i="4" s="1"/>
  <c r="F85" i="3"/>
  <c r="F85" i="4" s="1"/>
  <c r="E85" i="3"/>
  <c r="E85" i="4" s="1"/>
  <c r="C85" i="3"/>
  <c r="C85" i="4" s="1"/>
  <c r="J85" i="3"/>
  <c r="J85" i="4" s="1"/>
  <c r="K85" i="3"/>
  <c r="K15" i="3"/>
  <c r="C82" i="3"/>
  <c r="C82" i="4" s="1"/>
  <c r="F82" i="3"/>
  <c r="F82" i="4" s="1"/>
  <c r="D82" i="3"/>
  <c r="D82" i="4" s="1"/>
  <c r="J82" i="3"/>
  <c r="J82" i="4" s="1"/>
  <c r="I82" i="3"/>
  <c r="I82" i="4" s="1"/>
  <c r="H82" i="3"/>
  <c r="H82" i="4" s="1"/>
  <c r="G82" i="3"/>
  <c r="G82" i="4" s="1"/>
  <c r="E82" i="3"/>
  <c r="E82" i="4" s="1"/>
  <c r="K82" i="3"/>
  <c r="T25" i="6"/>
  <c r="K9" i="3"/>
  <c r="H76" i="3"/>
  <c r="H76" i="4" s="1"/>
  <c r="J76" i="3"/>
  <c r="J76" i="4" s="1"/>
  <c r="I76" i="3"/>
  <c r="I76" i="4" s="1"/>
  <c r="G76" i="3"/>
  <c r="G76" i="4" s="1"/>
  <c r="F76" i="3"/>
  <c r="F76" i="4" s="1"/>
  <c r="E76" i="3"/>
  <c r="E76" i="4" s="1"/>
  <c r="D76" i="3"/>
  <c r="D76" i="4" s="1"/>
  <c r="C76" i="3"/>
  <c r="C76" i="4" s="1"/>
  <c r="K76" i="3"/>
  <c r="T5" i="6"/>
  <c r="K12" i="3"/>
  <c r="F79" i="3"/>
  <c r="F79" i="4" s="1"/>
  <c r="H79" i="3"/>
  <c r="H79" i="4" s="1"/>
  <c r="G79" i="3"/>
  <c r="G79" i="4" s="1"/>
  <c r="E79" i="3"/>
  <c r="E79" i="4" s="1"/>
  <c r="D79" i="3"/>
  <c r="D79" i="4" s="1"/>
  <c r="C79" i="3"/>
  <c r="C79" i="4" s="1"/>
  <c r="J79" i="3"/>
  <c r="J79" i="4" s="1"/>
  <c r="I79" i="3"/>
  <c r="I79" i="4" s="1"/>
  <c r="K79" i="3"/>
  <c r="T33" i="6"/>
  <c r="T37" i="6"/>
  <c r="Q37" i="6"/>
  <c r="H63" i="1"/>
  <c r="G63" i="1"/>
  <c r="C63" i="1"/>
  <c r="J63" i="1"/>
  <c r="F63" i="1"/>
  <c r="I63" i="1"/>
  <c r="E63" i="1"/>
  <c r="D63" i="1"/>
  <c r="K63" i="1"/>
  <c r="D79" i="1"/>
  <c r="F79" i="1"/>
  <c r="C79" i="1"/>
  <c r="J79" i="1"/>
  <c r="G79" i="1"/>
  <c r="I79" i="1"/>
  <c r="H79" i="1"/>
  <c r="E79" i="1"/>
  <c r="K79" i="1"/>
  <c r="F65" i="1"/>
  <c r="E65" i="1"/>
  <c r="I65" i="1"/>
  <c r="D65" i="1"/>
  <c r="C65" i="1"/>
  <c r="H65" i="1"/>
  <c r="J65" i="1"/>
  <c r="G65" i="1"/>
  <c r="K65" i="1"/>
  <c r="D67" i="1"/>
  <c r="F67" i="1"/>
  <c r="C67" i="1"/>
  <c r="J67" i="1"/>
  <c r="G67" i="1"/>
  <c r="I67" i="1"/>
  <c r="H67" i="1"/>
  <c r="E67" i="1"/>
  <c r="K67" i="1"/>
  <c r="J69" i="1"/>
  <c r="I69" i="1"/>
  <c r="E69" i="1"/>
  <c r="C69" i="1"/>
  <c r="H69" i="1"/>
  <c r="K69" i="1"/>
  <c r="G69" i="1"/>
  <c r="D69" i="1"/>
  <c r="F69" i="1"/>
  <c r="H71" i="1"/>
  <c r="G71" i="1"/>
  <c r="J71" i="1"/>
  <c r="F71" i="1"/>
  <c r="C71" i="1"/>
  <c r="E71" i="1"/>
  <c r="D71" i="1"/>
  <c r="I71" i="1"/>
  <c r="K71" i="1"/>
  <c r="E77" i="1"/>
  <c r="H77" i="1"/>
  <c r="D77" i="1"/>
  <c r="F77" i="1"/>
  <c r="C77" i="1"/>
  <c r="J77" i="1"/>
  <c r="G77" i="1"/>
  <c r="I77" i="1"/>
  <c r="K77" i="1"/>
  <c r="G73" i="1"/>
  <c r="F73" i="1"/>
  <c r="I73" i="1"/>
  <c r="E73" i="1"/>
  <c r="D73" i="1"/>
  <c r="J73" i="1"/>
  <c r="C73" i="1"/>
  <c r="H73" i="1"/>
  <c r="K73" i="1"/>
  <c r="F75" i="1"/>
  <c r="G75" i="1"/>
  <c r="E75" i="1"/>
  <c r="I75" i="1"/>
  <c r="D75" i="1"/>
  <c r="C75" i="1"/>
  <c r="J75" i="1"/>
  <c r="H75" i="1"/>
  <c r="K75" i="1"/>
  <c r="Q30" i="6"/>
  <c r="Q6" i="6"/>
  <c r="R10" i="6"/>
  <c r="Q26" i="6"/>
  <c r="Q45" i="6"/>
  <c r="C32" i="10"/>
  <c r="AF37" i="6"/>
  <c r="T21" i="6"/>
  <c r="R37" i="6"/>
  <c r="T17" i="6"/>
  <c r="R33" i="6"/>
  <c r="Z13" i="6"/>
  <c r="R17" i="6"/>
  <c r="R21" i="6"/>
  <c r="R13" i="6"/>
  <c r="T29" i="6"/>
  <c r="AF25" i="6"/>
  <c r="H127" i="12"/>
  <c r="H67" i="12"/>
  <c r="H7" i="12"/>
  <c r="I18" i="12" s="1"/>
  <c r="H97" i="12"/>
  <c r="H37" i="12"/>
  <c r="Q5" i="6"/>
  <c r="T13" i="6"/>
  <c r="R25" i="6"/>
  <c r="Z21" i="6"/>
  <c r="R45" i="6"/>
  <c r="C21" i="10"/>
  <c r="T39" i="6"/>
  <c r="R38" i="6"/>
  <c r="S38" i="6"/>
  <c r="AC38" i="6"/>
  <c r="AB38" i="6"/>
  <c r="R34" i="6"/>
  <c r="S30" i="6"/>
  <c r="T27" i="6"/>
  <c r="S26" i="6"/>
  <c r="R26" i="6"/>
  <c r="S22" i="6"/>
  <c r="R22" i="6"/>
  <c r="S10" i="6"/>
  <c r="AB10" i="6"/>
  <c r="AA10" i="6"/>
  <c r="R6" i="6"/>
  <c r="K6" i="3"/>
  <c r="Z38" i="6"/>
  <c r="Q22" i="6"/>
  <c r="Q18" i="6"/>
  <c r="Z10" i="6"/>
  <c r="E14" i="8"/>
  <c r="T13" i="8"/>
  <c r="E39" i="8"/>
  <c r="I14" i="8"/>
  <c r="X13" i="8"/>
  <c r="H14" i="8"/>
  <c r="W13" i="8"/>
  <c r="D14" i="8"/>
  <c r="D39" i="8"/>
  <c r="S13" i="8"/>
  <c r="F13" i="8"/>
  <c r="B14" i="8"/>
  <c r="B39" i="8"/>
  <c r="Q14" i="8"/>
  <c r="K14" i="8" s="1"/>
  <c r="K13" i="8"/>
  <c r="G14" i="8"/>
  <c r="V13" i="8"/>
  <c r="J14" i="8"/>
  <c r="J13" i="8"/>
  <c r="G44" i="6"/>
  <c r="S40" i="6"/>
  <c r="AD40" i="6"/>
  <c r="AA5" i="6"/>
  <c r="R5" i="6"/>
  <c r="T9" i="6"/>
  <c r="AF9" i="6"/>
  <c r="AF45" i="6"/>
  <c r="E12" i="11" s="1"/>
  <c r="T26" i="6"/>
  <c r="S25" i="6"/>
  <c r="S21" i="6"/>
  <c r="AC40" i="6"/>
  <c r="T45" i="6"/>
  <c r="AB33" i="6"/>
  <c r="S33" i="6"/>
  <c r="AB37" i="6"/>
  <c r="S37" i="6"/>
  <c r="S29" i="6"/>
  <c r="T34" i="6"/>
  <c r="S17" i="6"/>
  <c r="U25" i="6"/>
  <c r="S13" i="6"/>
  <c r="AC44" i="6"/>
  <c r="S5" i="6"/>
  <c r="AB5" i="6"/>
  <c r="AG45" i="6"/>
  <c r="E13" i="11" s="1"/>
  <c r="R29" i="6"/>
  <c r="U29" i="6" s="1"/>
  <c r="R9" i="6"/>
  <c r="R14" i="6"/>
  <c r="AA21" i="6"/>
  <c r="AF26" i="6"/>
  <c r="AC45" i="6"/>
  <c r="E9" i="11" s="1"/>
  <c r="S9" i="6"/>
  <c r="R18" i="6"/>
  <c r="Q34" i="6"/>
  <c r="AF34" i="6"/>
  <c r="S18" i="6"/>
  <c r="T22" i="6"/>
  <c r="S34" i="6"/>
  <c r="Z14" i="6"/>
  <c r="AG27" i="6"/>
  <c r="T6" i="6"/>
  <c r="D44" i="6"/>
  <c r="R40" i="6"/>
  <c r="U8" i="6"/>
  <c r="AA40" i="6"/>
  <c r="AE40" i="6"/>
  <c r="AF40" i="6"/>
  <c r="AD45" i="6"/>
  <c r="E10" i="11" s="1"/>
  <c r="Z25" i="6"/>
  <c r="S14" i="6"/>
  <c r="R30" i="6"/>
  <c r="T14" i="6"/>
  <c r="Z29" i="6"/>
  <c r="T10" i="6"/>
  <c r="U10" i="6" s="1"/>
  <c r="T18" i="6"/>
  <c r="T30" i="6"/>
  <c r="T38" i="6"/>
  <c r="AG39" i="6"/>
  <c r="U12" i="6"/>
  <c r="Z17" i="6"/>
  <c r="AB40" i="6"/>
  <c r="U20" i="6"/>
  <c r="U36" i="6"/>
  <c r="S6" i="6"/>
  <c r="R27" i="6"/>
  <c r="R39" i="6"/>
  <c r="Q27" i="6"/>
  <c r="Z39" i="6"/>
  <c r="AA27" i="6"/>
  <c r="AA39" i="6"/>
  <c r="S27" i="6"/>
  <c r="S39" i="6"/>
  <c r="AB27" i="6"/>
  <c r="AB39" i="6"/>
  <c r="U4" i="6"/>
  <c r="K18" i="6"/>
  <c r="AH18" i="6" s="1"/>
  <c r="K38" i="6"/>
  <c r="AH38" i="6" s="1"/>
  <c r="K40" i="6"/>
  <c r="AH40" i="6" s="1"/>
  <c r="K22" i="6"/>
  <c r="AH22" i="6" s="1"/>
  <c r="K27" i="6"/>
  <c r="AH27" i="6" s="1"/>
  <c r="K30" i="6"/>
  <c r="AH30" i="6" s="1"/>
  <c r="K39" i="6"/>
  <c r="AH39" i="6" s="1"/>
  <c r="K34" i="6"/>
  <c r="AH34" i="6" s="1"/>
  <c r="K26" i="6"/>
  <c r="AH26" i="6" s="1"/>
  <c r="K14" i="6"/>
  <c r="AH14" i="6" s="1"/>
  <c r="K10" i="6"/>
  <c r="AH10" i="6" s="1"/>
  <c r="K9" i="6"/>
  <c r="AH9" i="6" s="1"/>
  <c r="K6" i="6"/>
  <c r="AH6" i="6" s="1"/>
  <c r="K5" i="6"/>
  <c r="AH5" i="6" s="1"/>
  <c r="C44" i="6"/>
  <c r="H44" i="6"/>
  <c r="I44" i="6"/>
  <c r="J44" i="6"/>
  <c r="AG44" i="6" s="1"/>
  <c r="K37" i="6"/>
  <c r="AH37" i="6" s="1"/>
  <c r="K28" i="4"/>
  <c r="I30" i="4" s="1"/>
  <c r="K19" i="4"/>
  <c r="F21" i="4" s="1"/>
  <c r="C74" i="4" l="1"/>
  <c r="K73" i="4"/>
  <c r="K74" i="4" s="1"/>
  <c r="U45" i="6"/>
  <c r="U13" i="6"/>
  <c r="E77" i="4"/>
  <c r="E78" i="4"/>
  <c r="G87" i="4"/>
  <c r="G86" i="4"/>
  <c r="E83" i="4"/>
  <c r="G89" i="4"/>
  <c r="F80" i="4"/>
  <c r="G77" i="4"/>
  <c r="G78" i="4"/>
  <c r="H89" i="4"/>
  <c r="U5" i="6"/>
  <c r="U33" i="6"/>
  <c r="I80" i="4"/>
  <c r="I77" i="4"/>
  <c r="I78" i="4"/>
  <c r="H83" i="4"/>
  <c r="J87" i="4"/>
  <c r="J86" i="4"/>
  <c r="I89" i="4"/>
  <c r="K82" i="4"/>
  <c r="C83" i="4"/>
  <c r="F78" i="4"/>
  <c r="F77" i="4"/>
  <c r="H87" i="4"/>
  <c r="H86" i="4"/>
  <c r="G83" i="4"/>
  <c r="I87" i="4"/>
  <c r="I86" i="4"/>
  <c r="U9" i="6"/>
  <c r="J80" i="4"/>
  <c r="J78" i="4"/>
  <c r="J77" i="4"/>
  <c r="I83" i="4"/>
  <c r="C86" i="4"/>
  <c r="C87" i="4"/>
  <c r="K85" i="4"/>
  <c r="F89" i="4"/>
  <c r="E89" i="4"/>
  <c r="H80" i="4"/>
  <c r="C80" i="4"/>
  <c r="K79" i="4"/>
  <c r="J83" i="4"/>
  <c r="J89" i="4"/>
  <c r="D80" i="4"/>
  <c r="K76" i="4"/>
  <c r="C77" i="4"/>
  <c r="C78" i="4"/>
  <c r="D83" i="4"/>
  <c r="F87" i="4"/>
  <c r="F86" i="4"/>
  <c r="K88" i="4"/>
  <c r="C89" i="4"/>
  <c r="G80" i="4"/>
  <c r="U21" i="6"/>
  <c r="H77" i="4"/>
  <c r="H78" i="4"/>
  <c r="E87" i="4"/>
  <c r="E86" i="4"/>
  <c r="E80" i="4"/>
  <c r="D78" i="4"/>
  <c r="D77" i="4"/>
  <c r="F83" i="4"/>
  <c r="D86" i="4"/>
  <c r="D87" i="4"/>
  <c r="D89" i="4"/>
  <c r="H132" i="12"/>
  <c r="H12" i="12"/>
  <c r="I23" i="12" s="1"/>
  <c r="H102" i="12"/>
  <c r="H72" i="12"/>
  <c r="H42" i="12"/>
  <c r="H128" i="12"/>
  <c r="H38" i="12"/>
  <c r="H98" i="12"/>
  <c r="H68" i="12"/>
  <c r="H8" i="12"/>
  <c r="I19" i="12" s="1"/>
  <c r="U17" i="6"/>
  <c r="C22" i="10"/>
  <c r="D21" i="10"/>
  <c r="D22" i="10" s="1"/>
  <c r="H129" i="12"/>
  <c r="H39" i="12"/>
  <c r="H9" i="12"/>
  <c r="I20" i="12" s="1"/>
  <c r="H99" i="12"/>
  <c r="H69" i="12"/>
  <c r="U37" i="6"/>
  <c r="H131" i="12"/>
  <c r="H41" i="12"/>
  <c r="H11" i="12"/>
  <c r="I22" i="12" s="1"/>
  <c r="H101" i="12"/>
  <c r="H71" i="12"/>
  <c r="U38" i="6"/>
  <c r="U30" i="6"/>
  <c r="U27" i="6"/>
  <c r="U26" i="6"/>
  <c r="U18" i="6"/>
  <c r="U14" i="6"/>
  <c r="U6" i="6"/>
  <c r="U22" i="6"/>
  <c r="S14" i="8"/>
  <c r="W14" i="8"/>
  <c r="V14" i="8"/>
  <c r="X14" i="8"/>
  <c r="L13" i="8"/>
  <c r="L14" i="8" s="1"/>
  <c r="U13" i="8"/>
  <c r="F14" i="8"/>
  <c r="U14" i="8" s="1"/>
  <c r="S39" i="8"/>
  <c r="F39" i="8"/>
  <c r="D40" i="8"/>
  <c r="S40" i="8" s="1"/>
  <c r="Y13" i="8"/>
  <c r="Y14" i="8"/>
  <c r="T39" i="8"/>
  <c r="E40" i="8"/>
  <c r="Q39" i="8"/>
  <c r="V39" i="8"/>
  <c r="X39" i="8"/>
  <c r="W39" i="8"/>
  <c r="B40" i="8"/>
  <c r="T14" i="8"/>
  <c r="AF44" i="6"/>
  <c r="T44" i="6"/>
  <c r="V12" i="6"/>
  <c r="V8" i="6"/>
  <c r="U34" i="6"/>
  <c r="U40" i="6"/>
  <c r="V40" i="6" s="1"/>
  <c r="V20" i="6"/>
  <c r="AA44" i="6"/>
  <c r="R44" i="6"/>
  <c r="AA45" i="6"/>
  <c r="E7" i="11" s="1"/>
  <c r="AE44" i="6"/>
  <c r="AI40" i="6"/>
  <c r="Z44" i="6"/>
  <c r="Z45" i="6"/>
  <c r="E6" i="11" s="1"/>
  <c r="Q44" i="6"/>
  <c r="U44" i="6" s="1"/>
  <c r="V44" i="6" s="1"/>
  <c r="AE45" i="6"/>
  <c r="E11" i="11" s="1"/>
  <c r="S44" i="6"/>
  <c r="AD44" i="6"/>
  <c r="U39" i="6"/>
  <c r="AJ44" i="6"/>
  <c r="K44" i="6"/>
  <c r="K33" i="6"/>
  <c r="AH33" i="6" s="1"/>
  <c r="K29" i="6"/>
  <c r="AH29" i="6" s="1"/>
  <c r="K25" i="6"/>
  <c r="AH25" i="6" s="1"/>
  <c r="K21" i="6"/>
  <c r="AH21" i="6" s="1"/>
  <c r="K17" i="6"/>
  <c r="AH17" i="6" s="1"/>
  <c r="K13" i="6"/>
  <c r="AH13" i="6" s="1"/>
  <c r="M44" i="6"/>
  <c r="G30" i="4"/>
  <c r="C30" i="4"/>
  <c r="E30" i="4"/>
  <c r="F30" i="4"/>
  <c r="D30" i="4"/>
  <c r="H30" i="4"/>
  <c r="J30" i="4"/>
  <c r="C21" i="4"/>
  <c r="D21" i="4"/>
  <c r="I21" i="4"/>
  <c r="G21" i="4"/>
  <c r="J21" i="4"/>
  <c r="E21" i="4"/>
  <c r="H21" i="4"/>
  <c r="K87" i="4" l="1"/>
  <c r="K80" i="4"/>
  <c r="K77" i="4"/>
  <c r="K89" i="4"/>
  <c r="K86" i="4"/>
  <c r="K83" i="4"/>
  <c r="K78" i="4"/>
  <c r="H125" i="12"/>
  <c r="H95" i="12"/>
  <c r="H5" i="12"/>
  <c r="I16" i="12" s="1"/>
  <c r="H65" i="12"/>
  <c r="H35" i="12"/>
  <c r="H126" i="12"/>
  <c r="H96" i="12"/>
  <c r="H66" i="12"/>
  <c r="H36" i="12"/>
  <c r="H6" i="12"/>
  <c r="I17" i="12" s="1"/>
  <c r="H130" i="12"/>
  <c r="H100" i="12"/>
  <c r="H40" i="12"/>
  <c r="H10" i="12"/>
  <c r="I21" i="12" s="1"/>
  <c r="H70" i="12"/>
  <c r="Y39" i="8"/>
  <c r="T40" i="8"/>
  <c r="Q40" i="8"/>
  <c r="L40" i="8"/>
  <c r="U39" i="8"/>
  <c r="F40" i="8"/>
  <c r="U40" i="8" s="1"/>
  <c r="W40" i="8"/>
  <c r="X40" i="8"/>
  <c r="V40" i="8"/>
  <c r="Y40" i="8" s="1"/>
  <c r="AA14" i="8"/>
  <c r="AA13" i="8"/>
  <c r="W44" i="6"/>
  <c r="AH44" i="6"/>
  <c r="AI44" i="6" s="1"/>
  <c r="AI24" i="6"/>
  <c r="AI8" i="6"/>
  <c r="V32" i="6"/>
  <c r="V16" i="6"/>
  <c r="AI28" i="6"/>
  <c r="AI4" i="6"/>
  <c r="AI12" i="6"/>
  <c r="AI32" i="6"/>
  <c r="AI20" i="6"/>
  <c r="V28" i="6"/>
  <c r="V24" i="6"/>
  <c r="AI16" i="6"/>
  <c r="AI36" i="6"/>
  <c r="V36" i="6"/>
  <c r="V4" i="6"/>
  <c r="L40" i="6"/>
  <c r="L32" i="6"/>
  <c r="L12" i="6"/>
  <c r="L44" i="6"/>
  <c r="L36" i="6"/>
  <c r="L8" i="6"/>
  <c r="L16" i="6"/>
  <c r="L28" i="6"/>
  <c r="L20" i="6"/>
  <c r="L24" i="6"/>
  <c r="L4" i="6"/>
  <c r="J29" i="4"/>
  <c r="I29" i="4"/>
  <c r="H29" i="4"/>
  <c r="G29" i="4"/>
  <c r="F29" i="4"/>
  <c r="E29" i="4"/>
  <c r="D29" i="4"/>
  <c r="C29" i="4"/>
  <c r="J25" i="4"/>
  <c r="J35" i="6" s="1"/>
  <c r="AG35" i="6" s="1"/>
  <c r="I25" i="4"/>
  <c r="I35" i="6" s="1"/>
  <c r="H25" i="4"/>
  <c r="H35" i="6" s="1"/>
  <c r="AE35" i="6" s="1"/>
  <c r="G25" i="4"/>
  <c r="G35" i="6" s="1"/>
  <c r="AD35" i="6" s="1"/>
  <c r="F25" i="4"/>
  <c r="F35" i="6" s="1"/>
  <c r="AC35" i="6" s="1"/>
  <c r="E25" i="4"/>
  <c r="E35" i="6" s="1"/>
  <c r="D25" i="4"/>
  <c r="D35" i="6" s="1"/>
  <c r="C25" i="4"/>
  <c r="C35" i="6" s="1"/>
  <c r="J22" i="4"/>
  <c r="J31" i="6" s="1"/>
  <c r="AG31" i="6" s="1"/>
  <c r="I22" i="4"/>
  <c r="I31" i="6" s="1"/>
  <c r="H22" i="4"/>
  <c r="H31" i="6" s="1"/>
  <c r="AE31" i="6" s="1"/>
  <c r="G22" i="4"/>
  <c r="G31" i="6" s="1"/>
  <c r="AD31" i="6" s="1"/>
  <c r="F22" i="4"/>
  <c r="F31" i="6" s="1"/>
  <c r="AC31" i="6" s="1"/>
  <c r="E22" i="4"/>
  <c r="E31" i="6" s="1"/>
  <c r="D22" i="4"/>
  <c r="D31" i="6" s="1"/>
  <c r="C22" i="4"/>
  <c r="C31" i="6" s="1"/>
  <c r="J20" i="4"/>
  <c r="I20" i="4"/>
  <c r="H20" i="4"/>
  <c r="G20" i="4"/>
  <c r="F20" i="4"/>
  <c r="E20" i="4"/>
  <c r="D20" i="4"/>
  <c r="C20" i="4"/>
  <c r="J16" i="4"/>
  <c r="J23" i="6" s="1"/>
  <c r="AG23" i="6" s="1"/>
  <c r="I16" i="4"/>
  <c r="I23" i="6" s="1"/>
  <c r="H16" i="4"/>
  <c r="H23" i="6" s="1"/>
  <c r="AE23" i="6" s="1"/>
  <c r="G16" i="4"/>
  <c r="G23" i="6" s="1"/>
  <c r="AD23" i="6" s="1"/>
  <c r="F16" i="4"/>
  <c r="F23" i="6" s="1"/>
  <c r="AC23" i="6" s="1"/>
  <c r="E16" i="4"/>
  <c r="E23" i="6" s="1"/>
  <c r="D16" i="4"/>
  <c r="D23" i="6" s="1"/>
  <c r="C16" i="4"/>
  <c r="C23" i="6" s="1"/>
  <c r="J13" i="4"/>
  <c r="J19" i="6" s="1"/>
  <c r="AG19" i="6" s="1"/>
  <c r="I13" i="4"/>
  <c r="I19" i="6" s="1"/>
  <c r="H13" i="4"/>
  <c r="H19" i="6" s="1"/>
  <c r="AE19" i="6" s="1"/>
  <c r="G13" i="4"/>
  <c r="G19" i="6" s="1"/>
  <c r="AD19" i="6" s="1"/>
  <c r="F13" i="4"/>
  <c r="F19" i="6" s="1"/>
  <c r="AC19" i="6" s="1"/>
  <c r="E13" i="4"/>
  <c r="E19" i="6" s="1"/>
  <c r="D13" i="4"/>
  <c r="D19" i="6" s="1"/>
  <c r="C13" i="4"/>
  <c r="C19" i="6" s="1"/>
  <c r="J10" i="4"/>
  <c r="J15" i="6" s="1"/>
  <c r="AG15" i="6" s="1"/>
  <c r="I10" i="4"/>
  <c r="I15" i="6" s="1"/>
  <c r="H10" i="4"/>
  <c r="H15" i="6" s="1"/>
  <c r="AE15" i="6" s="1"/>
  <c r="G10" i="4"/>
  <c r="G15" i="6" s="1"/>
  <c r="AD15" i="6" s="1"/>
  <c r="F10" i="4"/>
  <c r="F15" i="6" s="1"/>
  <c r="AC15" i="6" s="1"/>
  <c r="E10" i="4"/>
  <c r="E15" i="6" s="1"/>
  <c r="D10" i="4"/>
  <c r="D15" i="6" s="1"/>
  <c r="C10" i="4"/>
  <c r="C15" i="6" s="1"/>
  <c r="J7" i="4"/>
  <c r="J11" i="6" s="1"/>
  <c r="AG11" i="6" s="1"/>
  <c r="I7" i="4"/>
  <c r="I11" i="6" s="1"/>
  <c r="H7" i="4"/>
  <c r="H11" i="6" s="1"/>
  <c r="AE11" i="6" s="1"/>
  <c r="G7" i="4"/>
  <c r="G11" i="6" s="1"/>
  <c r="AD11" i="6" s="1"/>
  <c r="F7" i="4"/>
  <c r="F11" i="6" s="1"/>
  <c r="AC11" i="6" s="1"/>
  <c r="E7" i="4"/>
  <c r="E11" i="6" s="1"/>
  <c r="D7" i="4"/>
  <c r="D11" i="6" s="1"/>
  <c r="C7" i="4"/>
  <c r="C11" i="6" s="1"/>
  <c r="D4" i="4"/>
  <c r="E4" i="4"/>
  <c r="F4" i="4"/>
  <c r="G4" i="4"/>
  <c r="H4" i="4"/>
  <c r="I4" i="4"/>
  <c r="J4" i="4"/>
  <c r="C4" i="4"/>
  <c r="C7" i="6" s="1"/>
  <c r="D26" i="3"/>
  <c r="E26" i="3"/>
  <c r="F26" i="3"/>
  <c r="G26" i="3"/>
  <c r="H26" i="3"/>
  <c r="I26" i="3"/>
  <c r="J26" i="3"/>
  <c r="K26" i="3"/>
  <c r="C26" i="3"/>
  <c r="D29" i="3"/>
  <c r="E29" i="3"/>
  <c r="F29" i="3"/>
  <c r="G29" i="3"/>
  <c r="H29" i="3"/>
  <c r="I29" i="3"/>
  <c r="J29" i="3"/>
  <c r="K29" i="3"/>
  <c r="C29" i="3"/>
  <c r="D23" i="3"/>
  <c r="E23" i="3"/>
  <c r="F23" i="3"/>
  <c r="G23" i="3"/>
  <c r="H23" i="3"/>
  <c r="I23" i="3"/>
  <c r="J23" i="3"/>
  <c r="K23" i="3"/>
  <c r="C23" i="3"/>
  <c r="D20" i="3"/>
  <c r="E20" i="3"/>
  <c r="F20" i="3"/>
  <c r="G20" i="3"/>
  <c r="H20" i="3"/>
  <c r="I20" i="3"/>
  <c r="J20" i="3"/>
  <c r="K20" i="3"/>
  <c r="C20" i="3"/>
  <c r="D17" i="3"/>
  <c r="E17" i="3"/>
  <c r="F17" i="3"/>
  <c r="G17" i="3"/>
  <c r="H17" i="3"/>
  <c r="I17" i="3"/>
  <c r="J17" i="3"/>
  <c r="K17" i="3"/>
  <c r="C17" i="3"/>
  <c r="D14" i="3"/>
  <c r="E14" i="3"/>
  <c r="F14" i="3"/>
  <c r="G14" i="3"/>
  <c r="H14" i="3"/>
  <c r="I14" i="3"/>
  <c r="J14" i="3"/>
  <c r="K14" i="3"/>
  <c r="C14" i="3"/>
  <c r="D31" i="3"/>
  <c r="E31" i="3"/>
  <c r="F31" i="3"/>
  <c r="G31" i="3"/>
  <c r="H31" i="3"/>
  <c r="I31" i="3"/>
  <c r="J31" i="3"/>
  <c r="K47" i="3"/>
  <c r="C31" i="3"/>
  <c r="C34" i="3" s="1"/>
  <c r="D11" i="3"/>
  <c r="E11" i="3"/>
  <c r="F11" i="3"/>
  <c r="G11" i="3"/>
  <c r="H11" i="3"/>
  <c r="I11" i="3"/>
  <c r="J11" i="3"/>
  <c r="K11" i="3"/>
  <c r="C11" i="3"/>
  <c r="K8" i="3"/>
  <c r="D8" i="3"/>
  <c r="E8" i="3"/>
  <c r="F8" i="3"/>
  <c r="G8" i="3"/>
  <c r="H8" i="3"/>
  <c r="I8" i="3"/>
  <c r="J8" i="3"/>
  <c r="C8" i="3"/>
  <c r="D5" i="3"/>
  <c r="E5" i="3"/>
  <c r="F5" i="3"/>
  <c r="G5" i="3"/>
  <c r="H5" i="3"/>
  <c r="I5" i="3"/>
  <c r="J5" i="3"/>
  <c r="K5" i="3"/>
  <c r="C5" i="3"/>
  <c r="D25" i="2"/>
  <c r="E25" i="2"/>
  <c r="F25" i="2"/>
  <c r="G25" i="2"/>
  <c r="H25" i="2"/>
  <c r="I25" i="2"/>
  <c r="J25" i="2"/>
  <c r="K25" i="2"/>
  <c r="C25" i="2"/>
  <c r="D17" i="2"/>
  <c r="E17" i="2"/>
  <c r="F17" i="2"/>
  <c r="G17" i="2"/>
  <c r="H17" i="2"/>
  <c r="I17" i="2"/>
  <c r="J17" i="2"/>
  <c r="K17" i="2"/>
  <c r="D19" i="2"/>
  <c r="E19" i="2"/>
  <c r="F19" i="2"/>
  <c r="G19" i="2"/>
  <c r="H19" i="2"/>
  <c r="I19" i="2"/>
  <c r="J19" i="2"/>
  <c r="K19" i="2"/>
  <c r="D21" i="2"/>
  <c r="E21" i="2"/>
  <c r="F21" i="2"/>
  <c r="G21" i="2"/>
  <c r="H21" i="2"/>
  <c r="I21" i="2"/>
  <c r="J21" i="2"/>
  <c r="K21" i="2"/>
  <c r="C21" i="2"/>
  <c r="C19" i="2"/>
  <c r="C17" i="2"/>
  <c r="D11" i="2"/>
  <c r="E11" i="2"/>
  <c r="F11" i="2"/>
  <c r="G11" i="2"/>
  <c r="H11" i="2"/>
  <c r="I11" i="2"/>
  <c r="J11" i="2"/>
  <c r="K11" i="2"/>
  <c r="D13" i="2"/>
  <c r="E13" i="2"/>
  <c r="F13" i="2"/>
  <c r="G13" i="2"/>
  <c r="H13" i="2"/>
  <c r="I13" i="2"/>
  <c r="J13" i="2"/>
  <c r="K13" i="2"/>
  <c r="D15" i="2"/>
  <c r="E15" i="2"/>
  <c r="F15" i="2"/>
  <c r="G15" i="2"/>
  <c r="H15" i="2"/>
  <c r="I15" i="2"/>
  <c r="J15" i="2"/>
  <c r="K15" i="2"/>
  <c r="C15" i="2"/>
  <c r="C13" i="2"/>
  <c r="C11" i="2"/>
  <c r="D9" i="2"/>
  <c r="E9" i="2"/>
  <c r="F9" i="2"/>
  <c r="G9" i="2"/>
  <c r="H9" i="2"/>
  <c r="I9" i="2"/>
  <c r="J9" i="2"/>
  <c r="K9" i="2"/>
  <c r="C9" i="2"/>
  <c r="D7" i="2"/>
  <c r="E7" i="2"/>
  <c r="F7" i="2"/>
  <c r="G7" i="2"/>
  <c r="H7" i="2"/>
  <c r="I7" i="2"/>
  <c r="J7" i="2"/>
  <c r="K7" i="2"/>
  <c r="C7" i="2"/>
  <c r="E5" i="2"/>
  <c r="F5" i="2"/>
  <c r="G5" i="2"/>
  <c r="H5" i="2"/>
  <c r="I5" i="2"/>
  <c r="J5" i="2"/>
  <c r="K5" i="2"/>
  <c r="D5" i="2"/>
  <c r="C5" i="2"/>
  <c r="D36" i="2"/>
  <c r="D22" i="2" s="1"/>
  <c r="D41" i="6" s="1"/>
  <c r="E36" i="2"/>
  <c r="E22" i="2" s="1"/>
  <c r="E41" i="6" s="1"/>
  <c r="F36" i="2"/>
  <c r="F22" i="2" s="1"/>
  <c r="F41" i="6" s="1"/>
  <c r="AC41" i="6" s="1"/>
  <c r="G36" i="2"/>
  <c r="G22" i="2" s="1"/>
  <c r="G41" i="6" s="1"/>
  <c r="AD41" i="6" s="1"/>
  <c r="H36" i="2"/>
  <c r="H22" i="2" s="1"/>
  <c r="H41" i="6" s="1"/>
  <c r="AE41" i="6" s="1"/>
  <c r="I36" i="2"/>
  <c r="I22" i="2" s="1"/>
  <c r="J36" i="2"/>
  <c r="J22" i="2" s="1"/>
  <c r="K36" i="2"/>
  <c r="K22" i="2" s="1"/>
  <c r="C36" i="2"/>
  <c r="C22" i="2" s="1"/>
  <c r="C41" i="6" s="1"/>
  <c r="L28" i="2"/>
  <c r="L29" i="2"/>
  <c r="L6" i="2"/>
  <c r="L30" i="2"/>
  <c r="L14" i="2"/>
  <c r="L16" i="2"/>
  <c r="L31" i="2"/>
  <c r="L20" i="2"/>
  <c r="L18" i="2"/>
  <c r="L32" i="2"/>
  <c r="L8" i="2"/>
  <c r="L10" i="2"/>
  <c r="L34" i="2"/>
  <c r="L33" i="2"/>
  <c r="L12" i="2"/>
  <c r="L24" i="2"/>
  <c r="L4" i="2"/>
  <c r="D21" i="1"/>
  <c r="E21" i="1"/>
  <c r="F21" i="1"/>
  <c r="G21" i="1"/>
  <c r="H21" i="1"/>
  <c r="I21" i="1"/>
  <c r="J21" i="1"/>
  <c r="K21" i="1"/>
  <c r="D19" i="1"/>
  <c r="E19" i="1"/>
  <c r="F19" i="1"/>
  <c r="G19" i="1"/>
  <c r="H19" i="1"/>
  <c r="I19" i="1"/>
  <c r="J19" i="1"/>
  <c r="K19" i="1"/>
  <c r="D17" i="1"/>
  <c r="E17" i="1"/>
  <c r="F17" i="1"/>
  <c r="G17" i="1"/>
  <c r="H17" i="1"/>
  <c r="I17" i="1"/>
  <c r="J17" i="1"/>
  <c r="K17" i="1"/>
  <c r="D15" i="1"/>
  <c r="E15" i="1"/>
  <c r="F15" i="1"/>
  <c r="G15" i="1"/>
  <c r="H15" i="1"/>
  <c r="I15" i="1"/>
  <c r="J15" i="1"/>
  <c r="K15" i="1"/>
  <c r="D13" i="1"/>
  <c r="E13" i="1"/>
  <c r="F13" i="1"/>
  <c r="G13" i="1"/>
  <c r="H13" i="1"/>
  <c r="I13" i="1"/>
  <c r="J13" i="1"/>
  <c r="K13" i="1"/>
  <c r="D11" i="1"/>
  <c r="E11" i="1"/>
  <c r="F11" i="1"/>
  <c r="G11" i="1"/>
  <c r="H11" i="1"/>
  <c r="I11" i="1"/>
  <c r="J11" i="1"/>
  <c r="K11" i="1"/>
  <c r="D9" i="1"/>
  <c r="E9" i="1"/>
  <c r="F9" i="1"/>
  <c r="G9" i="1"/>
  <c r="H9" i="1"/>
  <c r="I9" i="1"/>
  <c r="J9" i="1"/>
  <c r="K9" i="1"/>
  <c r="D7" i="1"/>
  <c r="E7" i="1"/>
  <c r="F7" i="1"/>
  <c r="G7" i="1"/>
  <c r="H7" i="1"/>
  <c r="I7" i="1"/>
  <c r="J7" i="1"/>
  <c r="K7" i="1"/>
  <c r="K5" i="1"/>
  <c r="D5" i="1"/>
  <c r="E5" i="1"/>
  <c r="F5" i="1"/>
  <c r="G5" i="1"/>
  <c r="H5" i="1"/>
  <c r="I5" i="1"/>
  <c r="J5" i="1"/>
  <c r="C21" i="1"/>
  <c r="C19" i="1"/>
  <c r="C17" i="1"/>
  <c r="C15" i="1"/>
  <c r="C13" i="1"/>
  <c r="C11" i="1"/>
  <c r="C9" i="1"/>
  <c r="C7" i="1"/>
  <c r="C5" i="1"/>
  <c r="D38" i="1"/>
  <c r="D22" i="1" s="1"/>
  <c r="D24" i="1" s="1"/>
  <c r="E38" i="1"/>
  <c r="E22" i="1" s="1"/>
  <c r="E24" i="1" s="1"/>
  <c r="F38" i="1"/>
  <c r="F22" i="1" s="1"/>
  <c r="F24" i="1" s="1"/>
  <c r="G38" i="1"/>
  <c r="G22" i="1" s="1"/>
  <c r="G24" i="1" s="1"/>
  <c r="H38" i="1"/>
  <c r="H22" i="1" s="1"/>
  <c r="I38" i="1"/>
  <c r="I22" i="1" s="1"/>
  <c r="J38" i="1"/>
  <c r="J22" i="1" s="1"/>
  <c r="K38" i="1"/>
  <c r="C38" i="1"/>
  <c r="C22" i="1" s="1"/>
  <c r="E80" i="2" l="1"/>
  <c r="E86" i="3" s="1"/>
  <c r="F80" i="2"/>
  <c r="F86" i="3" s="1"/>
  <c r="G80" i="2"/>
  <c r="G86" i="3" s="1"/>
  <c r="H80" i="2"/>
  <c r="H86" i="3" s="1"/>
  <c r="I80" i="2"/>
  <c r="I86" i="3" s="1"/>
  <c r="J80" i="2"/>
  <c r="J86" i="3" s="1"/>
  <c r="D80" i="2"/>
  <c r="D86" i="3" s="1"/>
  <c r="K80" i="2"/>
  <c r="K86" i="3" s="1"/>
  <c r="C80" i="2"/>
  <c r="C86" i="3" s="1"/>
  <c r="F8" i="11"/>
  <c r="F9" i="11"/>
  <c r="F10" i="11"/>
  <c r="AK7" i="11"/>
  <c r="AA7" i="11"/>
  <c r="F7" i="11"/>
  <c r="AC7" i="11" s="1"/>
  <c r="J41" i="6"/>
  <c r="AG41" i="6" s="1"/>
  <c r="J23" i="2"/>
  <c r="I41" i="6"/>
  <c r="I23" i="2"/>
  <c r="L22" i="2"/>
  <c r="C23" i="2"/>
  <c r="K23" i="2"/>
  <c r="D23" i="2"/>
  <c r="E23" i="2"/>
  <c r="F23" i="2"/>
  <c r="Q41" i="6"/>
  <c r="Z41" i="6"/>
  <c r="AA41" i="6"/>
  <c r="R41" i="6"/>
  <c r="AB41" i="6"/>
  <c r="S41" i="6"/>
  <c r="H23" i="2"/>
  <c r="G23" i="2"/>
  <c r="D31" i="4"/>
  <c r="D43" i="6" s="1"/>
  <c r="AA43" i="6" s="1"/>
  <c r="D34" i="3"/>
  <c r="D33" i="3"/>
  <c r="D42" i="6"/>
  <c r="AA42" i="6" s="1"/>
  <c r="C36" i="3"/>
  <c r="C46" i="6"/>
  <c r="J31" i="4"/>
  <c r="J34" i="4" s="1"/>
  <c r="J47" i="6" s="1"/>
  <c r="AG47" i="6" s="1"/>
  <c r="J34" i="3"/>
  <c r="J42" i="6"/>
  <c r="AG42" i="6" s="1"/>
  <c r="J33" i="3"/>
  <c r="I31" i="4"/>
  <c r="I34" i="4" s="1"/>
  <c r="I47" i="6" s="1"/>
  <c r="I34" i="3"/>
  <c r="I33" i="3"/>
  <c r="I42" i="6"/>
  <c r="H31" i="4"/>
  <c r="H34" i="4" s="1"/>
  <c r="H47" i="6" s="1"/>
  <c r="AE47" i="6" s="1"/>
  <c r="H34" i="3"/>
  <c r="H42" i="6"/>
  <c r="AE42" i="6" s="1"/>
  <c r="H33" i="3"/>
  <c r="G31" i="4"/>
  <c r="G34" i="4" s="1"/>
  <c r="G47" i="6" s="1"/>
  <c r="AD47" i="6" s="1"/>
  <c r="G34" i="3"/>
  <c r="G33" i="3"/>
  <c r="G42" i="6"/>
  <c r="AD42" i="6" s="1"/>
  <c r="F31" i="4"/>
  <c r="F34" i="4" s="1"/>
  <c r="F47" i="6" s="1"/>
  <c r="AC47" i="6" s="1"/>
  <c r="F34" i="3"/>
  <c r="F33" i="3"/>
  <c r="F42" i="6"/>
  <c r="E31" i="4"/>
  <c r="E34" i="4" s="1"/>
  <c r="E47" i="6" s="1"/>
  <c r="AB47" i="6" s="1"/>
  <c r="E34" i="3"/>
  <c r="E33" i="3"/>
  <c r="E42" i="6"/>
  <c r="AF35" i="6"/>
  <c r="T35" i="6"/>
  <c r="AB35" i="6"/>
  <c r="S35" i="6"/>
  <c r="AA35" i="6"/>
  <c r="R35" i="6"/>
  <c r="AF31" i="6"/>
  <c r="T31" i="6"/>
  <c r="AB31" i="6"/>
  <c r="S31" i="6"/>
  <c r="AA31" i="6"/>
  <c r="R31" i="6"/>
  <c r="AF23" i="6"/>
  <c r="T23" i="6"/>
  <c r="AB23" i="6"/>
  <c r="S23" i="6"/>
  <c r="AA23" i="6"/>
  <c r="R23" i="6"/>
  <c r="AF19" i="6"/>
  <c r="T19" i="6"/>
  <c r="S19" i="6"/>
  <c r="AB19" i="6"/>
  <c r="R19" i="6"/>
  <c r="AA19" i="6"/>
  <c r="AF15" i="6"/>
  <c r="T15" i="6"/>
  <c r="AB15" i="6"/>
  <c r="S15" i="6"/>
  <c r="AA15" i="6"/>
  <c r="R15" i="6"/>
  <c r="AF11" i="6"/>
  <c r="T11" i="6"/>
  <c r="S11" i="6"/>
  <c r="AB11" i="6"/>
  <c r="AA11" i="6"/>
  <c r="R11" i="6"/>
  <c r="J5" i="4"/>
  <c r="J7" i="6"/>
  <c r="AG7" i="6" s="1"/>
  <c r="I5" i="4"/>
  <c r="I7" i="6"/>
  <c r="H5" i="4"/>
  <c r="H7" i="6"/>
  <c r="AE7" i="6" s="1"/>
  <c r="G5" i="4"/>
  <c r="G7" i="6"/>
  <c r="AD7" i="6" s="1"/>
  <c r="F5" i="4"/>
  <c r="F7" i="6"/>
  <c r="AC7" i="6" s="1"/>
  <c r="E5" i="4"/>
  <c r="E7" i="6"/>
  <c r="D5" i="4"/>
  <c r="D7" i="6"/>
  <c r="C31" i="4"/>
  <c r="C43" i="6" s="1"/>
  <c r="C42" i="6"/>
  <c r="C33" i="3"/>
  <c r="Q35" i="6"/>
  <c r="Z35" i="6"/>
  <c r="K35" i="6"/>
  <c r="AH35" i="6" s="1"/>
  <c r="Q31" i="6"/>
  <c r="Z31" i="6"/>
  <c r="K31" i="6"/>
  <c r="AH31" i="6" s="1"/>
  <c r="Z23" i="6"/>
  <c r="Q23" i="6"/>
  <c r="K23" i="6"/>
  <c r="AH23" i="6" s="1"/>
  <c r="Q19" i="6"/>
  <c r="K19" i="6"/>
  <c r="AH19" i="6" s="1"/>
  <c r="Z19" i="6"/>
  <c r="Z15" i="6"/>
  <c r="Q15" i="6"/>
  <c r="K15" i="6"/>
  <c r="AH15" i="6" s="1"/>
  <c r="Q11" i="6"/>
  <c r="K11" i="6"/>
  <c r="AH11" i="6" s="1"/>
  <c r="Z11" i="6"/>
  <c r="Q7" i="6"/>
  <c r="Z7" i="6"/>
  <c r="I24" i="1"/>
  <c r="AA9" i="11" s="1"/>
  <c r="H24" i="1"/>
  <c r="C24" i="1"/>
  <c r="K22" i="1"/>
  <c r="J23" i="1" s="1"/>
  <c r="D23" i="1"/>
  <c r="J24" i="1"/>
  <c r="K45" i="6"/>
  <c r="AH45" i="6" s="1"/>
  <c r="K31" i="3"/>
  <c r="F26" i="4"/>
  <c r="E26" i="4"/>
  <c r="G26" i="4"/>
  <c r="H26" i="4"/>
  <c r="I26" i="4"/>
  <c r="J26" i="4"/>
  <c r="C26" i="4"/>
  <c r="D26" i="4"/>
  <c r="E23" i="4"/>
  <c r="G23" i="4"/>
  <c r="F23" i="4"/>
  <c r="H23" i="4"/>
  <c r="I23" i="4"/>
  <c r="J23" i="4"/>
  <c r="C23" i="4"/>
  <c r="D23" i="4"/>
  <c r="F17" i="4"/>
  <c r="G17" i="4"/>
  <c r="H17" i="4"/>
  <c r="E17" i="4"/>
  <c r="I17" i="4"/>
  <c r="J17" i="4"/>
  <c r="D17" i="4"/>
  <c r="G14" i="4"/>
  <c r="F14" i="4"/>
  <c r="H14" i="4"/>
  <c r="I14" i="4"/>
  <c r="J14" i="4"/>
  <c r="D14" i="4"/>
  <c r="E14" i="4"/>
  <c r="G8" i="4"/>
  <c r="H8" i="4"/>
  <c r="H11" i="4"/>
  <c r="I8" i="4"/>
  <c r="J8" i="4"/>
  <c r="F8" i="4"/>
  <c r="D8" i="4"/>
  <c r="D11" i="4"/>
  <c r="E8" i="4"/>
  <c r="K4" i="4"/>
  <c r="K7" i="4"/>
  <c r="K8" i="4" s="1"/>
  <c r="K10" i="4"/>
  <c r="K13" i="4"/>
  <c r="K16" i="4"/>
  <c r="J11" i="4"/>
  <c r="E11" i="4"/>
  <c r="C5" i="4"/>
  <c r="I11" i="4"/>
  <c r="G11" i="4"/>
  <c r="F11" i="4"/>
  <c r="C14" i="4"/>
  <c r="C17" i="4"/>
  <c r="C8" i="4"/>
  <c r="K22" i="4"/>
  <c r="C11" i="4"/>
  <c r="K29" i="4"/>
  <c r="K25" i="4"/>
  <c r="K20" i="4"/>
  <c r="K23" i="1"/>
  <c r="K24" i="1" s="1"/>
  <c r="D32" i="4" l="1"/>
  <c r="G18" i="4"/>
  <c r="C75" i="4"/>
  <c r="D75" i="4"/>
  <c r="J75" i="4"/>
  <c r="F75" i="4"/>
  <c r="I75" i="4"/>
  <c r="H75" i="4"/>
  <c r="G75" i="4"/>
  <c r="E75" i="4"/>
  <c r="K26" i="4"/>
  <c r="J84" i="4"/>
  <c r="D84" i="4"/>
  <c r="E84" i="4"/>
  <c r="C84" i="4"/>
  <c r="G84" i="4"/>
  <c r="I84" i="4"/>
  <c r="F84" i="4"/>
  <c r="H84" i="4"/>
  <c r="G63" i="4"/>
  <c r="I63" i="4"/>
  <c r="J63" i="4"/>
  <c r="D63" i="4"/>
  <c r="H63" i="4"/>
  <c r="C63" i="4"/>
  <c r="K63" i="4" s="1"/>
  <c r="E63" i="4"/>
  <c r="F63" i="4"/>
  <c r="K14" i="4"/>
  <c r="I72" i="4"/>
  <c r="G72" i="4"/>
  <c r="J72" i="4"/>
  <c r="D72" i="4"/>
  <c r="C72" i="4"/>
  <c r="K72" i="4" s="1"/>
  <c r="F72" i="4"/>
  <c r="E72" i="4"/>
  <c r="H72" i="4"/>
  <c r="C69" i="4"/>
  <c r="E69" i="4"/>
  <c r="H69" i="4"/>
  <c r="J69" i="4"/>
  <c r="F69" i="4"/>
  <c r="G69" i="4"/>
  <c r="D69" i="4"/>
  <c r="I69" i="4"/>
  <c r="F81" i="4"/>
  <c r="I81" i="4"/>
  <c r="G81" i="4"/>
  <c r="E81" i="4"/>
  <c r="H81" i="4"/>
  <c r="D81" i="4"/>
  <c r="J81" i="4"/>
  <c r="C81" i="4"/>
  <c r="K41" i="6"/>
  <c r="AH41" i="6" s="1"/>
  <c r="K34" i="3"/>
  <c r="H100" i="3"/>
  <c r="G100" i="3"/>
  <c r="E100" i="3"/>
  <c r="J100" i="3"/>
  <c r="F100" i="3"/>
  <c r="I100" i="3"/>
  <c r="D100" i="3"/>
  <c r="C100" i="3"/>
  <c r="K100" i="3"/>
  <c r="AM7" i="11"/>
  <c r="AL7" i="11" s="1"/>
  <c r="F13" i="11"/>
  <c r="F12" i="11"/>
  <c r="AC9" i="11" s="1"/>
  <c r="AB9" i="11" s="1"/>
  <c r="AK8" i="11"/>
  <c r="L66" i="1"/>
  <c r="L70" i="1"/>
  <c r="L76" i="1"/>
  <c r="L68" i="1"/>
  <c r="I83" i="1"/>
  <c r="L62" i="1"/>
  <c r="L64" i="1"/>
  <c r="H83" i="1"/>
  <c r="L72" i="1"/>
  <c r="L78" i="1"/>
  <c r="L74" i="1"/>
  <c r="G83" i="1"/>
  <c r="C83" i="1"/>
  <c r="E83" i="1"/>
  <c r="D83" i="1"/>
  <c r="L80" i="1"/>
  <c r="J83" i="1"/>
  <c r="F83" i="1"/>
  <c r="K26" i="2"/>
  <c r="E23" i="1"/>
  <c r="I23" i="1"/>
  <c r="H81" i="1"/>
  <c r="D81" i="1"/>
  <c r="J81" i="1"/>
  <c r="F81" i="1"/>
  <c r="I81" i="1"/>
  <c r="G81" i="1"/>
  <c r="C81" i="1"/>
  <c r="E81" i="1"/>
  <c r="K81" i="1"/>
  <c r="K82" i="1" s="1"/>
  <c r="AK6" i="11"/>
  <c r="AA6" i="11"/>
  <c r="D15" i="11"/>
  <c r="C13" i="11" s="1"/>
  <c r="AA8" i="11"/>
  <c r="F11" i="11"/>
  <c r="D34" i="4"/>
  <c r="D47" i="6" s="1"/>
  <c r="AA47" i="6" s="1"/>
  <c r="AB7" i="11"/>
  <c r="T41" i="6"/>
  <c r="U41" i="6" s="1"/>
  <c r="AF41" i="6"/>
  <c r="D36" i="3"/>
  <c r="D46" i="6"/>
  <c r="C35" i="10"/>
  <c r="Q46" i="6"/>
  <c r="Z46" i="6"/>
  <c r="G6" i="11" s="1"/>
  <c r="J32" i="4"/>
  <c r="J43" i="6"/>
  <c r="AG43" i="6" s="1"/>
  <c r="J36" i="3"/>
  <c r="J46" i="6"/>
  <c r="AG46" i="6" s="1"/>
  <c r="G13" i="11" s="1"/>
  <c r="I32" i="4"/>
  <c r="I43" i="6"/>
  <c r="AF42" i="6"/>
  <c r="T42" i="6"/>
  <c r="I36" i="3"/>
  <c r="I46" i="6"/>
  <c r="H32" i="4"/>
  <c r="H43" i="6"/>
  <c r="AE43" i="6" s="1"/>
  <c r="H36" i="3"/>
  <c r="H46" i="6"/>
  <c r="AE46" i="6" s="1"/>
  <c r="G11" i="11" s="1"/>
  <c r="G32" i="4"/>
  <c r="G43" i="6"/>
  <c r="AD43" i="6" s="1"/>
  <c r="G36" i="3"/>
  <c r="G46" i="6"/>
  <c r="AD46" i="6" s="1"/>
  <c r="G10" i="11" s="1"/>
  <c r="F32" i="4"/>
  <c r="F43" i="6"/>
  <c r="F36" i="3"/>
  <c r="F46" i="6"/>
  <c r="R42" i="6"/>
  <c r="AC42" i="6"/>
  <c r="G32" i="3"/>
  <c r="AB42" i="6"/>
  <c r="S42" i="6"/>
  <c r="M34" i="3"/>
  <c r="E36" i="3"/>
  <c r="E46" i="6"/>
  <c r="E32" i="4"/>
  <c r="E43" i="6"/>
  <c r="U35" i="6"/>
  <c r="U31" i="6"/>
  <c r="U23" i="6"/>
  <c r="U19" i="6"/>
  <c r="U15" i="6"/>
  <c r="U11" i="6"/>
  <c r="AF7" i="6"/>
  <c r="T7" i="6"/>
  <c r="AB7" i="6"/>
  <c r="S7" i="6"/>
  <c r="AA7" i="6"/>
  <c r="R7" i="6"/>
  <c r="K7" i="6"/>
  <c r="AH7" i="6" s="1"/>
  <c r="C34" i="4"/>
  <c r="C47" i="6" s="1"/>
  <c r="Z43" i="6"/>
  <c r="Q43" i="6"/>
  <c r="K32" i="3"/>
  <c r="C32" i="3"/>
  <c r="H32" i="3"/>
  <c r="E32" i="3"/>
  <c r="J32" i="3"/>
  <c r="D32" i="3"/>
  <c r="I32" i="3"/>
  <c r="F32" i="3"/>
  <c r="K31" i="4"/>
  <c r="C32" i="4"/>
  <c r="Z42" i="6"/>
  <c r="K42" i="6"/>
  <c r="AH42" i="6" s="1"/>
  <c r="Q42" i="6"/>
  <c r="M24" i="1"/>
  <c r="C23" i="1"/>
  <c r="G23" i="1"/>
  <c r="H23" i="1"/>
  <c r="F23" i="1"/>
  <c r="T47" i="6"/>
  <c r="AF47" i="6"/>
  <c r="S47" i="6"/>
  <c r="K33" i="3"/>
  <c r="D27" i="4"/>
  <c r="C9" i="4"/>
  <c r="H27" i="4"/>
  <c r="J35" i="4"/>
  <c r="C27" i="4"/>
  <c r="J27" i="4"/>
  <c r="I27" i="4"/>
  <c r="H35" i="4"/>
  <c r="F35" i="4"/>
  <c r="G27" i="4"/>
  <c r="E35" i="4"/>
  <c r="F27" i="4"/>
  <c r="I35" i="4"/>
  <c r="G35" i="4"/>
  <c r="E27" i="4"/>
  <c r="L24" i="1"/>
  <c r="L12" i="1"/>
  <c r="L10" i="1"/>
  <c r="G25" i="1"/>
  <c r="H25" i="1"/>
  <c r="K25" i="1"/>
  <c r="L20" i="1"/>
  <c r="J25" i="1"/>
  <c r="L6" i="1"/>
  <c r="C25" i="1"/>
  <c r="L18" i="1"/>
  <c r="F25" i="1"/>
  <c r="L4" i="1"/>
  <c r="L14" i="1"/>
  <c r="E25" i="1"/>
  <c r="L16" i="1"/>
  <c r="L22" i="1"/>
  <c r="D25" i="1"/>
  <c r="I25" i="1"/>
  <c r="L8" i="1"/>
  <c r="K23" i="4"/>
  <c r="J24" i="4"/>
  <c r="I24" i="4"/>
  <c r="G24" i="4"/>
  <c r="C24" i="4"/>
  <c r="E24" i="4"/>
  <c r="F24" i="4"/>
  <c r="D24" i="4"/>
  <c r="H24" i="4"/>
  <c r="J15" i="4"/>
  <c r="I18" i="4"/>
  <c r="H15" i="4"/>
  <c r="K17" i="4"/>
  <c r="D18" i="4"/>
  <c r="H18" i="4"/>
  <c r="F18" i="4"/>
  <c r="C18" i="4"/>
  <c r="J18" i="4"/>
  <c r="D15" i="4"/>
  <c r="E18" i="4"/>
  <c r="E15" i="4"/>
  <c r="I15" i="4"/>
  <c r="G15" i="4"/>
  <c r="C15" i="4"/>
  <c r="F15" i="4"/>
  <c r="J12" i="4"/>
  <c r="I12" i="4"/>
  <c r="D12" i="4"/>
  <c r="F9" i="4"/>
  <c r="J9" i="4"/>
  <c r="D9" i="4"/>
  <c r="I9" i="4"/>
  <c r="H9" i="4"/>
  <c r="E9" i="4"/>
  <c r="G12" i="4"/>
  <c r="G9" i="4"/>
  <c r="C12" i="4"/>
  <c r="F12" i="4"/>
  <c r="H12" i="4"/>
  <c r="E12" i="4"/>
  <c r="K5" i="4"/>
  <c r="E6" i="4"/>
  <c r="F6" i="4"/>
  <c r="J6" i="4"/>
  <c r="G6" i="4"/>
  <c r="K11" i="4"/>
  <c r="I6" i="4"/>
  <c r="H6" i="4"/>
  <c r="C6" i="4"/>
  <c r="D6" i="4"/>
  <c r="D221" i="12" l="1"/>
  <c r="A232" i="12" s="1"/>
  <c r="D251" i="12"/>
  <c r="A262" i="12" s="1"/>
  <c r="D162" i="12"/>
  <c r="A173" i="12" s="1"/>
  <c r="D191" i="12"/>
  <c r="A202" i="12" s="1"/>
  <c r="E189" i="14"/>
  <c r="A200" i="14" s="1"/>
  <c r="E12" i="14"/>
  <c r="F23" i="14" s="1"/>
  <c r="E160" i="14"/>
  <c r="A171" i="14" s="1"/>
  <c r="E69" i="14"/>
  <c r="A80" i="14" s="1"/>
  <c r="E129" i="14"/>
  <c r="A140" i="14" s="1"/>
  <c r="E39" i="14"/>
  <c r="E99" i="14"/>
  <c r="A110" i="14" s="1"/>
  <c r="K69" i="4"/>
  <c r="K47" i="6"/>
  <c r="C48" i="6" s="1"/>
  <c r="AC8" i="11"/>
  <c r="AB8" i="11" s="1"/>
  <c r="K81" i="4"/>
  <c r="C33" i="4"/>
  <c r="I90" i="4"/>
  <c r="E90" i="4"/>
  <c r="J90" i="4"/>
  <c r="H90" i="4"/>
  <c r="F90" i="4"/>
  <c r="C90" i="4"/>
  <c r="D90" i="4"/>
  <c r="G90" i="4"/>
  <c r="K75" i="4"/>
  <c r="K84" i="4"/>
  <c r="L93" i="3"/>
  <c r="H103" i="3"/>
  <c r="H58" i="3" s="1"/>
  <c r="L96" i="3"/>
  <c r="L87" i="3"/>
  <c r="L78" i="3"/>
  <c r="L90" i="3"/>
  <c r="L75" i="3"/>
  <c r="J103" i="3"/>
  <c r="J58" i="3" s="1"/>
  <c r="L81" i="3"/>
  <c r="L84" i="3"/>
  <c r="G103" i="3"/>
  <c r="G58" i="3" s="1"/>
  <c r="E103" i="3"/>
  <c r="E58" i="3" s="1"/>
  <c r="L72" i="3"/>
  <c r="F103" i="3"/>
  <c r="F58" i="3" s="1"/>
  <c r="K103" i="3"/>
  <c r="L102" i="3"/>
  <c r="I103" i="3"/>
  <c r="I58" i="3" s="1"/>
  <c r="D103" i="3"/>
  <c r="D58" i="3" s="1"/>
  <c r="L99" i="3"/>
  <c r="C103" i="3"/>
  <c r="C58" i="3" s="1"/>
  <c r="AJ8" i="11"/>
  <c r="C11" i="11"/>
  <c r="C12" i="11"/>
  <c r="Z7" i="11"/>
  <c r="Z8" i="11"/>
  <c r="AJ7" i="11"/>
  <c r="C6" i="11"/>
  <c r="K83" i="1"/>
  <c r="K83" i="2" s="1"/>
  <c r="L82" i="1"/>
  <c r="AK15" i="11"/>
  <c r="AJ6" i="11"/>
  <c r="D132" i="12"/>
  <c r="D102" i="12"/>
  <c r="A113" i="12" s="1"/>
  <c r="I113" i="12" s="1"/>
  <c r="D12" i="12"/>
  <c r="D72" i="12"/>
  <c r="D42" i="12"/>
  <c r="C10" i="11"/>
  <c r="C9" i="11"/>
  <c r="C7" i="11"/>
  <c r="C8" i="11"/>
  <c r="AM8" i="11"/>
  <c r="AL8" i="11" s="1"/>
  <c r="AM6" i="11"/>
  <c r="AC6" i="11"/>
  <c r="F15" i="11"/>
  <c r="Z6" i="11"/>
  <c r="AA15" i="11"/>
  <c r="Z9" i="11"/>
  <c r="R47" i="6"/>
  <c r="D35" i="4"/>
  <c r="L130" i="12"/>
  <c r="L10" i="12"/>
  <c r="M21" i="12" s="1"/>
  <c r="L40" i="12"/>
  <c r="L100" i="12"/>
  <c r="L70" i="12"/>
  <c r="H11" i="11"/>
  <c r="J11" i="11" s="1"/>
  <c r="I11" i="11"/>
  <c r="L132" i="12"/>
  <c r="L42" i="12"/>
  <c r="L102" i="12"/>
  <c r="L72" i="12"/>
  <c r="L12" i="12"/>
  <c r="M23" i="12" s="1"/>
  <c r="H13" i="11"/>
  <c r="I13" i="11"/>
  <c r="L129" i="12"/>
  <c r="L99" i="12"/>
  <c r="L69" i="12"/>
  <c r="L9" i="12"/>
  <c r="M20" i="12" s="1"/>
  <c r="L39" i="12"/>
  <c r="H10" i="11"/>
  <c r="J10" i="11" s="1"/>
  <c r="I10" i="11"/>
  <c r="L125" i="12"/>
  <c r="L65" i="12"/>
  <c r="L35" i="12"/>
  <c r="L5" i="12"/>
  <c r="M16" i="12" s="1"/>
  <c r="L95" i="12"/>
  <c r="H6" i="11"/>
  <c r="I6" i="11"/>
  <c r="U7" i="6"/>
  <c r="C24" i="10"/>
  <c r="AA46" i="6"/>
  <c r="G7" i="11" s="1"/>
  <c r="C36" i="10"/>
  <c r="D35" i="10"/>
  <c r="D36" i="10" s="1"/>
  <c r="U42" i="6"/>
  <c r="AF43" i="6"/>
  <c r="T43" i="6"/>
  <c r="K43" i="6"/>
  <c r="AH43" i="6" s="1"/>
  <c r="T46" i="6"/>
  <c r="AF46" i="6"/>
  <c r="G12" i="11" s="1"/>
  <c r="R46" i="6"/>
  <c r="AC46" i="6"/>
  <c r="G9" i="11" s="1"/>
  <c r="R43" i="6"/>
  <c r="AC43" i="6"/>
  <c r="J33" i="4"/>
  <c r="S43" i="6"/>
  <c r="AB43" i="6"/>
  <c r="AB46" i="6"/>
  <c r="G8" i="11" s="1"/>
  <c r="S46" i="6"/>
  <c r="K46" i="6"/>
  <c r="AH46" i="6" s="1"/>
  <c r="C17" i="10" s="1"/>
  <c r="C18" i="10" s="1"/>
  <c r="D33" i="4"/>
  <c r="I33" i="4"/>
  <c r="G33" i="4"/>
  <c r="Z47" i="6"/>
  <c r="Q47" i="6"/>
  <c r="H33" i="4"/>
  <c r="K34" i="4"/>
  <c r="L55" i="4" s="1"/>
  <c r="K32" i="4"/>
  <c r="C35" i="4"/>
  <c r="F33" i="4"/>
  <c r="E33" i="4"/>
  <c r="AH47" i="6"/>
  <c r="I48" i="6"/>
  <c r="J48" i="6"/>
  <c r="F48" i="6"/>
  <c r="D48" i="6"/>
  <c r="H48" i="6"/>
  <c r="K36" i="3"/>
  <c r="C12" i="10"/>
  <c r="L34" i="3"/>
  <c r="C35" i="3"/>
  <c r="L7" i="3"/>
  <c r="L28" i="3"/>
  <c r="D35" i="3"/>
  <c r="I35" i="3"/>
  <c r="L16" i="3"/>
  <c r="G35" i="3"/>
  <c r="L25" i="3"/>
  <c r="L22" i="3"/>
  <c r="K35" i="3"/>
  <c r="H35" i="3"/>
  <c r="J35" i="3"/>
  <c r="F35" i="3"/>
  <c r="L13" i="3"/>
  <c r="L19" i="3"/>
  <c r="L4" i="3"/>
  <c r="E35" i="3"/>
  <c r="L10" i="3"/>
  <c r="L31" i="3"/>
  <c r="K30" i="4"/>
  <c r="K24" i="4"/>
  <c r="K27" i="4"/>
  <c r="K15" i="4"/>
  <c r="K21" i="4"/>
  <c r="K6" i="4"/>
  <c r="K18" i="4"/>
  <c r="K12" i="4"/>
  <c r="K9" i="4"/>
  <c r="D216" i="12" l="1"/>
  <c r="D246" i="12"/>
  <c r="A257" i="12" s="1"/>
  <c r="D214" i="12"/>
  <c r="D244" i="12"/>
  <c r="D217" i="12"/>
  <c r="D247" i="12"/>
  <c r="A258" i="12" s="1"/>
  <c r="D218" i="12"/>
  <c r="D248" i="12"/>
  <c r="A259" i="12" s="1"/>
  <c r="D215" i="12"/>
  <c r="A226" i="12" s="1"/>
  <c r="D245" i="12"/>
  <c r="A256" i="12" s="1"/>
  <c r="D220" i="12"/>
  <c r="A231" i="12" s="1"/>
  <c r="D250" i="12"/>
  <c r="A261" i="12" s="1"/>
  <c r="I262" i="12"/>
  <c r="M262" i="12"/>
  <c r="D219" i="12"/>
  <c r="D249" i="12"/>
  <c r="A260" i="12" s="1"/>
  <c r="A230" i="12"/>
  <c r="A227" i="12"/>
  <c r="A225" i="12"/>
  <c r="A228" i="12"/>
  <c r="A229" i="12"/>
  <c r="M232" i="12"/>
  <c r="I232" i="12"/>
  <c r="D156" i="12"/>
  <c r="A167" i="12" s="1"/>
  <c r="D185" i="12"/>
  <c r="A196" i="12" s="1"/>
  <c r="D161" i="12"/>
  <c r="D190" i="12"/>
  <c r="A201" i="12" s="1"/>
  <c r="D159" i="12"/>
  <c r="D188" i="12"/>
  <c r="A199" i="12" s="1"/>
  <c r="D155" i="12"/>
  <c r="A166" i="12" s="1"/>
  <c r="D184" i="12"/>
  <c r="I202" i="12"/>
  <c r="M202" i="12"/>
  <c r="D157" i="12"/>
  <c r="A168" i="12" s="1"/>
  <c r="D186" i="12"/>
  <c r="A197" i="12" s="1"/>
  <c r="D158" i="12"/>
  <c r="A169" i="12" s="1"/>
  <c r="D187" i="12"/>
  <c r="A198" i="12" s="1"/>
  <c r="D160" i="12"/>
  <c r="A171" i="12" s="1"/>
  <c r="D189" i="12"/>
  <c r="A200" i="12" s="1"/>
  <c r="A170" i="12"/>
  <c r="A172" i="12"/>
  <c r="M173" i="12"/>
  <c r="I173" i="12"/>
  <c r="A143" i="12"/>
  <c r="I143" i="12" s="1"/>
  <c r="A83" i="12"/>
  <c r="I83" i="12" s="1"/>
  <c r="D95" i="12"/>
  <c r="A106" i="12" s="1"/>
  <c r="M106" i="12" s="1"/>
  <c r="E184" i="14"/>
  <c r="A195" i="14" s="1"/>
  <c r="E155" i="14"/>
  <c r="A166" i="14" s="1"/>
  <c r="E64" i="14"/>
  <c r="A75" i="14" s="1"/>
  <c r="E124" i="14"/>
  <c r="A135" i="14" s="1"/>
  <c r="E34" i="14"/>
  <c r="E94" i="14"/>
  <c r="A105" i="14" s="1"/>
  <c r="E7" i="14"/>
  <c r="F18" i="14" s="1"/>
  <c r="N110" i="14"/>
  <c r="J110" i="14"/>
  <c r="A50" i="14"/>
  <c r="F50" i="14"/>
  <c r="E185" i="14"/>
  <c r="A196" i="14" s="1"/>
  <c r="E156" i="14"/>
  <c r="A167" i="14" s="1"/>
  <c r="E65" i="14"/>
  <c r="A76" i="14" s="1"/>
  <c r="E125" i="14"/>
  <c r="A136" i="14" s="1"/>
  <c r="E35" i="14"/>
  <c r="E95" i="14"/>
  <c r="A106" i="14" s="1"/>
  <c r="E8" i="14"/>
  <c r="F19" i="14" s="1"/>
  <c r="D10" i="12"/>
  <c r="E97" i="14"/>
  <c r="A108" i="14" s="1"/>
  <c r="E37" i="14"/>
  <c r="E10" i="14"/>
  <c r="F21" i="14" s="1"/>
  <c r="E187" i="14"/>
  <c r="A198" i="14" s="1"/>
  <c r="E158" i="14"/>
  <c r="A169" i="14" s="1"/>
  <c r="E67" i="14"/>
  <c r="A78" i="14" s="1"/>
  <c r="E127" i="14"/>
  <c r="A138" i="14" s="1"/>
  <c r="J80" i="14"/>
  <c r="N80" i="14"/>
  <c r="E154" i="14"/>
  <c r="A165" i="14" s="1"/>
  <c r="E63" i="14"/>
  <c r="A74" i="14" s="1"/>
  <c r="E123" i="14"/>
  <c r="A134" i="14" s="1"/>
  <c r="E33" i="14"/>
  <c r="E93" i="14"/>
  <c r="A104" i="14" s="1"/>
  <c r="E6" i="14"/>
  <c r="F17" i="14" s="1"/>
  <c r="E183" i="14"/>
  <c r="A194" i="14" s="1"/>
  <c r="W182" i="14"/>
  <c r="W186" i="14" s="1"/>
  <c r="W153" i="14"/>
  <c r="W157" i="14" s="1"/>
  <c r="W62" i="14"/>
  <c r="W66" i="14" s="1"/>
  <c r="W122" i="14"/>
  <c r="W126" i="14" s="1"/>
  <c r="N171" i="14"/>
  <c r="J171" i="14"/>
  <c r="N140" i="14"/>
  <c r="J140" i="14"/>
  <c r="K23" i="14"/>
  <c r="O23" i="14"/>
  <c r="D11" i="12"/>
  <c r="E159" i="14"/>
  <c r="A170" i="14" s="1"/>
  <c r="E68" i="14"/>
  <c r="A79" i="14" s="1"/>
  <c r="E11" i="14"/>
  <c r="F22" i="14" s="1"/>
  <c r="E128" i="14"/>
  <c r="A139" i="14" s="1"/>
  <c r="E38" i="14"/>
  <c r="E98" i="14"/>
  <c r="A109" i="14" s="1"/>
  <c r="E188" i="14"/>
  <c r="A199" i="14" s="1"/>
  <c r="E186" i="14"/>
  <c r="A197" i="14" s="1"/>
  <c r="E157" i="14"/>
  <c r="A168" i="14" s="1"/>
  <c r="E66" i="14"/>
  <c r="A77" i="14" s="1"/>
  <c r="E126" i="14"/>
  <c r="A137" i="14" s="1"/>
  <c r="E36" i="14"/>
  <c r="E9" i="14"/>
  <c r="F20" i="14" s="1"/>
  <c r="E96" i="14"/>
  <c r="A107" i="14" s="1"/>
  <c r="D5" i="12"/>
  <c r="E32" i="14"/>
  <c r="E182" i="14"/>
  <c r="E92" i="14"/>
  <c r="E153" i="14"/>
  <c r="E62" i="14"/>
  <c r="E122" i="14"/>
  <c r="E5" i="14"/>
  <c r="J200" i="14"/>
  <c r="N200" i="14"/>
  <c r="D101" i="12"/>
  <c r="A112" i="12" s="1"/>
  <c r="I112" i="12" s="1"/>
  <c r="D130" i="12"/>
  <c r="D40" i="12"/>
  <c r="D131" i="12"/>
  <c r="D71" i="12"/>
  <c r="D41" i="12"/>
  <c r="D100" i="12"/>
  <c r="A111" i="12" s="1"/>
  <c r="I111" i="12" s="1"/>
  <c r="K90" i="4"/>
  <c r="G48" i="6"/>
  <c r="F57" i="3"/>
  <c r="F64" i="4"/>
  <c r="I57" i="3"/>
  <c r="I64" i="4"/>
  <c r="J64" i="4"/>
  <c r="J57" i="3"/>
  <c r="E48" i="6"/>
  <c r="L105" i="3"/>
  <c r="C64" i="4"/>
  <c r="K58" i="3"/>
  <c r="C57" i="3"/>
  <c r="E57" i="3"/>
  <c r="E64" i="4"/>
  <c r="G64" i="4"/>
  <c r="G57" i="3"/>
  <c r="K48" i="6"/>
  <c r="J36" i="4"/>
  <c r="D93" i="4"/>
  <c r="E93" i="4"/>
  <c r="H93" i="4"/>
  <c r="G93" i="4"/>
  <c r="F93" i="4"/>
  <c r="L67" i="4"/>
  <c r="J93" i="4"/>
  <c r="L73" i="4"/>
  <c r="L70" i="4"/>
  <c r="L61" i="4"/>
  <c r="I93" i="4"/>
  <c r="C93" i="4"/>
  <c r="K93" i="4" s="1"/>
  <c r="L91" i="4"/>
  <c r="L79" i="4"/>
  <c r="L82" i="4"/>
  <c r="L85" i="4"/>
  <c r="L76" i="4"/>
  <c r="L88" i="4"/>
  <c r="D64" i="4"/>
  <c r="D57" i="3"/>
  <c r="H64" i="4"/>
  <c r="H57" i="3"/>
  <c r="D125" i="12"/>
  <c r="D70" i="12"/>
  <c r="AJ15" i="11"/>
  <c r="D35" i="12"/>
  <c r="M113" i="12"/>
  <c r="D65" i="12"/>
  <c r="C15" i="11"/>
  <c r="D127" i="12"/>
  <c r="D97" i="12"/>
  <c r="A108" i="12" s="1"/>
  <c r="I108" i="12" s="1"/>
  <c r="D37" i="12"/>
  <c r="D67" i="12"/>
  <c r="D7" i="12"/>
  <c r="A53" i="12"/>
  <c r="I53" i="12" s="1"/>
  <c r="AM15" i="11"/>
  <c r="AL15" i="11" s="1"/>
  <c r="AL6" i="11"/>
  <c r="D126" i="12"/>
  <c r="D6" i="12"/>
  <c r="D66" i="12"/>
  <c r="D36" i="12"/>
  <c r="D96" i="12"/>
  <c r="A107" i="12" s="1"/>
  <c r="I107" i="12" s="1"/>
  <c r="E15" i="11"/>
  <c r="D128" i="12"/>
  <c r="D68" i="12"/>
  <c r="D98" i="12"/>
  <c r="A109" i="12" s="1"/>
  <c r="I109" i="12" s="1"/>
  <c r="D8" i="12"/>
  <c r="D38" i="12"/>
  <c r="AC15" i="11"/>
  <c r="AB15" i="11" s="1"/>
  <c r="AB6" i="11"/>
  <c r="Z15" i="11"/>
  <c r="D129" i="12"/>
  <c r="D99" i="12"/>
  <c r="A110" i="12" s="1"/>
  <c r="I110" i="12" s="1"/>
  <c r="D69" i="12"/>
  <c r="D9" i="12"/>
  <c r="D39" i="12"/>
  <c r="U47" i="6"/>
  <c r="R48" i="6" s="1"/>
  <c r="L127" i="12"/>
  <c r="L97" i="12"/>
  <c r="L67" i="12"/>
  <c r="L37" i="12"/>
  <c r="L7" i="12"/>
  <c r="M18" i="12" s="1"/>
  <c r="H8" i="11"/>
  <c r="I8" i="11"/>
  <c r="L128" i="12"/>
  <c r="L8" i="12"/>
  <c r="M19" i="12" s="1"/>
  <c r="L38" i="12"/>
  <c r="L98" i="12"/>
  <c r="L68" i="12"/>
  <c r="H9" i="11"/>
  <c r="J9" i="11" s="1"/>
  <c r="I9" i="11"/>
  <c r="L131" i="12"/>
  <c r="L11" i="12"/>
  <c r="M22" i="12" s="1"/>
  <c r="L41" i="12"/>
  <c r="L71" i="12"/>
  <c r="L101" i="12"/>
  <c r="H12" i="11"/>
  <c r="J12" i="11" s="1"/>
  <c r="I12" i="11"/>
  <c r="L126" i="12"/>
  <c r="L96" i="12"/>
  <c r="L6" i="12"/>
  <c r="M17" i="12" s="1"/>
  <c r="L36" i="12"/>
  <c r="L66" i="12"/>
  <c r="H7" i="11"/>
  <c r="I7" i="11"/>
  <c r="J13" i="11"/>
  <c r="AE6" i="11"/>
  <c r="AO6" i="11"/>
  <c r="J6" i="11"/>
  <c r="C26" i="10"/>
  <c r="D24" i="10"/>
  <c r="D26" i="10" s="1"/>
  <c r="U46" i="6"/>
  <c r="U43" i="6"/>
  <c r="K33" i="4"/>
  <c r="I36" i="4"/>
  <c r="L7" i="4"/>
  <c r="C36" i="4"/>
  <c r="E36" i="4"/>
  <c r="D36" i="4"/>
  <c r="L4" i="4"/>
  <c r="L16" i="4"/>
  <c r="L19" i="4"/>
  <c r="L31" i="4"/>
  <c r="L25" i="4"/>
  <c r="L28" i="4"/>
  <c r="G36" i="4"/>
  <c r="L10" i="4"/>
  <c r="H36" i="4"/>
  <c r="L13" i="4"/>
  <c r="F36" i="4"/>
  <c r="K35" i="4"/>
  <c r="L34" i="4"/>
  <c r="L22" i="4"/>
  <c r="D12" i="10"/>
  <c r="E12" i="10" s="1"/>
  <c r="C25" i="10"/>
  <c r="C13" i="10"/>
  <c r="L37" i="3"/>
  <c r="Z33" i="8"/>
  <c r="Z34" i="8"/>
  <c r="Z35" i="8"/>
  <c r="Z36" i="8"/>
  <c r="Z37" i="8"/>
  <c r="Z38" i="8"/>
  <c r="Z39" i="8"/>
  <c r="Z31" i="8"/>
  <c r="K40" i="8"/>
  <c r="M261" i="12" l="1"/>
  <c r="I261" i="12"/>
  <c r="D223" i="12"/>
  <c r="I259" i="12"/>
  <c r="M259" i="12"/>
  <c r="M258" i="12"/>
  <c r="I258" i="12"/>
  <c r="M260" i="12"/>
  <c r="I260" i="12"/>
  <c r="A255" i="12"/>
  <c r="D253" i="12"/>
  <c r="M256" i="12"/>
  <c r="I256" i="12"/>
  <c r="I257" i="12"/>
  <c r="M257" i="12"/>
  <c r="I228" i="12"/>
  <c r="M228" i="12"/>
  <c r="M226" i="12"/>
  <c r="I226" i="12"/>
  <c r="I227" i="12"/>
  <c r="M227" i="12"/>
  <c r="I230" i="12"/>
  <c r="M230" i="12"/>
  <c r="M225" i="12"/>
  <c r="I225" i="12"/>
  <c r="A234" i="12"/>
  <c r="Q234" i="12" s="1"/>
  <c r="M231" i="12"/>
  <c r="I231" i="12"/>
  <c r="M229" i="12"/>
  <c r="I229" i="12"/>
  <c r="D164" i="12"/>
  <c r="M198" i="12"/>
  <c r="I198" i="12"/>
  <c r="I199" i="12"/>
  <c r="M199" i="12"/>
  <c r="M197" i="12"/>
  <c r="I197" i="12"/>
  <c r="M201" i="12"/>
  <c r="I201" i="12"/>
  <c r="D193" i="12"/>
  <c r="A195" i="12"/>
  <c r="M196" i="12"/>
  <c r="I196" i="12"/>
  <c r="I200" i="12"/>
  <c r="M200" i="12"/>
  <c r="M172" i="12"/>
  <c r="I172" i="12"/>
  <c r="I167" i="12"/>
  <c r="M167" i="12"/>
  <c r="I171" i="12"/>
  <c r="M171" i="12"/>
  <c r="I170" i="12"/>
  <c r="M170" i="12"/>
  <c r="I166" i="12"/>
  <c r="M166" i="12"/>
  <c r="A175" i="12"/>
  <c r="I168" i="12"/>
  <c r="M168" i="12"/>
  <c r="I169" i="12"/>
  <c r="M169" i="12"/>
  <c r="M143" i="12"/>
  <c r="A139" i="12"/>
  <c r="I139" i="12" s="1"/>
  <c r="A140" i="12"/>
  <c r="I140" i="12" s="1"/>
  <c r="A137" i="12"/>
  <c r="I137" i="12" s="1"/>
  <c r="A141" i="12"/>
  <c r="I141" i="12" s="1"/>
  <c r="A142" i="12"/>
  <c r="I142" i="12" s="1"/>
  <c r="A138" i="12"/>
  <c r="I138" i="12" s="1"/>
  <c r="A136" i="12"/>
  <c r="M136" i="12" s="1"/>
  <c r="M83" i="12"/>
  <c r="A77" i="12"/>
  <c r="M77" i="12" s="1"/>
  <c r="A76" i="12"/>
  <c r="I76" i="12" s="1"/>
  <c r="A78" i="12"/>
  <c r="I78" i="12" s="1"/>
  <c r="A81" i="12"/>
  <c r="I81" i="12" s="1"/>
  <c r="A82" i="12"/>
  <c r="I82" i="12" s="1"/>
  <c r="A80" i="12"/>
  <c r="I80" i="12" s="1"/>
  <c r="A79" i="12"/>
  <c r="I79" i="12" s="1"/>
  <c r="A46" i="12"/>
  <c r="I46" i="12" s="1"/>
  <c r="A52" i="12"/>
  <c r="I52" i="12" s="1"/>
  <c r="A51" i="12"/>
  <c r="I51" i="12" s="1"/>
  <c r="X14" i="12"/>
  <c r="M112" i="12"/>
  <c r="E101" i="14"/>
  <c r="A103" i="14"/>
  <c r="J77" i="14"/>
  <c r="N77" i="14"/>
  <c r="N79" i="14"/>
  <c r="J79" i="14"/>
  <c r="F44" i="14"/>
  <c r="A44" i="14"/>
  <c r="N169" i="14"/>
  <c r="J169" i="14"/>
  <c r="A46" i="14"/>
  <c r="F46" i="14"/>
  <c r="A193" i="14"/>
  <c r="E191" i="14"/>
  <c r="J168" i="14"/>
  <c r="N168" i="14"/>
  <c r="N170" i="14"/>
  <c r="J170" i="14"/>
  <c r="J134" i="14"/>
  <c r="N134" i="14"/>
  <c r="J198" i="14"/>
  <c r="N198" i="14"/>
  <c r="N136" i="14"/>
  <c r="J136" i="14"/>
  <c r="K18" i="14"/>
  <c r="O18" i="14"/>
  <c r="O21" i="14"/>
  <c r="K21" i="14"/>
  <c r="N165" i="14"/>
  <c r="J165" i="14"/>
  <c r="E14" i="14"/>
  <c r="F16" i="14"/>
  <c r="J107" i="14"/>
  <c r="N107" i="14"/>
  <c r="N109" i="14"/>
  <c r="J109" i="14"/>
  <c r="J108" i="14"/>
  <c r="N108" i="14"/>
  <c r="J196" i="14"/>
  <c r="N196" i="14"/>
  <c r="N135" i="14"/>
  <c r="J135" i="14"/>
  <c r="E41" i="14"/>
  <c r="A43" i="14"/>
  <c r="F43" i="14"/>
  <c r="N74" i="14"/>
  <c r="J74" i="14"/>
  <c r="A48" i="14"/>
  <c r="F48" i="14"/>
  <c r="A133" i="14"/>
  <c r="E131" i="14"/>
  <c r="O20" i="14"/>
  <c r="K20" i="14"/>
  <c r="A49" i="14"/>
  <c r="F49" i="14"/>
  <c r="N194" i="14"/>
  <c r="J194" i="14"/>
  <c r="O50" i="14"/>
  <c r="K50" i="14"/>
  <c r="J75" i="14"/>
  <c r="N75" i="14"/>
  <c r="J197" i="14"/>
  <c r="N197" i="14"/>
  <c r="J105" i="14"/>
  <c r="N105" i="14"/>
  <c r="N199" i="14"/>
  <c r="J199" i="14"/>
  <c r="A45" i="14"/>
  <c r="F45" i="14"/>
  <c r="E71" i="14"/>
  <c r="A73" i="14"/>
  <c r="A47" i="14"/>
  <c r="F47" i="14"/>
  <c r="J139" i="14"/>
  <c r="N139" i="14"/>
  <c r="K17" i="14"/>
  <c r="O17" i="14"/>
  <c r="N138" i="14"/>
  <c r="J138" i="14"/>
  <c r="K19" i="14"/>
  <c r="O19" i="14"/>
  <c r="N50" i="14"/>
  <c r="J50" i="14"/>
  <c r="N166" i="14"/>
  <c r="J166" i="14"/>
  <c r="J76" i="14"/>
  <c r="N76" i="14"/>
  <c r="J167" i="14"/>
  <c r="N167" i="14"/>
  <c r="A164" i="14"/>
  <c r="E162" i="14"/>
  <c r="N137" i="14"/>
  <c r="J137" i="14"/>
  <c r="K22" i="14"/>
  <c r="O22" i="14"/>
  <c r="J104" i="14"/>
  <c r="N104" i="14"/>
  <c r="J78" i="14"/>
  <c r="N78" i="14"/>
  <c r="N106" i="14"/>
  <c r="J106" i="14"/>
  <c r="J195" i="14"/>
  <c r="N195" i="14"/>
  <c r="M107" i="12"/>
  <c r="M108" i="12"/>
  <c r="M111" i="12"/>
  <c r="S48" i="6"/>
  <c r="U48" i="6"/>
  <c r="H65" i="4"/>
  <c r="H66" i="4"/>
  <c r="G65" i="4"/>
  <c r="G66" i="4"/>
  <c r="J47" i="4"/>
  <c r="J69" i="6"/>
  <c r="D47" i="4"/>
  <c r="D69" i="6"/>
  <c r="AA69" i="6" s="1"/>
  <c r="E65" i="4"/>
  <c r="E66" i="4"/>
  <c r="J66" i="4"/>
  <c r="J65" i="4"/>
  <c r="D66" i="4"/>
  <c r="D65" i="4"/>
  <c r="E47" i="4"/>
  <c r="E69" i="6"/>
  <c r="I66" i="4"/>
  <c r="I65" i="4"/>
  <c r="H47" i="4"/>
  <c r="H69" i="6"/>
  <c r="G47" i="4"/>
  <c r="G69" i="6"/>
  <c r="C47" i="4"/>
  <c r="C69" i="6"/>
  <c r="I47" i="4"/>
  <c r="I69" i="6"/>
  <c r="Q48" i="6"/>
  <c r="K64" i="4"/>
  <c r="C65" i="4"/>
  <c r="C66" i="4"/>
  <c r="F47" i="4"/>
  <c r="F69" i="6"/>
  <c r="F66" i="4"/>
  <c r="F65" i="4"/>
  <c r="T48" i="6"/>
  <c r="D134" i="12"/>
  <c r="M53" i="12"/>
  <c r="M110" i="12"/>
  <c r="D104" i="12"/>
  <c r="D44" i="12"/>
  <c r="A115" i="12"/>
  <c r="I106" i="12"/>
  <c r="I115" i="12" s="1"/>
  <c r="A50" i="12"/>
  <c r="D74" i="12"/>
  <c r="A48" i="12"/>
  <c r="I48" i="12" s="1"/>
  <c r="M109" i="12"/>
  <c r="A49" i="12"/>
  <c r="I49" i="12" s="1"/>
  <c r="A47" i="12"/>
  <c r="I47" i="12" s="1"/>
  <c r="D14" i="12"/>
  <c r="AE8" i="11"/>
  <c r="AD8" i="11" s="1"/>
  <c r="AF8" i="11" s="1"/>
  <c r="H15" i="11"/>
  <c r="AE9" i="11"/>
  <c r="AO8" i="11"/>
  <c r="J8" i="11"/>
  <c r="AE7" i="11"/>
  <c r="AO7" i="11"/>
  <c r="J7" i="11"/>
  <c r="AD6" i="11"/>
  <c r="AF6" i="11" s="1"/>
  <c r="AG6" i="11"/>
  <c r="AN6" i="11"/>
  <c r="AP6" i="11" s="1"/>
  <c r="AQ6" i="11"/>
  <c r="K36" i="4"/>
  <c r="E25" i="10"/>
  <c r="G25" i="10" s="1"/>
  <c r="G12" i="10"/>
  <c r="E17" i="10"/>
  <c r="G17" i="10" s="1"/>
  <c r="D17" i="10"/>
  <c r="D25" i="10"/>
  <c r="D13" i="10"/>
  <c r="M264" i="12" l="1"/>
  <c r="I255" i="12"/>
  <c r="I264" i="12" s="1"/>
  <c r="M255" i="12"/>
  <c r="A264" i="12"/>
  <c r="Q264" i="12" s="1"/>
  <c r="I234" i="12"/>
  <c r="AS214" i="12"/>
  <c r="H223" i="12"/>
  <c r="M234" i="12"/>
  <c r="M195" i="12"/>
  <c r="M204" i="12" s="1"/>
  <c r="A204" i="12"/>
  <c r="I195" i="12"/>
  <c r="I204" i="12" s="1"/>
  <c r="M140" i="12"/>
  <c r="I175" i="12"/>
  <c r="AS155" i="12" s="1"/>
  <c r="M175" i="12"/>
  <c r="M141" i="12"/>
  <c r="M137" i="12"/>
  <c r="I136" i="12"/>
  <c r="I145" i="12" s="1"/>
  <c r="AS125" i="12" s="1"/>
  <c r="M139" i="12"/>
  <c r="A145" i="12"/>
  <c r="M142" i="12"/>
  <c r="M138" i="12"/>
  <c r="I77" i="12"/>
  <c r="I85" i="12" s="1"/>
  <c r="M80" i="12"/>
  <c r="M78" i="12"/>
  <c r="M82" i="12"/>
  <c r="M76" i="12"/>
  <c r="M79" i="12"/>
  <c r="M51" i="12"/>
  <c r="M46" i="12"/>
  <c r="M52" i="12"/>
  <c r="A85" i="12"/>
  <c r="M81" i="12"/>
  <c r="N49" i="14"/>
  <c r="J49" i="14"/>
  <c r="J44" i="14"/>
  <c r="N44" i="14"/>
  <c r="K45" i="14"/>
  <c r="O45" i="14"/>
  <c r="K43" i="14"/>
  <c r="F52" i="14"/>
  <c r="O43" i="14"/>
  <c r="J193" i="14"/>
  <c r="J202" i="14" s="1"/>
  <c r="A202" i="14"/>
  <c r="N193" i="14"/>
  <c r="N202" i="14" s="1"/>
  <c r="K44" i="14"/>
  <c r="O44" i="14"/>
  <c r="A142" i="14"/>
  <c r="N133" i="14"/>
  <c r="N142" i="14" s="1"/>
  <c r="J133" i="14"/>
  <c r="J142" i="14" s="1"/>
  <c r="K46" i="14"/>
  <c r="O46" i="14"/>
  <c r="N45" i="14"/>
  <c r="J45" i="14"/>
  <c r="J164" i="14"/>
  <c r="J173" i="14" s="1"/>
  <c r="A173" i="14"/>
  <c r="N164" i="14"/>
  <c r="N173" i="14" s="1"/>
  <c r="O47" i="14"/>
  <c r="K47" i="14"/>
  <c r="K48" i="14"/>
  <c r="O48" i="14"/>
  <c r="J46" i="14"/>
  <c r="N46" i="14"/>
  <c r="N47" i="14"/>
  <c r="J47" i="14"/>
  <c r="J48" i="14"/>
  <c r="N48" i="14"/>
  <c r="K16" i="14"/>
  <c r="K25" i="14" s="1"/>
  <c r="F25" i="14"/>
  <c r="O16" i="14"/>
  <c r="O25" i="14" s="1"/>
  <c r="J103" i="14"/>
  <c r="J112" i="14" s="1"/>
  <c r="N103" i="14"/>
  <c r="N112" i="14" s="1"/>
  <c r="A112" i="14"/>
  <c r="A52" i="14"/>
  <c r="J43" i="14"/>
  <c r="N43" i="14"/>
  <c r="G15" i="11"/>
  <c r="I15" i="11" s="1"/>
  <c r="Z182" i="14"/>
  <c r="Z186" i="14" s="1"/>
  <c r="Z153" i="14"/>
  <c r="Z157" i="14" s="1"/>
  <c r="Z62" i="14"/>
  <c r="Z66" i="14" s="1"/>
  <c r="Z122" i="14"/>
  <c r="Z126" i="14" s="1"/>
  <c r="J73" i="14"/>
  <c r="J82" i="14" s="1"/>
  <c r="A82" i="14"/>
  <c r="N73" i="14"/>
  <c r="N82" i="14" s="1"/>
  <c r="K49" i="14"/>
  <c r="O49" i="14"/>
  <c r="H104" i="12"/>
  <c r="M47" i="12"/>
  <c r="M49" i="12"/>
  <c r="M115" i="12"/>
  <c r="L104" i="12" s="1"/>
  <c r="D70" i="6"/>
  <c r="AA70" i="6" s="1"/>
  <c r="D48" i="4"/>
  <c r="K66" i="4"/>
  <c r="G70" i="6"/>
  <c r="G48" i="4"/>
  <c r="J70" i="6"/>
  <c r="J48" i="4"/>
  <c r="H48" i="4"/>
  <c r="H70" i="6"/>
  <c r="R69" i="6"/>
  <c r="AC69" i="6"/>
  <c r="S69" i="6"/>
  <c r="AB69" i="6"/>
  <c r="F48" i="4"/>
  <c r="F70" i="6"/>
  <c r="E70" i="6"/>
  <c r="E48" i="4"/>
  <c r="T69" i="6"/>
  <c r="Q69" i="6"/>
  <c r="Z69" i="6"/>
  <c r="K69" i="6"/>
  <c r="C70" i="6"/>
  <c r="K47" i="4"/>
  <c r="C48" i="4"/>
  <c r="K65" i="4"/>
  <c r="L64" i="4"/>
  <c r="I70" i="6"/>
  <c r="T70" i="6" s="1"/>
  <c r="I48" i="4"/>
  <c r="J15" i="11"/>
  <c r="A25" i="12"/>
  <c r="I25" i="12"/>
  <c r="M48" i="12"/>
  <c r="A55" i="12"/>
  <c r="I50" i="12"/>
  <c r="I55" i="12" s="1"/>
  <c r="AS35" i="12" s="1"/>
  <c r="M50" i="12"/>
  <c r="AG8" i="11"/>
  <c r="AE15" i="11"/>
  <c r="AD15" i="11" s="1"/>
  <c r="AN7" i="11"/>
  <c r="AP7" i="11" s="1"/>
  <c r="AQ7" i="11"/>
  <c r="AO15" i="11"/>
  <c r="AN15" i="11" s="1"/>
  <c r="AN8" i="11"/>
  <c r="AP8" i="11" s="1"/>
  <c r="AQ8" i="11"/>
  <c r="AD7" i="11"/>
  <c r="AF7" i="11" s="1"/>
  <c r="AG7" i="11"/>
  <c r="AD9" i="11"/>
  <c r="AF9" i="11" s="1"/>
  <c r="AG9" i="11"/>
  <c r="E13" i="10"/>
  <c r="D14" i="10"/>
  <c r="D18" i="10"/>
  <c r="AS244" i="12" l="1"/>
  <c r="H253" i="12"/>
  <c r="L253" i="12"/>
  <c r="AV244" i="12"/>
  <c r="AV245" i="12" s="1"/>
  <c r="R256" i="12"/>
  <c r="R257" i="12"/>
  <c r="F257" i="12"/>
  <c r="E255" i="12"/>
  <c r="E261" i="12"/>
  <c r="R255" i="12"/>
  <c r="R259" i="12" s="1"/>
  <c r="F255" i="12"/>
  <c r="F261" i="12"/>
  <c r="F259" i="12"/>
  <c r="E256" i="12"/>
  <c r="E258" i="12"/>
  <c r="E260" i="12"/>
  <c r="E262" i="12"/>
  <c r="E259" i="12"/>
  <c r="F256" i="12"/>
  <c r="F258" i="12"/>
  <c r="F260" i="12"/>
  <c r="E257" i="12"/>
  <c r="F262" i="12"/>
  <c r="BB184" i="12"/>
  <c r="BB214" i="12"/>
  <c r="L223" i="12"/>
  <c r="AV214" i="12"/>
  <c r="R226" i="12"/>
  <c r="R225" i="12"/>
  <c r="R227" i="12"/>
  <c r="F227" i="12"/>
  <c r="F225" i="12"/>
  <c r="F230" i="12"/>
  <c r="F228" i="12"/>
  <c r="F232" i="12"/>
  <c r="F229" i="12"/>
  <c r="F231" i="12"/>
  <c r="F226" i="12"/>
  <c r="F77" i="12"/>
  <c r="E232" i="12"/>
  <c r="E230" i="12"/>
  <c r="E231" i="12"/>
  <c r="E228" i="12"/>
  <c r="E227" i="12"/>
  <c r="E226" i="12"/>
  <c r="E225" i="12"/>
  <c r="E229" i="12"/>
  <c r="AS215" i="12"/>
  <c r="Q204" i="12"/>
  <c r="F196" i="12"/>
  <c r="AS184" i="12"/>
  <c r="H193" i="12"/>
  <c r="AV184" i="12"/>
  <c r="AV185" i="12" s="1"/>
  <c r="L193" i="12"/>
  <c r="R197" i="12"/>
  <c r="F198" i="12"/>
  <c r="E198" i="12"/>
  <c r="R195" i="12"/>
  <c r="R196" i="12"/>
  <c r="F199" i="12"/>
  <c r="E201" i="12"/>
  <c r="E199" i="12"/>
  <c r="E196" i="12"/>
  <c r="F202" i="12"/>
  <c r="F200" i="12"/>
  <c r="E202" i="12"/>
  <c r="F197" i="12"/>
  <c r="E197" i="12"/>
  <c r="E195" i="12"/>
  <c r="E200" i="12"/>
  <c r="F195" i="12"/>
  <c r="F201" i="12"/>
  <c r="H164" i="12"/>
  <c r="BB125" i="12"/>
  <c r="BB155" i="12"/>
  <c r="AS156" i="12"/>
  <c r="L164" i="12"/>
  <c r="AV155" i="12"/>
  <c r="F142" i="12"/>
  <c r="J142" i="12" s="1"/>
  <c r="F170" i="12"/>
  <c r="F168" i="12"/>
  <c r="F169" i="12"/>
  <c r="R168" i="12"/>
  <c r="R167" i="12"/>
  <c r="R166" i="12"/>
  <c r="F167" i="12"/>
  <c r="F171" i="12"/>
  <c r="F172" i="12"/>
  <c r="F173" i="12"/>
  <c r="F166" i="12"/>
  <c r="E173" i="12"/>
  <c r="E170" i="12"/>
  <c r="E168" i="12"/>
  <c r="E172" i="12"/>
  <c r="E171" i="12"/>
  <c r="E166" i="12"/>
  <c r="E169" i="12"/>
  <c r="E167" i="12"/>
  <c r="M145" i="12"/>
  <c r="L134" i="12" s="1"/>
  <c r="F136" i="12"/>
  <c r="F141" i="12"/>
  <c r="E138" i="12"/>
  <c r="E142" i="12"/>
  <c r="F143" i="12"/>
  <c r="AS126" i="12"/>
  <c r="E137" i="12"/>
  <c r="F139" i="12"/>
  <c r="E136" i="12"/>
  <c r="F137" i="12"/>
  <c r="F138" i="12"/>
  <c r="H134" i="12"/>
  <c r="E139" i="12"/>
  <c r="F140" i="12"/>
  <c r="E143" i="12"/>
  <c r="E140" i="12"/>
  <c r="R138" i="12"/>
  <c r="R137" i="12"/>
  <c r="R136" i="12"/>
  <c r="E141" i="12"/>
  <c r="AS36" i="12"/>
  <c r="H74" i="12"/>
  <c r="M85" i="12"/>
  <c r="L74" i="12" s="1"/>
  <c r="R77" i="12"/>
  <c r="R78" i="12"/>
  <c r="R76" i="12"/>
  <c r="Q85" i="12"/>
  <c r="F78" i="12"/>
  <c r="F82" i="12"/>
  <c r="F83" i="12"/>
  <c r="F81" i="12"/>
  <c r="F76" i="12"/>
  <c r="F79" i="12"/>
  <c r="F80" i="12"/>
  <c r="E83" i="12"/>
  <c r="E78" i="12"/>
  <c r="E77" i="12"/>
  <c r="E82" i="12"/>
  <c r="E79" i="12"/>
  <c r="E76" i="12"/>
  <c r="E80" i="12"/>
  <c r="E81" i="12"/>
  <c r="Q23" i="12"/>
  <c r="Q5" i="12"/>
  <c r="R46" i="12"/>
  <c r="R47" i="12"/>
  <c r="R48" i="12"/>
  <c r="Q55" i="12"/>
  <c r="S46" i="12"/>
  <c r="S47" i="12"/>
  <c r="S48" i="12"/>
  <c r="F52" i="12"/>
  <c r="F47" i="12"/>
  <c r="F46" i="12"/>
  <c r="F50" i="12"/>
  <c r="F48" i="12"/>
  <c r="F53" i="12"/>
  <c r="F51" i="12"/>
  <c r="F49" i="12"/>
  <c r="E53" i="12"/>
  <c r="E50" i="12"/>
  <c r="E49" i="12"/>
  <c r="E51" i="12"/>
  <c r="E47" i="12"/>
  <c r="E52" i="12"/>
  <c r="E48" i="12"/>
  <c r="E46" i="12"/>
  <c r="B26" i="12"/>
  <c r="M71" i="14"/>
  <c r="Z63" i="14" s="1"/>
  <c r="Z67" i="14" s="1"/>
  <c r="I101" i="14"/>
  <c r="M191" i="14"/>
  <c r="Z183" i="14" s="1"/>
  <c r="Z187" i="14" s="1"/>
  <c r="M101" i="14"/>
  <c r="M131" i="14"/>
  <c r="Z123" i="14" s="1"/>
  <c r="Z127" i="14" s="1"/>
  <c r="I162" i="14"/>
  <c r="W154" i="14" s="1"/>
  <c r="R125" i="14"/>
  <c r="AI123" i="14" s="1"/>
  <c r="R142" i="14"/>
  <c r="S125" i="14"/>
  <c r="AI125" i="14" s="1"/>
  <c r="AL125" i="14" s="1"/>
  <c r="K52" i="14"/>
  <c r="T43" i="14"/>
  <c r="T45" i="14"/>
  <c r="T44" i="14"/>
  <c r="M25" i="14"/>
  <c r="I25" i="14"/>
  <c r="R82" i="14"/>
  <c r="R65" i="14"/>
  <c r="AI63" i="14" s="1"/>
  <c r="S65" i="14"/>
  <c r="AI65" i="14" s="1"/>
  <c r="J52" i="14"/>
  <c r="R202" i="14"/>
  <c r="R185" i="14"/>
  <c r="AI183" i="14" s="1"/>
  <c r="S185" i="14"/>
  <c r="AI185" i="14" s="1"/>
  <c r="Z7" i="14"/>
  <c r="Z9" i="14" s="1"/>
  <c r="N14" i="14"/>
  <c r="Z8" i="14" s="1"/>
  <c r="Z10" i="14" s="1"/>
  <c r="I71" i="14"/>
  <c r="W63" i="14" s="1"/>
  <c r="R35" i="14"/>
  <c r="AI33" i="14" s="1"/>
  <c r="R52" i="14"/>
  <c r="I191" i="14"/>
  <c r="W183" i="14" s="1"/>
  <c r="R173" i="14"/>
  <c r="R156" i="14"/>
  <c r="AI154" i="14" s="1"/>
  <c r="S156" i="14"/>
  <c r="AI156" i="14" s="1"/>
  <c r="AF182" i="14"/>
  <c r="AC182" i="14"/>
  <c r="AF153" i="14"/>
  <c r="AF62" i="14"/>
  <c r="AC153" i="14"/>
  <c r="AF122" i="14"/>
  <c r="AC62" i="14"/>
  <c r="AC122" i="14"/>
  <c r="W7" i="14"/>
  <c r="J14" i="14"/>
  <c r="W8" i="14" s="1"/>
  <c r="N52" i="14"/>
  <c r="R95" i="14"/>
  <c r="R112" i="14"/>
  <c r="S95" i="14"/>
  <c r="M162" i="14"/>
  <c r="Z154" i="14" s="1"/>
  <c r="Z158" i="14" s="1"/>
  <c r="I131" i="14"/>
  <c r="W123" i="14" s="1"/>
  <c r="O52" i="14"/>
  <c r="R107" i="12"/>
  <c r="E110" i="12"/>
  <c r="J110" i="12" s="1"/>
  <c r="R106" i="12"/>
  <c r="E112" i="12"/>
  <c r="N112" i="12" s="1"/>
  <c r="E113" i="12"/>
  <c r="J113" i="12" s="1"/>
  <c r="E111" i="12"/>
  <c r="N111" i="12" s="1"/>
  <c r="E106" i="12"/>
  <c r="N106" i="12" s="1"/>
  <c r="E109" i="12"/>
  <c r="N109" i="12" s="1"/>
  <c r="E107" i="12"/>
  <c r="J107" i="12" s="1"/>
  <c r="E108" i="12"/>
  <c r="N108" i="12" s="1"/>
  <c r="R108" i="12"/>
  <c r="M55" i="12"/>
  <c r="U69" i="6"/>
  <c r="S70" i="6"/>
  <c r="AB70" i="6"/>
  <c r="K48" i="4"/>
  <c r="L47" i="4"/>
  <c r="R70" i="6"/>
  <c r="AC70" i="6"/>
  <c r="Z70" i="6"/>
  <c r="K70" i="6"/>
  <c r="Q70" i="6"/>
  <c r="AQ15" i="11"/>
  <c r="AP15" i="11" s="1"/>
  <c r="BB65" i="12"/>
  <c r="H44" i="12"/>
  <c r="AG15" i="11"/>
  <c r="AF15" i="11" s="1"/>
  <c r="M25" i="12"/>
  <c r="E14" i="10"/>
  <c r="G14" i="10" s="1"/>
  <c r="E18" i="10"/>
  <c r="G18" i="10" s="1"/>
  <c r="G13" i="10"/>
  <c r="AY244" i="12" l="1"/>
  <c r="BB244" i="12" s="1"/>
  <c r="AS245" i="12"/>
  <c r="AY245" i="12" s="1"/>
  <c r="N259" i="12"/>
  <c r="J259" i="12"/>
  <c r="N261" i="12"/>
  <c r="J261" i="12"/>
  <c r="N262" i="12"/>
  <c r="J262" i="12"/>
  <c r="J255" i="12"/>
  <c r="N255" i="12"/>
  <c r="F264" i="12"/>
  <c r="Q259" i="12"/>
  <c r="Q247" i="12"/>
  <c r="BE245" i="12" s="1"/>
  <c r="N260" i="12"/>
  <c r="J260" i="12"/>
  <c r="N258" i="12"/>
  <c r="J258" i="12"/>
  <c r="N256" i="12"/>
  <c r="J256" i="12"/>
  <c r="J257" i="12"/>
  <c r="N257" i="12"/>
  <c r="E264" i="12"/>
  <c r="J232" i="12"/>
  <c r="N232" i="12"/>
  <c r="E234" i="12"/>
  <c r="N228" i="12"/>
  <c r="J228" i="12"/>
  <c r="N230" i="12"/>
  <c r="J230" i="12"/>
  <c r="N225" i="12"/>
  <c r="J225" i="12"/>
  <c r="J227" i="12"/>
  <c r="N227" i="12"/>
  <c r="R229" i="12"/>
  <c r="AV215" i="12"/>
  <c r="AY215" i="12" s="1"/>
  <c r="F234" i="12"/>
  <c r="J226" i="12"/>
  <c r="N226" i="12"/>
  <c r="N231" i="12"/>
  <c r="J231" i="12"/>
  <c r="AY214" i="12"/>
  <c r="N229" i="12"/>
  <c r="J229" i="12"/>
  <c r="AY184" i="12"/>
  <c r="AS185" i="12"/>
  <c r="AY185" i="12" s="1"/>
  <c r="J202" i="12"/>
  <c r="N202" i="12"/>
  <c r="N196" i="12"/>
  <c r="J196" i="12"/>
  <c r="N195" i="12"/>
  <c r="J195" i="12"/>
  <c r="F204" i="12"/>
  <c r="E204" i="12"/>
  <c r="R199" i="12"/>
  <c r="J201" i="12"/>
  <c r="N201" i="12"/>
  <c r="J198" i="12"/>
  <c r="N198" i="12"/>
  <c r="J197" i="12"/>
  <c r="N197" i="12"/>
  <c r="J199" i="12"/>
  <c r="N199" i="12"/>
  <c r="N200" i="12"/>
  <c r="J200" i="12"/>
  <c r="AV125" i="12"/>
  <c r="AV126" i="12" s="1"/>
  <c r="AY126" i="12" s="1"/>
  <c r="R175" i="12"/>
  <c r="Q158" i="12" s="1"/>
  <c r="BE156" i="12" s="1"/>
  <c r="AV156" i="12"/>
  <c r="N173" i="12"/>
  <c r="J173" i="12"/>
  <c r="J170" i="12"/>
  <c r="N170" i="12"/>
  <c r="J171" i="12"/>
  <c r="N171" i="12"/>
  <c r="N142" i="12"/>
  <c r="AY155" i="12"/>
  <c r="E175" i="12"/>
  <c r="N168" i="12"/>
  <c r="J168" i="12"/>
  <c r="J172" i="12"/>
  <c r="N172" i="12"/>
  <c r="N167" i="12"/>
  <c r="J167" i="12"/>
  <c r="F175" i="12"/>
  <c r="J166" i="12"/>
  <c r="N166" i="12"/>
  <c r="N169" i="12"/>
  <c r="J169" i="12"/>
  <c r="N51" i="12"/>
  <c r="J51" i="12"/>
  <c r="J80" i="12"/>
  <c r="N80" i="12"/>
  <c r="N143" i="12"/>
  <c r="J143" i="12"/>
  <c r="N76" i="12"/>
  <c r="J76" i="12"/>
  <c r="N53" i="12"/>
  <c r="J53" i="12"/>
  <c r="J79" i="12"/>
  <c r="N79" i="12"/>
  <c r="N50" i="12"/>
  <c r="J50" i="12"/>
  <c r="J137" i="12"/>
  <c r="N137" i="12"/>
  <c r="J46" i="12"/>
  <c r="N46" i="12"/>
  <c r="J83" i="12"/>
  <c r="N83" i="12"/>
  <c r="J136" i="12"/>
  <c r="N136" i="12"/>
  <c r="J48" i="12"/>
  <c r="N48" i="12"/>
  <c r="J81" i="12"/>
  <c r="N81" i="12"/>
  <c r="N47" i="12"/>
  <c r="J47" i="12"/>
  <c r="J77" i="12"/>
  <c r="N77" i="12"/>
  <c r="N139" i="12"/>
  <c r="J139" i="12"/>
  <c r="N52" i="12"/>
  <c r="J52" i="12"/>
  <c r="J82" i="12"/>
  <c r="N82" i="12"/>
  <c r="N138" i="12"/>
  <c r="J138" i="12"/>
  <c r="N141" i="12"/>
  <c r="J141" i="12"/>
  <c r="N49" i="12"/>
  <c r="J49" i="12"/>
  <c r="J78" i="12"/>
  <c r="N78" i="12"/>
  <c r="N140" i="12"/>
  <c r="J140" i="12"/>
  <c r="F145" i="12"/>
  <c r="AV65" i="12"/>
  <c r="AV66" i="12" s="1"/>
  <c r="S16" i="12"/>
  <c r="S18" i="12"/>
  <c r="S17" i="12"/>
  <c r="R50" i="12"/>
  <c r="Q50" i="12" s="1"/>
  <c r="F85" i="12"/>
  <c r="R80" i="12"/>
  <c r="M56" i="12"/>
  <c r="AV35" i="12"/>
  <c r="AV36" i="12" s="1"/>
  <c r="H14" i="12"/>
  <c r="L14" i="12"/>
  <c r="R16" i="12"/>
  <c r="R18" i="12"/>
  <c r="R17" i="12"/>
  <c r="Y25" i="12"/>
  <c r="Z25" i="12"/>
  <c r="F19" i="12"/>
  <c r="F21" i="12"/>
  <c r="F23" i="12"/>
  <c r="F17" i="12"/>
  <c r="F22" i="12"/>
  <c r="F18" i="12"/>
  <c r="F16" i="12"/>
  <c r="F20" i="12"/>
  <c r="E23" i="12"/>
  <c r="E19" i="12"/>
  <c r="E17" i="12"/>
  <c r="E22" i="12"/>
  <c r="E21" i="12"/>
  <c r="E20" i="12"/>
  <c r="E18" i="12"/>
  <c r="E16" i="12"/>
  <c r="T52" i="14"/>
  <c r="S35" i="14" s="1"/>
  <c r="AI35" i="14" s="1"/>
  <c r="AI37" i="14" s="1"/>
  <c r="Z32" i="14"/>
  <c r="M52" i="14"/>
  <c r="M41" i="14"/>
  <c r="Z33" i="14" s="1"/>
  <c r="AL153" i="14"/>
  <c r="AL157" i="14" s="1"/>
  <c r="AC157" i="14"/>
  <c r="AC183" i="14"/>
  <c r="W187" i="14"/>
  <c r="N53" i="14"/>
  <c r="I41" i="14"/>
  <c r="W33" i="14" s="1"/>
  <c r="I52" i="14"/>
  <c r="W32" i="14"/>
  <c r="AL182" i="14"/>
  <c r="AL186" i="14" s="1"/>
  <c r="AC186" i="14"/>
  <c r="W9" i="14"/>
  <c r="AC7" i="14"/>
  <c r="W10" i="14"/>
  <c r="AC8" i="14"/>
  <c r="W34" i="14"/>
  <c r="J41" i="14"/>
  <c r="W35" i="14" s="1"/>
  <c r="N41" i="14"/>
  <c r="Z35" i="14" s="1"/>
  <c r="Z34" i="14"/>
  <c r="AC123" i="14"/>
  <c r="W127" i="14"/>
  <c r="AL122" i="14"/>
  <c r="AL126" i="14" s="1"/>
  <c r="AC126" i="14"/>
  <c r="AC63" i="14"/>
  <c r="W67" i="14"/>
  <c r="AL62" i="14"/>
  <c r="AL66" i="14" s="1"/>
  <c r="AC66" i="14"/>
  <c r="AI158" i="14"/>
  <c r="AL156" i="14"/>
  <c r="AI127" i="14"/>
  <c r="AI67" i="14"/>
  <c r="AL65" i="14"/>
  <c r="AI187" i="14"/>
  <c r="AL185" i="14"/>
  <c r="AC154" i="14"/>
  <c r="W158" i="14"/>
  <c r="J109" i="12"/>
  <c r="J111" i="12"/>
  <c r="N110" i="12"/>
  <c r="R145" i="12"/>
  <c r="E145" i="12"/>
  <c r="S137" i="12" s="1"/>
  <c r="J112" i="12"/>
  <c r="J108" i="12"/>
  <c r="N107" i="12"/>
  <c r="E115" i="12"/>
  <c r="S108" i="12" s="1"/>
  <c r="R115" i="12"/>
  <c r="Q115" i="12" s="1"/>
  <c r="N113" i="12"/>
  <c r="L44" i="12"/>
  <c r="F55" i="12"/>
  <c r="J106" i="12"/>
  <c r="E85" i="12"/>
  <c r="S76" i="12" s="1"/>
  <c r="U70" i="6"/>
  <c r="E55" i="12"/>
  <c r="AK246" i="12" l="1"/>
  <c r="AL257" i="12" s="1"/>
  <c r="AK245" i="12"/>
  <c r="AL256" i="12" s="1"/>
  <c r="BH245" i="12"/>
  <c r="AK244" i="12"/>
  <c r="AK259" i="12"/>
  <c r="S256" i="12"/>
  <c r="S257" i="12"/>
  <c r="S255" i="12"/>
  <c r="J264" i="12"/>
  <c r="AS246" i="12" s="1"/>
  <c r="N264" i="12"/>
  <c r="AV246" i="12" s="1"/>
  <c r="Q217" i="12"/>
  <c r="BE215" i="12" s="1"/>
  <c r="BH215" i="12" s="1"/>
  <c r="Q229" i="12"/>
  <c r="J234" i="12"/>
  <c r="S227" i="12"/>
  <c r="S225" i="12"/>
  <c r="S226" i="12"/>
  <c r="AK216" i="12"/>
  <c r="AL227" i="12" s="1"/>
  <c r="AL226" i="12"/>
  <c r="AK214" i="12"/>
  <c r="AL225" i="12" s="1"/>
  <c r="AK229" i="12"/>
  <c r="N234" i="12"/>
  <c r="AK184" i="12"/>
  <c r="AL195" i="12" s="1"/>
  <c r="AK185" i="12"/>
  <c r="AL196" i="12" s="1"/>
  <c r="AK199" i="12"/>
  <c r="AK186" i="12"/>
  <c r="AL197" i="12" s="1"/>
  <c r="S195" i="12"/>
  <c r="S197" i="12"/>
  <c r="S196" i="12"/>
  <c r="Q187" i="12"/>
  <c r="BE185" i="12" s="1"/>
  <c r="BH185" i="12" s="1"/>
  <c r="Q199" i="12"/>
  <c r="N204" i="12"/>
  <c r="AV186" i="12" s="1"/>
  <c r="J204" i="12"/>
  <c r="AS186" i="12" s="1"/>
  <c r="AY125" i="12"/>
  <c r="AY35" i="12"/>
  <c r="BB35" i="12" s="1"/>
  <c r="AY36" i="12"/>
  <c r="N21" i="12"/>
  <c r="J21" i="12"/>
  <c r="N17" i="12"/>
  <c r="J17" i="12"/>
  <c r="J23" i="12"/>
  <c r="N23" i="12"/>
  <c r="J19" i="12"/>
  <c r="N19" i="12"/>
  <c r="J18" i="12"/>
  <c r="N18" i="12"/>
  <c r="J22" i="12"/>
  <c r="N22" i="12"/>
  <c r="J20" i="12"/>
  <c r="N20" i="12"/>
  <c r="AK156" i="12"/>
  <c r="AL167" i="12" s="1"/>
  <c r="AK157" i="12"/>
  <c r="AL168" i="12" s="1"/>
  <c r="AK155" i="12"/>
  <c r="AL166" i="12" s="1"/>
  <c r="AK170" i="12"/>
  <c r="Q175" i="12"/>
  <c r="N16" i="12"/>
  <c r="J16" i="12"/>
  <c r="N175" i="12"/>
  <c r="AV157" i="12" s="1"/>
  <c r="J12" i="13" s="1"/>
  <c r="J175" i="12"/>
  <c r="AS157" i="12" s="1"/>
  <c r="I12" i="13" s="1"/>
  <c r="S167" i="12"/>
  <c r="S166" i="12"/>
  <c r="S168" i="12"/>
  <c r="AY156" i="12"/>
  <c r="Q128" i="12"/>
  <c r="BE126" i="12" s="1"/>
  <c r="BH126" i="12" s="1"/>
  <c r="AK126" i="12"/>
  <c r="AL137" i="12" s="1"/>
  <c r="AK125" i="12"/>
  <c r="AL136" i="12" s="1"/>
  <c r="AK140" i="12"/>
  <c r="AK127" i="12"/>
  <c r="AL138" i="12" s="1"/>
  <c r="AM16" i="12"/>
  <c r="AK65" i="12"/>
  <c r="AL76" i="12" s="1"/>
  <c r="AK67" i="12"/>
  <c r="AL78" i="12" s="1"/>
  <c r="AK66" i="12"/>
  <c r="AL77" i="12" s="1"/>
  <c r="AK80" i="12"/>
  <c r="Q80" i="12"/>
  <c r="Q68" i="12"/>
  <c r="BE66" i="12" s="1"/>
  <c r="R20" i="12"/>
  <c r="AK37" i="12"/>
  <c r="AL48" i="12" s="1"/>
  <c r="AK35" i="12"/>
  <c r="AL46" i="12" s="1"/>
  <c r="AK36" i="12"/>
  <c r="AL47" i="12" s="1"/>
  <c r="AK50" i="12"/>
  <c r="S20" i="12"/>
  <c r="R14" i="12" s="1"/>
  <c r="BE8" i="12" s="1"/>
  <c r="AH25" i="12"/>
  <c r="AM17" i="12"/>
  <c r="AM18" i="12"/>
  <c r="AK20" i="12"/>
  <c r="AK6" i="12"/>
  <c r="AL17" i="12" s="1"/>
  <c r="AK5" i="12"/>
  <c r="AL16" i="12" s="1"/>
  <c r="AK7" i="12"/>
  <c r="AL18" i="12" s="1"/>
  <c r="N145" i="12"/>
  <c r="F25" i="12"/>
  <c r="AD25" i="12"/>
  <c r="E25" i="12"/>
  <c r="H25" i="12" s="1"/>
  <c r="AC25" i="12"/>
  <c r="AS5" i="12" s="1"/>
  <c r="AG25" i="12"/>
  <c r="Q98" i="12"/>
  <c r="AL183" i="14"/>
  <c r="AL187" i="14" s="1"/>
  <c r="AC187" i="14"/>
  <c r="AL7" i="14"/>
  <c r="AL9" i="14" s="1"/>
  <c r="AF7" i="14"/>
  <c r="AC9" i="14"/>
  <c r="AL123" i="14"/>
  <c r="AL127" i="14" s="1"/>
  <c r="AC127" i="14"/>
  <c r="AC32" i="14"/>
  <c r="W36" i="14"/>
  <c r="Z37" i="14"/>
  <c r="AL154" i="14"/>
  <c r="AL158" i="14" s="1"/>
  <c r="AC158" i="14"/>
  <c r="AC67" i="14"/>
  <c r="AL63" i="14"/>
  <c r="AL67" i="14" s="1"/>
  <c r="AC34" i="14"/>
  <c r="AC35" i="14"/>
  <c r="AL35" i="14" s="1"/>
  <c r="AL8" i="14"/>
  <c r="AL10" i="14" s="1"/>
  <c r="AC10" i="14"/>
  <c r="W37" i="14"/>
  <c r="AC33" i="14"/>
  <c r="Z36" i="14"/>
  <c r="J85" i="12"/>
  <c r="AS67" i="12" s="1"/>
  <c r="Q145" i="12"/>
  <c r="S106" i="12"/>
  <c r="S107" i="12"/>
  <c r="N115" i="12"/>
  <c r="L115" i="12" s="1"/>
  <c r="M104" i="12" s="1"/>
  <c r="J115" i="12"/>
  <c r="H115" i="12" s="1"/>
  <c r="I104" i="12" s="1"/>
  <c r="J145" i="12"/>
  <c r="S136" i="12"/>
  <c r="S138" i="12"/>
  <c r="S77" i="12"/>
  <c r="S78" i="12"/>
  <c r="N85" i="12"/>
  <c r="J55" i="12"/>
  <c r="N55" i="12"/>
  <c r="L55" i="12"/>
  <c r="H55" i="12"/>
  <c r="AL255" i="12" l="1"/>
  <c r="AL259" i="12" s="1"/>
  <c r="H264" i="12"/>
  <c r="I253" i="12" s="1"/>
  <c r="M265" i="12"/>
  <c r="S259" i="12"/>
  <c r="BE246" i="12" s="1"/>
  <c r="L264" i="12"/>
  <c r="M253" i="12" s="1"/>
  <c r="AL229" i="12"/>
  <c r="AK223" i="12" s="1"/>
  <c r="BE214" i="12"/>
  <c r="BH214" i="12" s="1"/>
  <c r="S229" i="12"/>
  <c r="M235" i="12"/>
  <c r="H234" i="12"/>
  <c r="I223" i="12" s="1"/>
  <c r="AS216" i="12"/>
  <c r="I17" i="13" s="1"/>
  <c r="L234" i="12"/>
  <c r="M223" i="12" s="1"/>
  <c r="AV216" i="12"/>
  <c r="J17" i="13" s="1"/>
  <c r="AL199" i="12"/>
  <c r="AK193" i="12" s="1"/>
  <c r="S199" i="12"/>
  <c r="BE186" i="12" s="1"/>
  <c r="M205" i="12"/>
  <c r="H204" i="12"/>
  <c r="I193" i="12" s="1"/>
  <c r="I15" i="13"/>
  <c r="I16" i="13" s="1"/>
  <c r="L204" i="12"/>
  <c r="M193" i="12" s="1"/>
  <c r="J15" i="13"/>
  <c r="AL170" i="12"/>
  <c r="BH156" i="12"/>
  <c r="S175" i="12"/>
  <c r="BE157" i="12" s="1"/>
  <c r="M12" i="13" s="1"/>
  <c r="L175" i="12"/>
  <c r="M164" i="12" s="1"/>
  <c r="H175" i="12"/>
  <c r="I164" i="12" s="1"/>
  <c r="N176" i="12"/>
  <c r="AL140" i="12"/>
  <c r="BE125" i="12" s="1"/>
  <c r="H145" i="12"/>
  <c r="I134" i="12" s="1"/>
  <c r="AS127" i="12"/>
  <c r="I11" i="13" s="1"/>
  <c r="L145" i="12"/>
  <c r="M134" i="12" s="1"/>
  <c r="AV127" i="12"/>
  <c r="J11" i="13" s="1"/>
  <c r="S80" i="12"/>
  <c r="R68" i="12" s="1"/>
  <c r="BE68" i="12" s="1"/>
  <c r="AL80" i="12"/>
  <c r="BE65" i="12" s="1"/>
  <c r="AS68" i="12"/>
  <c r="Q20" i="12"/>
  <c r="Q38" i="12"/>
  <c r="BE36" i="12" s="1"/>
  <c r="BH36" i="12" s="1"/>
  <c r="AV5" i="12"/>
  <c r="AF25" i="12"/>
  <c r="AF14" i="12" s="1"/>
  <c r="L85" i="12"/>
  <c r="M74" i="12" s="1"/>
  <c r="AV67" i="12"/>
  <c r="AV68" i="12" s="1"/>
  <c r="M44" i="12"/>
  <c r="AV37" i="12"/>
  <c r="I44" i="12"/>
  <c r="AS37" i="12"/>
  <c r="AS38" i="12" s="1"/>
  <c r="AL44" i="12"/>
  <c r="Q14" i="12"/>
  <c r="S50" i="12"/>
  <c r="BE37" i="12" s="1"/>
  <c r="M6" i="13" s="1"/>
  <c r="AL50" i="12"/>
  <c r="AB14" i="12"/>
  <c r="AG14" i="12"/>
  <c r="AC14" i="12"/>
  <c r="AM20" i="12"/>
  <c r="AL20" i="12"/>
  <c r="J25" i="12"/>
  <c r="AS7" i="12" s="1"/>
  <c r="N25" i="12"/>
  <c r="M14" i="12" s="1"/>
  <c r="AB25" i="12"/>
  <c r="L25" i="12"/>
  <c r="H85" i="12"/>
  <c r="I74" i="12" s="1"/>
  <c r="AL33" i="14"/>
  <c r="AL37" i="14" s="1"/>
  <c r="AC37" i="14"/>
  <c r="AF34" i="14"/>
  <c r="AL34" i="14"/>
  <c r="AL32" i="14"/>
  <c r="AC36" i="14"/>
  <c r="AF32" i="14"/>
  <c r="N146" i="12"/>
  <c r="S115" i="12"/>
  <c r="R98" i="12" s="1"/>
  <c r="N116" i="12"/>
  <c r="S145" i="12"/>
  <c r="M86" i="12"/>
  <c r="BE184" i="12" l="1"/>
  <c r="BH184" i="12" s="1"/>
  <c r="BE244" i="12"/>
  <c r="BH244" i="12" s="1"/>
  <c r="AK253" i="12"/>
  <c r="AV247" i="12"/>
  <c r="AV249" i="12" s="1"/>
  <c r="J21" i="13"/>
  <c r="AV248" i="12"/>
  <c r="R247" i="12"/>
  <c r="BE247" i="12" s="1"/>
  <c r="BE249" i="12" s="1"/>
  <c r="I21" i="13"/>
  <c r="AS247" i="12"/>
  <c r="AY246" i="12"/>
  <c r="BB246" i="12" s="1"/>
  <c r="AS248" i="12"/>
  <c r="AV217" i="12"/>
  <c r="AV219" i="12" s="1"/>
  <c r="AV218" i="12"/>
  <c r="AS217" i="12"/>
  <c r="AY216" i="12"/>
  <c r="K17" i="13" s="1"/>
  <c r="AS218" i="12"/>
  <c r="BE216" i="12"/>
  <c r="R217" i="12"/>
  <c r="BE217" i="12" s="1"/>
  <c r="BE219" i="12" s="1"/>
  <c r="AV187" i="12"/>
  <c r="AV189" i="12" s="1"/>
  <c r="AV188" i="12"/>
  <c r="AS187" i="12"/>
  <c r="AY186" i="12"/>
  <c r="K15" i="13" s="1"/>
  <c r="AS188" i="12"/>
  <c r="R187" i="12"/>
  <c r="BE187" i="12" s="1"/>
  <c r="BE189" i="12" s="1"/>
  <c r="AK164" i="12"/>
  <c r="BE155" i="12"/>
  <c r="BH155" i="12" s="1"/>
  <c r="AY157" i="12"/>
  <c r="AS158" i="12"/>
  <c r="AS159" i="12"/>
  <c r="AV158" i="12"/>
  <c r="AV160" i="12" s="1"/>
  <c r="AV159" i="12"/>
  <c r="R158" i="12"/>
  <c r="BE158" i="12" s="1"/>
  <c r="BE160" i="12" s="1"/>
  <c r="AK74" i="12"/>
  <c r="R128" i="12"/>
  <c r="BE128" i="12" s="1"/>
  <c r="BE130" i="12" s="1"/>
  <c r="BE127" i="12"/>
  <c r="M11" i="13" s="1"/>
  <c r="AK134" i="12"/>
  <c r="AV128" i="12"/>
  <c r="AV130" i="12" s="1"/>
  <c r="AV129" i="12"/>
  <c r="AS129" i="12"/>
  <c r="AY127" i="12"/>
  <c r="K11" i="13" s="1"/>
  <c r="AS128" i="12"/>
  <c r="AS40" i="12"/>
  <c r="J6" i="13"/>
  <c r="AV38" i="12"/>
  <c r="AV40" i="12" s="1"/>
  <c r="J4" i="13"/>
  <c r="AV6" i="12"/>
  <c r="AY67" i="12"/>
  <c r="BB67" i="12" s="1"/>
  <c r="L7" i="13" s="1"/>
  <c r="BE67" i="12"/>
  <c r="M7" i="13" s="1"/>
  <c r="AV70" i="12"/>
  <c r="I7" i="13"/>
  <c r="AS8" i="12"/>
  <c r="AK44" i="12"/>
  <c r="BE35" i="12"/>
  <c r="BH35" i="12" s="1"/>
  <c r="R38" i="12"/>
  <c r="AL14" i="12"/>
  <c r="BE7" i="12"/>
  <c r="M5" i="13" s="1"/>
  <c r="AK14" i="12"/>
  <c r="BE5" i="12"/>
  <c r="AS6" i="12"/>
  <c r="I4" i="13"/>
  <c r="AY5" i="12"/>
  <c r="AV7" i="12"/>
  <c r="I14" i="12"/>
  <c r="AS9" i="12"/>
  <c r="AY68" i="12"/>
  <c r="AL36" i="14"/>
  <c r="BE70" i="12"/>
  <c r="AV69" i="12"/>
  <c r="J7" i="13"/>
  <c r="J16" i="13" s="1"/>
  <c r="K16" i="13" s="1"/>
  <c r="L16" i="13" s="1"/>
  <c r="AS39" i="12"/>
  <c r="I6" i="13"/>
  <c r="AY37" i="12"/>
  <c r="AV39" i="12"/>
  <c r="G46" i="1"/>
  <c r="G67" i="6" s="1"/>
  <c r="H46" i="1"/>
  <c r="H67" i="6" s="1"/>
  <c r="I46" i="1"/>
  <c r="I67" i="6" s="1"/>
  <c r="J46" i="1"/>
  <c r="J67" i="6" s="1"/>
  <c r="AY247" i="12" l="1"/>
  <c r="AS249" i="12"/>
  <c r="BE248" i="12"/>
  <c r="M21" i="13"/>
  <c r="K21" i="13"/>
  <c r="L21" i="13"/>
  <c r="BH246" i="12"/>
  <c r="AY248" i="12"/>
  <c r="BE218" i="12"/>
  <c r="M17" i="13"/>
  <c r="BB216" i="12"/>
  <c r="L17" i="13" s="1"/>
  <c r="BH216" i="12"/>
  <c r="AY218" i="12"/>
  <c r="AY217" i="12"/>
  <c r="AS219" i="12"/>
  <c r="BE188" i="12"/>
  <c r="M15" i="13"/>
  <c r="M16" i="13" s="1"/>
  <c r="N16" i="13" s="1"/>
  <c r="O16" i="13" s="1"/>
  <c r="BB186" i="12"/>
  <c r="L15" i="13" s="1"/>
  <c r="BH186" i="12"/>
  <c r="AY188" i="12"/>
  <c r="AY187" i="12"/>
  <c r="AS189" i="12"/>
  <c r="BE159" i="12"/>
  <c r="BB157" i="12"/>
  <c r="L12" i="13" s="1"/>
  <c r="K12" i="13"/>
  <c r="BH157" i="12"/>
  <c r="AY159" i="12"/>
  <c r="AY158" i="12"/>
  <c r="AS160" i="12"/>
  <c r="BE129" i="12"/>
  <c r="BH125" i="12"/>
  <c r="AY128" i="12"/>
  <c r="AS130" i="12"/>
  <c r="AY129" i="12"/>
  <c r="BH127" i="12"/>
  <c r="N11" i="13" s="1"/>
  <c r="O11" i="13" s="1"/>
  <c r="BB127" i="12"/>
  <c r="L11" i="13" s="1"/>
  <c r="AY6" i="12"/>
  <c r="K7" i="13"/>
  <c r="BH67" i="12"/>
  <c r="N7" i="13" s="1"/>
  <c r="O7" i="13" s="1"/>
  <c r="AY38" i="12"/>
  <c r="AY40" i="12" s="1"/>
  <c r="BE69" i="12"/>
  <c r="AY7" i="12"/>
  <c r="AY9" i="12" s="1"/>
  <c r="AV8" i="12"/>
  <c r="AV10" i="12" s="1"/>
  <c r="BE39" i="12"/>
  <c r="BE38" i="12"/>
  <c r="BE9" i="12"/>
  <c r="BE6" i="12"/>
  <c r="BE10" i="12" s="1"/>
  <c r="M4" i="13"/>
  <c r="BB5" i="12"/>
  <c r="L4" i="13" s="1"/>
  <c r="BH5" i="12"/>
  <c r="N4" i="13" s="1"/>
  <c r="O4" i="13" s="1"/>
  <c r="K4" i="13"/>
  <c r="AS10" i="12"/>
  <c r="J5" i="13"/>
  <c r="AV9" i="12"/>
  <c r="I5" i="13"/>
  <c r="BH68" i="12"/>
  <c r="BB37" i="12"/>
  <c r="L6" i="13" s="1"/>
  <c r="K6" i="13"/>
  <c r="BH37" i="12"/>
  <c r="AY39" i="12"/>
  <c r="AG70" i="6"/>
  <c r="AG68" i="6"/>
  <c r="AG67" i="6"/>
  <c r="AG69" i="6"/>
  <c r="AE68" i="6"/>
  <c r="AE69" i="6"/>
  <c r="AE67" i="6"/>
  <c r="R67" i="6"/>
  <c r="AE70" i="6"/>
  <c r="AD68" i="6"/>
  <c r="AD70" i="6"/>
  <c r="AD67" i="6"/>
  <c r="AD69" i="6"/>
  <c r="S67" i="6"/>
  <c r="M67" i="6"/>
  <c r="K67" i="6"/>
  <c r="AF70" i="6"/>
  <c r="AF67" i="6"/>
  <c r="AF68" i="6"/>
  <c r="AF69" i="6"/>
  <c r="T67" i="6"/>
  <c r="N21" i="13" l="1"/>
  <c r="O21" i="13" s="1"/>
  <c r="BH248" i="12"/>
  <c r="BH247" i="12"/>
  <c r="BH249" i="12" s="1"/>
  <c r="AY249" i="12"/>
  <c r="BH218" i="12"/>
  <c r="N17" i="13"/>
  <c r="O17" i="13" s="1"/>
  <c r="BH217" i="12"/>
  <c r="BH219" i="12" s="1"/>
  <c r="AY219" i="12"/>
  <c r="BH188" i="12"/>
  <c r="N15" i="13"/>
  <c r="O15" i="13" s="1"/>
  <c r="BH187" i="12"/>
  <c r="BH189" i="12" s="1"/>
  <c r="AY189" i="12"/>
  <c r="BH159" i="12"/>
  <c r="N12" i="13"/>
  <c r="O12" i="13" s="1"/>
  <c r="BH158" i="12"/>
  <c r="BH160" i="12" s="1"/>
  <c r="AY160" i="12"/>
  <c r="BH129" i="12"/>
  <c r="AY8" i="12"/>
  <c r="BH8" i="12" s="1"/>
  <c r="BH128" i="12"/>
  <c r="BH130" i="12" s="1"/>
  <c r="AY130" i="12"/>
  <c r="K5" i="13"/>
  <c r="BH7" i="12"/>
  <c r="N5" i="13" s="1"/>
  <c r="O5" i="13" s="1"/>
  <c r="BB7" i="12"/>
  <c r="L5" i="13" s="1"/>
  <c r="BE40" i="12"/>
  <c r="BH38" i="12"/>
  <c r="BH40" i="12" s="1"/>
  <c r="BH6" i="12"/>
  <c r="N6" i="13"/>
  <c r="O6" i="13" s="1"/>
  <c r="BH39" i="12"/>
  <c r="AH68" i="6"/>
  <c r="AH67" i="6"/>
  <c r="AI67" i="6" s="1"/>
  <c r="L67" i="6"/>
  <c r="AH69" i="6"/>
  <c r="AH70" i="6"/>
  <c r="W67" i="6"/>
  <c r="U67" i="6"/>
  <c r="V67" i="6" s="1"/>
  <c r="BH10" i="12" l="1"/>
  <c r="AY10" i="12"/>
  <c r="BH9" i="12"/>
  <c r="AC76" i="12"/>
  <c r="AC85" i="12" s="1"/>
  <c r="AB74" i="12" l="1"/>
  <c r="AS65" i="12"/>
  <c r="AB85" i="12"/>
  <c r="AS66" i="12" l="1"/>
  <c r="AS69" i="12"/>
  <c r="AY65" i="12"/>
  <c r="AY69" i="12" l="1"/>
  <c r="BH65" i="12"/>
  <c r="BH69" i="12" s="1"/>
  <c r="AY66" i="12"/>
  <c r="AS70" i="12"/>
  <c r="AY70" i="12" l="1"/>
  <c r="BH66" i="12"/>
  <c r="BH70" i="12" s="1"/>
</calcChain>
</file>

<file path=xl/sharedStrings.xml><?xml version="1.0" encoding="utf-8"?>
<sst xmlns="http://schemas.openxmlformats.org/spreadsheetml/2006/main" count="2475" uniqueCount="298">
  <si>
    <t>Oolio Group COA by BU by Card Type – Feb-25 - Adyen Advanced</t>
  </si>
  <si>
    <t>COA</t>
  </si>
  <si>
    <t>Amex/JCB</t>
  </si>
  <si>
    <t>EFTPOS</t>
  </si>
  <si>
    <t>VC/MC Domestic Credit</t>
  </si>
  <si>
    <t>VC/MC Domestic Debit</t>
  </si>
  <si>
    <t>VC/MC Premium Credit</t>
  </si>
  <si>
    <t>VC/MC Premium Debit</t>
  </si>
  <si>
    <t>VC/MC Int. Credit</t>
  </si>
  <si>
    <t>VC/MC Int. Debit</t>
  </si>
  <si>
    <t>Total</t>
  </si>
  <si>
    <t>% Of Total TTV</t>
  </si>
  <si>
    <t>Business Unit</t>
  </si>
  <si>
    <t>COA (ex GST)</t>
  </si>
  <si>
    <t>COA Ex GST)</t>
  </si>
  <si>
    <t>%</t>
  </si>
  <si>
    <t>Bepoz</t>
  </si>
  <si>
    <t>% of COA</t>
  </si>
  <si>
    <t>COGS%</t>
  </si>
  <si>
    <t>Deliverit</t>
  </si>
  <si>
    <t>Ordermate</t>
  </si>
  <si>
    <t>SwiftPOS</t>
  </si>
  <si>
    <t>SwiftPOS Reseller</t>
  </si>
  <si>
    <t>IdealPOS</t>
  </si>
  <si>
    <t>IdealPOS Reseller</t>
  </si>
  <si>
    <t>Oolio Platform</t>
  </si>
  <si>
    <t>Oolio Pay</t>
  </si>
  <si>
    <t>Other</t>
  </si>
  <si>
    <t>Bepoz - NZ</t>
  </si>
  <si>
    <t>Bepoz - UK</t>
  </si>
  <si>
    <t>GolfboxPay</t>
  </si>
  <si>
    <t>IdealPOS Reseller - NZ</t>
  </si>
  <si>
    <t>Oolio Platform - UK</t>
  </si>
  <si>
    <t>SwiftPOS - EU</t>
  </si>
  <si>
    <t>SwiftPOS - UK</t>
  </si>
  <si>
    <t>SOURCE : Cost of Acceptance report =work in progress</t>
  </si>
  <si>
    <t>Oolio Group COA by BU by Card Type – Feb-25 - Adyen Basic</t>
  </si>
  <si>
    <t>Oolio Group COA by BU by Card Type – Feb-25 -Wpay</t>
  </si>
  <si>
    <t>Oolio Group TTV by BU by Card Type – Feb-25 - Adyen Advanced</t>
  </si>
  <si>
    <t>GTV</t>
  </si>
  <si>
    <t>VC/MC Int.Debit</t>
  </si>
  <si>
    <t>TTV ($)</t>
  </si>
  <si>
    <t>% of TTV</t>
  </si>
  <si>
    <t>VC/MC International Credit</t>
  </si>
  <si>
    <t>VC/MC International Debit</t>
  </si>
  <si>
    <t>OTHER</t>
  </si>
  <si>
    <t>Oolio Group TTV by BU by Card Type – Feb-25 - Adyen Basic</t>
  </si>
  <si>
    <t>Oolio Group TTV by BU by Card Type – Feb-25 -Wpay</t>
  </si>
  <si>
    <t>Credit VISA</t>
  </si>
  <si>
    <t>Credit Master</t>
  </si>
  <si>
    <t>Debit VISA</t>
  </si>
  <si>
    <t>Debit Master</t>
  </si>
  <si>
    <t>Oolio Group MSF by BU by Card Type – Feb-25 - Adyen Advanced</t>
  </si>
  <si>
    <t>MSF</t>
  </si>
  <si>
    <t>MSF ($)</t>
  </si>
  <si>
    <t>MSF ( Ex GST)</t>
  </si>
  <si>
    <t>% of MSF</t>
  </si>
  <si>
    <t>Oolio Group MSF by BU by Card Type – Feb-25 - Adyen Basic</t>
  </si>
  <si>
    <t>Oolio Group MSF by BU by Card Type – Feb-25 - Wpay</t>
  </si>
  <si>
    <t>GP ($) by BU, by Card Type - Feb-25  Adyen Advanced</t>
  </si>
  <si>
    <t>GP($) by BU by Card Type Group</t>
  </si>
  <si>
    <t>GTV - GP</t>
  </si>
  <si>
    <t>EFTPOS &amp; Debit</t>
  </si>
  <si>
    <t>Credit Cards</t>
  </si>
  <si>
    <t>VC/MC Int.Credit &amp; Debit</t>
  </si>
  <si>
    <t>GTV - GP Bips</t>
  </si>
  <si>
    <t>Bepoz - GTV</t>
  </si>
  <si>
    <t>MSF Rate</t>
  </si>
  <si>
    <t>COGS</t>
  </si>
  <si>
    <t>GP</t>
  </si>
  <si>
    <t>GP -Bips</t>
  </si>
  <si>
    <t>DeliverIT</t>
  </si>
  <si>
    <t xml:space="preserve">SwiftPOS </t>
  </si>
  <si>
    <t>Total TTV</t>
  </si>
  <si>
    <t>GP%</t>
  </si>
  <si>
    <t>GP ($) by BU, by Card Type - Feb-25  Adyen basic</t>
  </si>
  <si>
    <t>Oolio Group GP by BU by Card Type – Feb-25 - Adyen Advanced</t>
  </si>
  <si>
    <t xml:space="preserve">Gross Profit </t>
  </si>
  <si>
    <t>GP Ex (GST)</t>
  </si>
  <si>
    <t>GP (%)</t>
  </si>
  <si>
    <t>% of Total GP</t>
  </si>
  <si>
    <t>Oolio Group GP by BU by Card Type – Feb-25 - Adyen Basic</t>
  </si>
  <si>
    <t>Oolio Group GP by BU by Card Type – Feb-25 -Wpay</t>
  </si>
  <si>
    <t>Annualized then blended weighted Monthly</t>
  </si>
  <si>
    <t xml:space="preserve">TTV ($) </t>
  </si>
  <si>
    <t>ATV ($)</t>
  </si>
  <si>
    <t>MSF (ex GST)</t>
  </si>
  <si>
    <t xml:space="preserve">COA </t>
  </si>
  <si>
    <t xml:space="preserve">Gross GP </t>
  </si>
  <si>
    <t>Pin Disc</t>
  </si>
  <si>
    <t xml:space="preserve">ADV+ Disc. </t>
  </si>
  <si>
    <t xml:space="preserve">Saas  Disc. </t>
  </si>
  <si>
    <t>Total Disc.</t>
  </si>
  <si>
    <t>Comms</t>
  </si>
  <si>
    <t xml:space="preserve">Net GP </t>
  </si>
  <si>
    <r>
      <t xml:space="preserve">MSF Bips </t>
    </r>
    <r>
      <rPr>
        <b/>
        <sz val="8"/>
        <color theme="0"/>
        <rFont val="Aptos Narrow"/>
        <family val="2"/>
      </rPr>
      <t>(ex GST)</t>
    </r>
  </si>
  <si>
    <t>COA  (Bips)</t>
  </si>
  <si>
    <t>Gross GP  (Bips)</t>
  </si>
  <si>
    <t>Comm Bips</t>
  </si>
  <si>
    <t>Adyen Card Mix</t>
  </si>
  <si>
    <t>SCENARIO : 1</t>
  </si>
  <si>
    <t>Surcharge Ban on EFTPOS and Debit Scheme Cards, MSF on Schemes the same</t>
  </si>
  <si>
    <t>Adyen  - Balance &amp; Managed</t>
  </si>
  <si>
    <t>Wpay</t>
  </si>
  <si>
    <t>Card Mix Weighting</t>
  </si>
  <si>
    <t>MSF Rate Bips</t>
  </si>
  <si>
    <t>COA Rate Bips</t>
  </si>
  <si>
    <t>Incentives Bips</t>
  </si>
  <si>
    <t>MSF Revenue</t>
  </si>
  <si>
    <t>GP  Before Incentives</t>
  </si>
  <si>
    <t>GP Rate  %</t>
  </si>
  <si>
    <t>Incentives</t>
  </si>
  <si>
    <t>GP After Incentives</t>
  </si>
  <si>
    <t>Benchmark</t>
  </si>
  <si>
    <t>Assumption (%)</t>
  </si>
  <si>
    <t xml:space="preserve">Assumption </t>
  </si>
  <si>
    <t>SaaS</t>
  </si>
  <si>
    <t xml:space="preserve">Bench Mark </t>
  </si>
  <si>
    <t>BA+</t>
  </si>
  <si>
    <t>Terminal Rental</t>
  </si>
  <si>
    <t>Credit ViSa</t>
  </si>
  <si>
    <t>Scenario 1</t>
  </si>
  <si>
    <t>Credit MC</t>
  </si>
  <si>
    <t>Net New Actives</t>
  </si>
  <si>
    <t>Variance</t>
  </si>
  <si>
    <t>Debit MC</t>
  </si>
  <si>
    <t>Bips</t>
  </si>
  <si>
    <t>* No Surcharging on Debit Cards, therefore Debit card MSF rate need to be market competitive</t>
  </si>
  <si>
    <t>Advance</t>
  </si>
  <si>
    <t>Basic</t>
  </si>
  <si>
    <t>Amex</t>
  </si>
  <si>
    <t>VC/MC  PemiumCredit</t>
  </si>
  <si>
    <t>VC/MC  Int. Credit</t>
  </si>
  <si>
    <t>VC/MC int.  Debit</t>
  </si>
  <si>
    <t>SCENARIO : 2</t>
  </si>
  <si>
    <t>Surcharge Ban on EFTPOS &amp; Scheme Debits but Increase MSF on Credit Cards</t>
  </si>
  <si>
    <t>Scenario 2</t>
  </si>
  <si>
    <t>* increased MSF on credit cards</t>
  </si>
  <si>
    <t>SCENARIO :3</t>
  </si>
  <si>
    <t>As per Scenario 1 and 2, but RBA places caps on Interchange fee. Currently sitting at 80 bips</t>
  </si>
  <si>
    <t xml:space="preserve">GP </t>
  </si>
  <si>
    <t>Assumption</t>
  </si>
  <si>
    <t>SCENARIO :4</t>
  </si>
  <si>
    <t>SCENARIO :5</t>
  </si>
  <si>
    <t>Scenario 3 with  % Card Mix move to Debit Cards</t>
  </si>
  <si>
    <t>SCENARIO :6</t>
  </si>
  <si>
    <t>Scenario 5 with % Churn</t>
  </si>
  <si>
    <t>SCENARIO :7</t>
  </si>
  <si>
    <t>scenerio 3 with incentives cut</t>
  </si>
  <si>
    <t>SCENARIO :9</t>
  </si>
  <si>
    <t>SCENARIO :10 CUSTOM</t>
  </si>
  <si>
    <t>SCENARIO : 10 CUSTOM</t>
  </si>
  <si>
    <t>Possible RBA Recommendations on Surcharging</t>
  </si>
  <si>
    <t>RBA Scenario</t>
  </si>
  <si>
    <t>No.</t>
  </si>
  <si>
    <t>.</t>
  </si>
  <si>
    <t>Description</t>
  </si>
  <si>
    <t>Impact</t>
  </si>
  <si>
    <t>GP After Incentives  %</t>
  </si>
  <si>
    <t>Scenario</t>
  </si>
  <si>
    <t>No change to Surcharging  - ( Benchmark)</t>
  </si>
  <si>
    <t>No change - Comparative Benchmark</t>
  </si>
  <si>
    <t>Scenario 0</t>
  </si>
  <si>
    <t>Surcharge Ban on EFTPOS and Domestic Debit Cards.  Oolio to keep MSF &amp; Surcharge Rate at the existing rate</t>
  </si>
  <si>
    <t>EFTPOS MSF will now need to compete on price.</t>
  </si>
  <si>
    <t>100% Ban on Surcharging on EFTPOS and Domestic Debit Cards &amp; ability to have higher surcharge on Credit Cards</t>
  </si>
  <si>
    <t>Compete on Price for EFTPOS and Debit Cards but increase MSF on Credit Cards as this can be surcharged</t>
  </si>
  <si>
    <t>Reduce COA on Credit Cards by upto 30 bips on premium and Int. Cards</t>
  </si>
  <si>
    <t>Scenario 3</t>
  </si>
  <si>
    <t xml:space="preserve">As per Scenario 1,  2 and 3 but RBA places banning bundling </t>
  </si>
  <si>
    <t>Effectively compete on price for every card type and remove incentives</t>
  </si>
  <si>
    <t>Scenario 4</t>
  </si>
  <si>
    <t>Consequential Scenario Impacts from Surcharge Bans</t>
  </si>
  <si>
    <t>Scenario 3 with % Card Mix move to Debit Cards from Credit Card</t>
  </si>
  <si>
    <t>Card Mix may alter towards EFTPOS &amp; Debt Cards and away from Credit Cards</t>
  </si>
  <si>
    <t>Scenario 5</t>
  </si>
  <si>
    <t>Scenario 5 with % Churn -</t>
  </si>
  <si>
    <t>May lose Pay merchants on Price as we cant compete on price.</t>
  </si>
  <si>
    <t>Scenario 6</t>
  </si>
  <si>
    <t>Mitigation Strategies</t>
  </si>
  <si>
    <t>Strategy</t>
  </si>
  <si>
    <t>Reduce the Incentives offer where bundling is still allowed</t>
  </si>
  <si>
    <t>Scenario 3 with incentives reduced</t>
  </si>
  <si>
    <t>Scenario 7</t>
  </si>
  <si>
    <t xml:space="preserve">Shift some Merchants from Ayden to Wpay </t>
  </si>
  <si>
    <t>Scenario 7 with % of merchants moved to Wpay</t>
  </si>
  <si>
    <t>Scenario 8</t>
  </si>
  <si>
    <t>Moving the processing of ALL Debit Cards</t>
  </si>
  <si>
    <t>Scenrio 7 with reductiont o ALL debits cards</t>
  </si>
  <si>
    <t>Scenario 9</t>
  </si>
  <si>
    <t>Custom Scenario</t>
  </si>
  <si>
    <t>Custom Scenrio</t>
  </si>
  <si>
    <t>Scenario 10</t>
  </si>
  <si>
    <t>KPI</t>
  </si>
  <si>
    <t>Yes</t>
  </si>
  <si>
    <t>Acquirer</t>
  </si>
  <si>
    <t>(All)</t>
  </si>
  <si>
    <t>Display</t>
  </si>
  <si>
    <t>Adyen Manage and Balance</t>
  </si>
  <si>
    <t>Last 6 months</t>
  </si>
  <si>
    <t>Adyen and Adyen Balance</t>
  </si>
  <si>
    <t>Month.</t>
  </si>
  <si>
    <t>33 - Sept 24</t>
  </si>
  <si>
    <t>34 - Oct 24</t>
  </si>
  <si>
    <t>35 - Nov 24</t>
  </si>
  <si>
    <t>36 - Dec 24</t>
  </si>
  <si>
    <t>37 - Jan 25</t>
  </si>
  <si>
    <t>38 - Feb 25</t>
  </si>
  <si>
    <t>Avg.</t>
  </si>
  <si>
    <t>Merchant Count</t>
  </si>
  <si>
    <t>MC/VS %</t>
  </si>
  <si>
    <t>Turnover in '000</t>
  </si>
  <si>
    <t>Eftpos %</t>
  </si>
  <si>
    <t>Avg. Ticket size</t>
  </si>
  <si>
    <t>Amex %</t>
  </si>
  <si>
    <t>Gross Margin %</t>
  </si>
  <si>
    <t>Avg Sales Bps</t>
  </si>
  <si>
    <t>Eftpos cost in Bps</t>
  </si>
  <si>
    <t>Margin in Bps - Ex GST</t>
  </si>
  <si>
    <t>MC &amp; VS cost in Bps - Ex GST</t>
  </si>
  <si>
    <t>Amex cost in Bps - Ex GST</t>
  </si>
  <si>
    <t>Total cost Bps - Ex GST</t>
  </si>
  <si>
    <t>MSF Revenue Ex GST in '000</t>
  </si>
  <si>
    <t>Cost in '000 Ex GST</t>
  </si>
  <si>
    <t>Last 6 Months</t>
  </si>
  <si>
    <t>WPAY KPI</t>
  </si>
  <si>
    <t>Month</t>
  </si>
  <si>
    <t>21 - Sept 24</t>
  </si>
  <si>
    <t>22 - Oct 24</t>
  </si>
  <si>
    <t>23 - Nov 24</t>
  </si>
  <si>
    <t>24 - Dec 24</t>
  </si>
  <si>
    <t>25 - Jan 25</t>
  </si>
  <si>
    <t>25 - Feb 25</t>
  </si>
  <si>
    <t>Avg</t>
  </si>
  <si>
    <t>Avg Sales Bps - Ex GST (Excluding Deliverit MOR)</t>
  </si>
  <si>
    <t>Avg Sales Bps - Ex GST (MoR)</t>
  </si>
  <si>
    <t>Total cost bps - Ex GST</t>
  </si>
  <si>
    <t>Total KPI (WPAY &amp; Adyen)</t>
  </si>
  <si>
    <t>26 - Feb 25</t>
  </si>
  <si>
    <t>Avg Sales in BPs - EX GST</t>
  </si>
  <si>
    <t>Adyen Advanced</t>
  </si>
  <si>
    <t>Adyen Basic</t>
  </si>
  <si>
    <t>Blended Adyen</t>
  </si>
  <si>
    <t>TTV / Merchant</t>
  </si>
  <si>
    <t>No. Tx</t>
  </si>
  <si>
    <t>Margin $</t>
  </si>
  <si>
    <t>Margin ($)</t>
  </si>
  <si>
    <t>Eftpos TTV</t>
  </si>
  <si>
    <t>Eftpos Revenue ($)</t>
  </si>
  <si>
    <t>Eftpos Revenue (%)</t>
  </si>
  <si>
    <t>Eftpos cost in ($)</t>
  </si>
  <si>
    <t>Eftpos cost in (%)</t>
  </si>
  <si>
    <t>MC &amp; VS cost ($) - Ex GST</t>
  </si>
  <si>
    <t>Amex  TTV ($)</t>
  </si>
  <si>
    <t>Amex Revenue  TTV ($)</t>
  </si>
  <si>
    <t>Amex Revenue (%) of TTV</t>
  </si>
  <si>
    <t>Amex cost in ($) - Ex GST</t>
  </si>
  <si>
    <t>Table : 1 A</t>
  </si>
  <si>
    <t>Card Mix by Card Type  Actual Feb 2025 - Adyen Advanced</t>
  </si>
  <si>
    <t>Card Mix by Card Type  Actual Feb 2024 - Adyen Advanced</t>
  </si>
  <si>
    <t>Table : 1 B</t>
  </si>
  <si>
    <t>Card Mix Summarized by Card Group Actual  Feb 2024</t>
  </si>
  <si>
    <t>Table : 1C</t>
  </si>
  <si>
    <t>Card Mix Summarized by Schemes  Feb 2024</t>
  </si>
  <si>
    <t>Card Mix</t>
  </si>
  <si>
    <t>TTV</t>
  </si>
  <si>
    <t>MSF Bips</t>
  </si>
  <si>
    <t>MSR Rev</t>
  </si>
  <si>
    <t>COA Bips</t>
  </si>
  <si>
    <t>GP Bips</t>
  </si>
  <si>
    <t>MC/VC Debit</t>
  </si>
  <si>
    <t>VC/MC Blended</t>
  </si>
  <si>
    <t>MC/VC Credit</t>
  </si>
  <si>
    <t>Mix between Advanced and Basic is materially similar</t>
  </si>
  <si>
    <t>Merchant Information</t>
  </si>
  <si>
    <t>Deal Evaluation</t>
  </si>
  <si>
    <t>USE CARD MIX?</t>
  </si>
  <si>
    <t>per tx</t>
  </si>
  <si>
    <t xml:space="preserve">ATV </t>
  </si>
  <si>
    <t xml:space="preserve">bips </t>
  </si>
  <si>
    <t>Monthly TTV [TTV]</t>
  </si>
  <si>
    <t>Revenue [$]</t>
  </si>
  <si>
    <t>ATV [$]</t>
  </si>
  <si>
    <t>Total Cost [$]</t>
  </si>
  <si>
    <t>Gross Profit [$]</t>
  </si>
  <si>
    <t>MSF Rate ex GST [%]</t>
  </si>
  <si>
    <t>No. of Terminals</t>
  </si>
  <si>
    <t>Software Subsidy</t>
  </si>
  <si>
    <t xml:space="preserve">$-   </t>
  </si>
  <si>
    <t>Other Subsidy</t>
  </si>
  <si>
    <t>COA by Card</t>
  </si>
  <si>
    <t>Rev By Card</t>
  </si>
  <si>
    <t>Bucket</t>
  </si>
  <si>
    <t>AMEX</t>
  </si>
  <si>
    <t>CREDIT - Visa</t>
  </si>
  <si>
    <t>CREDIT - Mastercard</t>
  </si>
  <si>
    <t>DEBIT - Visa</t>
  </si>
  <si>
    <t>DEBIT - 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</si>
</sst>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&quot;$&quot;* #,##0_-;\-&quot;$&quot;* #,##0_-;_-&quot;$&quot;* &quot;-&quot;??_-;_-@_-"/>
    <numFmt numFmtId="169" formatCode="_-* #,##0_-;\-* #,##0_-;_-* &quot;-&quot;??_-;_-@_-"/>
    <numFmt numFmtId="170" formatCode="_([$$-409]* #,##0.00_);_([$$-409]* \(#,##0.00\);_([$$-409]* &quot;-&quot;??_);_(@_)"/>
    <numFmt numFmtId="171" formatCode="#,##0.0"/>
    <numFmt numFmtId="172" formatCode="0.0%"/>
    <numFmt numFmtId="173" formatCode="&quot;$&quot;#,##0"/>
    <numFmt numFmtId="174" formatCode="_-&quot;$&quot;* #,##0.0000_-;\-&quot;$&quot;* #,##0.0000_-;_-&quot;$&quot;* &quot;-&quot;??_-;_-@_-"/>
  </numFmts>
  <fonts count="61" x14ac:knownFonts="1">
    <font>
      <sz val="11"/>
      <name val="Aptos Narrow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sz val="1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0"/>
      <color theme="0"/>
      <name val="Aptos Narrow"/>
      <family val="2"/>
    </font>
    <font>
      <sz val="10"/>
      <color theme="0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 Narrow"/>
      <family val="2"/>
    </font>
    <font>
      <b/>
      <sz val="16"/>
      <color theme="0"/>
      <name val="Aptos Narrow"/>
      <family val="2"/>
    </font>
    <font>
      <b/>
      <sz val="16"/>
      <color rgb="FF222222"/>
      <name val="Calibri"/>
      <family val="2"/>
    </font>
    <font>
      <sz val="16"/>
      <name val="Aptos Narrow"/>
      <family val="2"/>
    </font>
    <font>
      <b/>
      <sz val="8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6100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rgb="FF9C000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i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F4B084"/>
      <name val="Calibri"/>
      <family val="2"/>
    </font>
    <font>
      <sz val="10"/>
      <name val="Aptos Narrow"/>
      <family val="2"/>
    </font>
    <font>
      <sz val="14"/>
      <name val="Aptos Narrow"/>
      <family val="2"/>
    </font>
    <font>
      <b/>
      <sz val="14"/>
      <name val="Aptos Narrow"/>
      <family val="2"/>
    </font>
    <font>
      <b/>
      <sz val="14"/>
      <color theme="0"/>
      <name val="Aptos Narrow"/>
      <family val="2"/>
    </font>
    <font>
      <sz val="16"/>
      <color theme="0"/>
      <name val="Aptos Narrow"/>
      <family val="2"/>
    </font>
    <font>
      <b/>
      <sz val="10"/>
      <name val="Aptos Narrow"/>
      <family val="2"/>
    </font>
    <font>
      <sz val="9"/>
      <name val="Aptos Narrow"/>
      <family val="2"/>
    </font>
    <font>
      <b/>
      <sz val="18"/>
      <name val="Aptos Narrow"/>
      <family val="2"/>
    </font>
    <font>
      <sz val="12"/>
      <name val="Aptos Narrow"/>
    </font>
    <font>
      <sz val="11"/>
      <color theme="1"/>
      <name val="Aptos Narrow"/>
    </font>
    <font>
      <sz val="16"/>
      <color theme="1"/>
      <name val="Aptos Narrow"/>
      <family val="2"/>
    </font>
    <font>
      <b/>
      <sz val="16"/>
      <color theme="1"/>
      <name val="Aptos Narrow"/>
      <family val="2"/>
    </font>
    <font>
      <b/>
      <sz val="14"/>
      <color theme="1"/>
      <name val="Aptos Narrow"/>
      <family val="2"/>
    </font>
    <font>
      <sz val="14"/>
      <color theme="1"/>
      <name val="Aptos Narrow"/>
      <family val="2"/>
    </font>
    <font>
      <b/>
      <sz val="16"/>
      <color theme="1"/>
      <name val="Aptos Narrow"/>
    </font>
    <font>
      <sz val="12"/>
      <color theme="0"/>
      <name val="Aptos Narrow"/>
      <family val="2"/>
    </font>
    <font>
      <b/>
      <sz val="12"/>
      <color theme="0"/>
      <name val="Aptos Narrow"/>
      <family val="2"/>
    </font>
    <font>
      <sz val="12"/>
      <name val="Aptos Narrow"/>
      <family val="2"/>
    </font>
    <font>
      <sz val="8"/>
      <name val="Aptos Narrow"/>
    </font>
    <font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6"/>
      <name val="Aptos Narrow"/>
      <family val="2"/>
    </font>
    <font>
      <b/>
      <sz val="14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3F3F76"/>
      <name val="Aptos Narrow"/>
      <family val="2"/>
    </font>
    <font>
      <b/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FFFFFF"/>
      <name val="Aptos Narrow"/>
      <family val="2"/>
    </font>
    <font>
      <b/>
      <sz val="11"/>
      <color rgb="FFFFFFFF"/>
      <name val="Aptos Narrow"/>
      <family val="2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rgb="FFFFC7CE"/>
      </patternFill>
    </fill>
    <fill>
      <patternFill patternType="solid">
        <fgColor indexed="65"/>
        <bgColor rgb="FFFFEB9C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3C7D2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rgb="FF10486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3" tint="0.89999084444715716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3" fillId="0" borderId="0" applyFont="0" applyFill="0" applyBorder="0" applyAlignment="0" applyProtection="0"/>
    <xf numFmtId="0" fontId="14" fillId="0" borderId="0"/>
    <xf numFmtId="0" fontId="15" fillId="13" borderId="0" applyNumberFormat="0" applyBorder="0" applyAlignment="0" applyProtection="0"/>
    <xf numFmtId="0" fontId="18" fillId="11" borderId="0" applyNumberFormat="0" applyBorder="0" applyAlignment="0" applyProtection="0"/>
    <xf numFmtId="9" fontId="14" fillId="0" borderId="0" applyFont="0" applyFill="0" applyBorder="0" applyAlignment="0" applyProtection="0"/>
    <xf numFmtId="0" fontId="20" fillId="12" borderId="0" applyNumberFormat="0" applyBorder="0" applyAlignment="0" applyProtection="0"/>
  </cellStyleXfs>
  <cellXfs count="966">
    <xf numFmtId="0" fontId="0" fillId="0" borderId="0" xfId="0"/>
    <xf numFmtId="0" fontId="0" fillId="0" borderId="2" xfId="0" applyBorder="1"/>
    <xf numFmtId="0" fontId="5" fillId="0" borderId="0" xfId="0" applyFont="1"/>
    <xf numFmtId="10" fontId="0" fillId="0" borderId="0" xfId="2" applyNumberFormat="1" applyFont="1"/>
    <xf numFmtId="0" fontId="0" fillId="2" borderId="0" xfId="0" applyFill="1"/>
    <xf numFmtId="10" fontId="0" fillId="0" borderId="0" xfId="2" applyNumberFormat="1" applyFont="1" applyBorder="1"/>
    <xf numFmtId="168" fontId="0" fillId="2" borderId="0" xfId="1" applyNumberFormat="1" applyFont="1" applyFill="1" applyBorder="1"/>
    <xf numFmtId="168" fontId="0" fillId="0" borderId="0" xfId="1" applyNumberFormat="1" applyFont="1" applyBorder="1"/>
    <xf numFmtId="0" fontId="0" fillId="2" borderId="10" xfId="0" applyFill="1" applyBorder="1"/>
    <xf numFmtId="0" fontId="0" fillId="0" borderId="10" xfId="0" applyBorder="1"/>
    <xf numFmtId="168" fontId="0" fillId="2" borderId="0" xfId="0" applyNumberFormat="1" applyFill="1"/>
    <xf numFmtId="168" fontId="0" fillId="2" borderId="9" xfId="1" applyNumberFormat="1" applyFont="1" applyFill="1" applyBorder="1"/>
    <xf numFmtId="10" fontId="0" fillId="0" borderId="10" xfId="2" applyNumberFormat="1" applyFont="1" applyBorder="1"/>
    <xf numFmtId="168" fontId="0" fillId="2" borderId="10" xfId="1" applyNumberFormat="1" applyFont="1" applyFill="1" applyBorder="1"/>
    <xf numFmtId="168" fontId="0" fillId="2" borderId="10" xfId="0" applyNumberFormat="1" applyFill="1" applyBorder="1"/>
    <xf numFmtId="168" fontId="2" fillId="2" borderId="10" xfId="1" applyNumberFormat="1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1" xfId="0" applyFont="1" applyFill="1" applyBorder="1"/>
    <xf numFmtId="0" fontId="6" fillId="3" borderId="13" xfId="0" applyFont="1" applyFill="1" applyBorder="1"/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8" fillId="3" borderId="10" xfId="0" applyFont="1" applyFill="1" applyBorder="1"/>
    <xf numFmtId="0" fontId="8" fillId="3" borderId="0" xfId="0" applyFont="1" applyFill="1"/>
    <xf numFmtId="168" fontId="8" fillId="3" borderId="10" xfId="1" applyNumberFormat="1" applyFont="1" applyFill="1" applyBorder="1"/>
    <xf numFmtId="168" fontId="8" fillId="3" borderId="0" xfId="1" applyNumberFormat="1" applyFont="1" applyFill="1" applyBorder="1"/>
    <xf numFmtId="10" fontId="8" fillId="3" borderId="2" xfId="2" applyNumberFormat="1" applyFont="1" applyFill="1" applyBorder="1"/>
    <xf numFmtId="0" fontId="9" fillId="3" borderId="0" xfId="0" applyFont="1" applyFill="1"/>
    <xf numFmtId="10" fontId="9" fillId="3" borderId="11" xfId="2" applyNumberFormat="1" applyFont="1" applyFill="1" applyBorder="1"/>
    <xf numFmtId="10" fontId="9" fillId="3" borderId="1" xfId="2" applyNumberFormat="1" applyFont="1" applyFill="1" applyBorder="1"/>
    <xf numFmtId="0" fontId="9" fillId="3" borderId="8" xfId="0" applyFont="1" applyFill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9" fillId="3" borderId="15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8" fontId="2" fillId="0" borderId="2" xfId="1" applyNumberFormat="1" applyFont="1" applyBorder="1"/>
    <xf numFmtId="0" fontId="0" fillId="0" borderId="6" xfId="0" applyBorder="1"/>
    <xf numFmtId="0" fontId="8" fillId="3" borderId="11" xfId="0" applyFont="1" applyFill="1" applyBorder="1"/>
    <xf numFmtId="0" fontId="8" fillId="3" borderId="1" xfId="0" applyFont="1" applyFill="1" applyBorder="1"/>
    <xf numFmtId="168" fontId="8" fillId="3" borderId="1" xfId="0" applyNumberFormat="1" applyFont="1" applyFill="1" applyBorder="1"/>
    <xf numFmtId="168" fontId="8" fillId="3" borderId="8" xfId="0" applyNumberFormat="1" applyFont="1" applyFill="1" applyBorder="1"/>
    <xf numFmtId="168" fontId="2" fillId="2" borderId="2" xfId="1" applyNumberFormat="1" applyFont="1" applyFill="1" applyBorder="1"/>
    <xf numFmtId="0" fontId="4" fillId="0" borderId="0" xfId="3"/>
    <xf numFmtId="0" fontId="4" fillId="0" borderId="2" xfId="3" applyBorder="1"/>
    <xf numFmtId="168" fontId="4" fillId="0" borderId="0" xfId="3" applyNumberFormat="1"/>
    <xf numFmtId="0" fontId="6" fillId="3" borderId="2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2" borderId="4" xfId="3" applyFill="1" applyBorder="1"/>
    <xf numFmtId="0" fontId="4" fillId="0" borderId="6" xfId="3" applyBorder="1"/>
    <xf numFmtId="0" fontId="4" fillId="2" borderId="0" xfId="3" applyFill="1"/>
    <xf numFmtId="0" fontId="8" fillId="3" borderId="10" xfId="3" applyFont="1" applyFill="1" applyBorder="1"/>
    <xf numFmtId="0" fontId="8" fillId="3" borderId="0" xfId="3" applyFont="1" applyFill="1"/>
    <xf numFmtId="10" fontId="9" fillId="3" borderId="2" xfId="2" applyNumberFormat="1" applyFont="1" applyFill="1" applyBorder="1"/>
    <xf numFmtId="0" fontId="9" fillId="3" borderId="7" xfId="3" applyFont="1" applyFill="1" applyBorder="1"/>
    <xf numFmtId="0" fontId="9" fillId="3" borderId="1" xfId="3" applyFont="1" applyFill="1" applyBorder="1"/>
    <xf numFmtId="0" fontId="9" fillId="3" borderId="8" xfId="3" applyFont="1" applyFill="1" applyBorder="1"/>
    <xf numFmtId="0" fontId="9" fillId="3" borderId="0" xfId="3" applyFont="1" applyFill="1"/>
    <xf numFmtId="168" fontId="0" fillId="0" borderId="0" xfId="1" applyNumberFormat="1" applyFont="1"/>
    <xf numFmtId="168" fontId="2" fillId="0" borderId="0" xfId="1" applyNumberFormat="1" applyFont="1"/>
    <xf numFmtId="168" fontId="0" fillId="0" borderId="0" xfId="0" applyNumberFormat="1"/>
    <xf numFmtId="0" fontId="0" fillId="0" borderId="11" xfId="0" applyBorder="1"/>
    <xf numFmtId="0" fontId="0" fillId="2" borderId="4" xfId="0" applyFill="1" applyBorder="1"/>
    <xf numFmtId="168" fontId="0" fillId="2" borderId="4" xfId="1" applyNumberFormat="1" applyFont="1" applyFill="1" applyBorder="1"/>
    <xf numFmtId="10" fontId="9" fillId="3" borderId="8" xfId="2" applyNumberFormat="1" applyFont="1" applyFill="1" applyBorder="1"/>
    <xf numFmtId="0" fontId="6" fillId="3" borderId="0" xfId="0" applyFont="1" applyFill="1" applyAlignment="1">
      <alignment horizontal="center"/>
    </xf>
    <xf numFmtId="168" fontId="2" fillId="2" borderId="4" xfId="1" applyNumberFormat="1" applyFont="1" applyFill="1" applyBorder="1"/>
    <xf numFmtId="10" fontId="0" fillId="2" borderId="9" xfId="2" applyNumberFormat="1" applyFont="1" applyFill="1" applyBorder="1"/>
    <xf numFmtId="10" fontId="0" fillId="2" borderId="10" xfId="2" applyNumberFormat="1" applyFont="1" applyFill="1" applyBorder="1"/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8" fillId="3" borderId="12" xfId="0" applyFont="1" applyFill="1" applyBorder="1"/>
    <xf numFmtId="168" fontId="8" fillId="3" borderId="25" xfId="1" applyNumberFormat="1" applyFont="1" applyFill="1" applyBorder="1"/>
    <xf numFmtId="10" fontId="8" fillId="3" borderId="25" xfId="2" applyNumberFormat="1" applyFont="1" applyFill="1" applyBorder="1"/>
    <xf numFmtId="168" fontId="8" fillId="3" borderId="26" xfId="1" applyNumberFormat="1" applyFont="1" applyFill="1" applyBorder="1"/>
    <xf numFmtId="10" fontId="8" fillId="3" borderId="26" xfId="2" applyNumberFormat="1" applyFont="1" applyFill="1" applyBorder="1"/>
    <xf numFmtId="0" fontId="8" fillId="3" borderId="27" xfId="0" applyFont="1" applyFill="1" applyBorder="1"/>
    <xf numFmtId="10" fontId="9" fillId="3" borderId="24" xfId="2" applyNumberFormat="1" applyFont="1" applyFill="1" applyBorder="1"/>
    <xf numFmtId="0" fontId="6" fillId="3" borderId="2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8" fontId="8" fillId="3" borderId="23" xfId="1" applyNumberFormat="1" applyFont="1" applyFill="1" applyBorder="1"/>
    <xf numFmtId="0" fontId="6" fillId="3" borderId="25" xfId="0" applyFont="1" applyFill="1" applyBorder="1" applyAlignment="1">
      <alignment horizontal="center"/>
    </xf>
    <xf numFmtId="168" fontId="0" fillId="2" borderId="4" xfId="0" applyNumberFormat="1" applyFill="1" applyBorder="1"/>
    <xf numFmtId="0" fontId="0" fillId="5" borderId="1" xfId="0" applyFill="1" applyBorder="1"/>
    <xf numFmtId="0" fontId="0" fillId="5" borderId="0" xfId="0" applyFill="1"/>
    <xf numFmtId="168" fontId="0" fillId="2" borderId="9" xfId="0" applyNumberFormat="1" applyFill="1" applyBorder="1"/>
    <xf numFmtId="0" fontId="8" fillId="3" borderId="28" xfId="0" applyFont="1" applyFill="1" applyBorder="1"/>
    <xf numFmtId="10" fontId="9" fillId="3" borderId="5" xfId="2" applyNumberFormat="1" applyFont="1" applyFill="1" applyBorder="1"/>
    <xf numFmtId="0" fontId="0" fillId="6" borderId="10" xfId="0" applyFill="1" applyBorder="1"/>
    <xf numFmtId="0" fontId="0" fillId="6" borderId="0" xfId="0" applyFill="1"/>
    <xf numFmtId="10" fontId="0" fillId="6" borderId="10" xfId="2" applyNumberFormat="1" applyFont="1" applyFill="1" applyBorder="1"/>
    <xf numFmtId="0" fontId="0" fillId="6" borderId="11" xfId="0" applyFill="1" applyBorder="1"/>
    <xf numFmtId="0" fontId="0" fillId="6" borderId="1" xfId="0" applyFill="1" applyBorder="1"/>
    <xf numFmtId="10" fontId="0" fillId="6" borderId="11" xfId="2" applyNumberFormat="1" applyFont="1" applyFill="1" applyBorder="1"/>
    <xf numFmtId="10" fontId="0" fillId="6" borderId="0" xfId="2" applyNumberFormat="1" applyFont="1" applyFill="1" applyBorder="1"/>
    <xf numFmtId="0" fontId="0" fillId="6" borderId="2" xfId="0" applyFill="1" applyBorder="1"/>
    <xf numFmtId="168" fontId="0" fillId="6" borderId="8" xfId="1" applyNumberFormat="1" applyFont="1" applyFill="1" applyBorder="1"/>
    <xf numFmtId="0" fontId="2" fillId="6" borderId="13" xfId="0" applyFont="1" applyFill="1" applyBorder="1"/>
    <xf numFmtId="0" fontId="2" fillId="6" borderId="0" xfId="0" applyFont="1" applyFill="1"/>
    <xf numFmtId="10" fontId="2" fillId="6" borderId="24" xfId="2" applyNumberFormat="1" applyFont="1" applyFill="1" applyBorder="1"/>
    <xf numFmtId="10" fontId="2" fillId="6" borderId="21" xfId="2" applyNumberFormat="1" applyFont="1" applyFill="1" applyBorder="1"/>
    <xf numFmtId="10" fontId="2" fillId="6" borderId="8" xfId="2" applyNumberFormat="1" applyFont="1" applyFill="1" applyBorder="1"/>
    <xf numFmtId="9" fontId="0" fillId="0" borderId="0" xfId="2" applyFont="1"/>
    <xf numFmtId="10" fontId="0" fillId="6" borderId="21" xfId="2" applyNumberFormat="1" applyFont="1" applyFill="1" applyBorder="1"/>
    <xf numFmtId="168" fontId="0" fillId="0" borderId="10" xfId="1" applyNumberFormat="1" applyFont="1" applyBorder="1"/>
    <xf numFmtId="168" fontId="0" fillId="0" borderId="10" xfId="2" applyNumberFormat="1" applyFont="1" applyBorder="1"/>
    <xf numFmtId="0" fontId="6" fillId="3" borderId="27" xfId="0" applyFont="1" applyFill="1" applyBorder="1"/>
    <xf numFmtId="0" fontId="7" fillId="3" borderId="0" xfId="0" applyFont="1" applyFill="1"/>
    <xf numFmtId="168" fontId="2" fillId="2" borderId="9" xfId="1" applyNumberFormat="1" applyFont="1" applyFill="1" applyBorder="1"/>
    <xf numFmtId="168" fontId="0" fillId="5" borderId="11" xfId="1" applyNumberFormat="1" applyFont="1" applyFill="1" applyBorder="1"/>
    <xf numFmtId="168" fontId="0" fillId="5" borderId="11" xfId="2" applyNumberFormat="1" applyFont="1" applyFill="1" applyBorder="1"/>
    <xf numFmtId="168" fontId="0" fillId="5" borderId="10" xfId="1" applyNumberFormat="1" applyFont="1" applyFill="1" applyBorder="1"/>
    <xf numFmtId="168" fontId="0" fillId="5" borderId="6" xfId="1" applyNumberFormat="1" applyFont="1" applyFill="1" applyBorder="1"/>
    <xf numFmtId="168" fontId="0" fillId="5" borderId="0" xfId="2" applyNumberFormat="1" applyFont="1" applyFill="1" applyBorder="1"/>
    <xf numFmtId="168" fontId="9" fillId="3" borderId="0" xfId="1" applyNumberFormat="1" applyFont="1" applyFill="1" applyBorder="1"/>
    <xf numFmtId="0" fontId="9" fillId="3" borderId="10" xfId="0" applyFont="1" applyFill="1" applyBorder="1"/>
    <xf numFmtId="168" fontId="9" fillId="3" borderId="10" xfId="2" applyNumberFormat="1" applyFont="1" applyFill="1" applyBorder="1"/>
    <xf numFmtId="0" fontId="8" fillId="3" borderId="9" xfId="0" applyFont="1" applyFill="1" applyBorder="1"/>
    <xf numFmtId="0" fontId="8" fillId="3" borderId="4" xfId="0" applyFont="1" applyFill="1" applyBorder="1"/>
    <xf numFmtId="168" fontId="8" fillId="3" borderId="9" xfId="1" applyNumberFormat="1" applyFont="1" applyFill="1" applyBorder="1"/>
    <xf numFmtId="10" fontId="8" fillId="3" borderId="5" xfId="2" applyNumberFormat="1" applyFont="1" applyFill="1" applyBorder="1"/>
    <xf numFmtId="0" fontId="9" fillId="3" borderId="2" xfId="0" applyFont="1" applyFill="1" applyBorder="1"/>
    <xf numFmtId="0" fontId="9" fillId="5" borderId="1" xfId="0" applyFont="1" applyFill="1" applyBorder="1"/>
    <xf numFmtId="0" fontId="9" fillId="5" borderId="8" xfId="0" applyFont="1" applyFill="1" applyBorder="1"/>
    <xf numFmtId="168" fontId="0" fillId="5" borderId="0" xfId="1" applyNumberFormat="1" applyFont="1" applyFill="1" applyBorder="1"/>
    <xf numFmtId="168" fontId="0" fillId="5" borderId="10" xfId="2" applyNumberFormat="1" applyFont="1" applyFill="1" applyBorder="1"/>
    <xf numFmtId="168" fontId="8" fillId="3" borderId="4" xfId="1" applyNumberFormat="1" applyFont="1" applyFill="1" applyBorder="1"/>
    <xf numFmtId="168" fontId="9" fillId="3" borderId="10" xfId="1" applyNumberFormat="1" applyFont="1" applyFill="1" applyBorder="1"/>
    <xf numFmtId="0" fontId="9" fillId="3" borderId="4" xfId="0" applyFont="1" applyFill="1" applyBorder="1"/>
    <xf numFmtId="168" fontId="9" fillId="3" borderId="9" xfId="1" applyNumberFormat="1" applyFont="1" applyFill="1" applyBorder="1"/>
    <xf numFmtId="168" fontId="9" fillId="3" borderId="4" xfId="1" applyNumberFormat="1" applyFont="1" applyFill="1" applyBorder="1"/>
    <xf numFmtId="0" fontId="8" fillId="3" borderId="2" xfId="0" applyFont="1" applyFill="1" applyBorder="1"/>
    <xf numFmtId="10" fontId="0" fillId="5" borderId="11" xfId="2" applyNumberFormat="1" applyFont="1" applyFill="1" applyBorder="1"/>
    <xf numFmtId="10" fontId="9" fillId="3" borderId="10" xfId="2" applyNumberFormat="1" applyFont="1" applyFill="1" applyBorder="1"/>
    <xf numFmtId="166" fontId="0" fillId="0" borderId="0" xfId="1" applyFont="1"/>
    <xf numFmtId="166" fontId="0" fillId="0" borderId="0" xfId="0" applyNumberFormat="1"/>
    <xf numFmtId="0" fontId="8" fillId="3" borderId="31" xfId="0" applyFont="1" applyFill="1" applyBorder="1" applyAlignment="1">
      <alignment horizontal="center" wrapText="1"/>
    </xf>
    <xf numFmtId="168" fontId="0" fillId="7" borderId="6" xfId="1" applyNumberFormat="1" applyFont="1" applyFill="1" applyBorder="1"/>
    <xf numFmtId="166" fontId="0" fillId="7" borderId="0" xfId="1" applyFont="1" applyFill="1" applyBorder="1"/>
    <xf numFmtId="168" fontId="0" fillId="7" borderId="0" xfId="1" applyNumberFormat="1" applyFont="1" applyFill="1" applyBorder="1"/>
    <xf numFmtId="167" fontId="0" fillId="7" borderId="0" xfId="4" applyFont="1" applyFill="1" applyBorder="1"/>
    <xf numFmtId="167" fontId="0" fillId="8" borderId="0" xfId="4" applyFont="1" applyFill="1" applyBorder="1"/>
    <xf numFmtId="167" fontId="0" fillId="8" borderId="0" xfId="2" applyNumberFormat="1" applyFont="1" applyFill="1" applyBorder="1"/>
    <xf numFmtId="167" fontId="0" fillId="10" borderId="0" xfId="4" applyFont="1" applyFill="1" applyBorder="1"/>
    <xf numFmtId="168" fontId="0" fillId="9" borderId="0" xfId="1" applyNumberFormat="1" applyFont="1" applyFill="1" applyBorder="1"/>
    <xf numFmtId="167" fontId="0" fillId="7" borderId="2" xfId="4" applyFont="1" applyFill="1" applyBorder="1"/>
    <xf numFmtId="0" fontId="8" fillId="3" borderId="33" xfId="0" applyFont="1" applyFill="1" applyBorder="1" applyAlignment="1">
      <alignment horizontal="center" wrapText="1"/>
    </xf>
    <xf numFmtId="0" fontId="8" fillId="3" borderId="6" xfId="0" applyFont="1" applyFill="1" applyBorder="1"/>
    <xf numFmtId="0" fontId="8" fillId="3" borderId="37" xfId="0" applyFont="1" applyFill="1" applyBorder="1" applyAlignment="1">
      <alignment horizontal="center" wrapText="1"/>
    </xf>
    <xf numFmtId="167" fontId="0" fillId="0" borderId="0" xfId="4" applyFont="1"/>
    <xf numFmtId="168" fontId="0" fillId="9" borderId="10" xfId="1" applyNumberFormat="1" applyFont="1" applyFill="1" applyBorder="1"/>
    <xf numFmtId="0" fontId="0" fillId="9" borderId="10" xfId="0" applyFill="1" applyBorder="1"/>
    <xf numFmtId="168" fontId="2" fillId="7" borderId="30" xfId="1" applyNumberFormat="1" applyFont="1" applyFill="1" applyBorder="1"/>
    <xf numFmtId="166" fontId="2" fillId="7" borderId="31" xfId="1" applyFont="1" applyFill="1" applyBorder="1"/>
    <xf numFmtId="168" fontId="2" fillId="7" borderId="31" xfId="1" applyNumberFormat="1" applyFont="1" applyFill="1" applyBorder="1"/>
    <xf numFmtId="168" fontId="2" fillId="9" borderId="31" xfId="1" applyNumberFormat="1" applyFont="1" applyFill="1" applyBorder="1"/>
    <xf numFmtId="168" fontId="2" fillId="9" borderId="32" xfId="1" applyNumberFormat="1" applyFont="1" applyFill="1" applyBorder="1"/>
    <xf numFmtId="167" fontId="2" fillId="7" borderId="31" xfId="4" applyFont="1" applyFill="1" applyBorder="1"/>
    <xf numFmtId="167" fontId="2" fillId="8" borderId="31" xfId="4" applyFont="1" applyFill="1" applyBorder="1"/>
    <xf numFmtId="0" fontId="0" fillId="9" borderId="29" xfId="0" applyFill="1" applyBorder="1"/>
    <xf numFmtId="168" fontId="0" fillId="7" borderId="22" xfId="1" applyNumberFormat="1" applyFont="1" applyFill="1" applyBorder="1"/>
    <xf numFmtId="167" fontId="0" fillId="7" borderId="31" xfId="4" applyFont="1" applyFill="1" applyBorder="1"/>
    <xf numFmtId="167" fontId="0" fillId="9" borderId="10" xfId="4" applyFont="1" applyFill="1" applyBorder="1"/>
    <xf numFmtId="167" fontId="0" fillId="9" borderId="29" xfId="4" applyFont="1" applyFill="1" applyBorder="1"/>
    <xf numFmtId="0" fontId="14" fillId="0" borderId="0" xfId="5"/>
    <xf numFmtId="10" fontId="14" fillId="0" borderId="0" xfId="5" applyNumberFormat="1"/>
    <xf numFmtId="172" fontId="14" fillId="0" borderId="0" xfId="5" applyNumberFormat="1"/>
    <xf numFmtId="169" fontId="14" fillId="0" borderId="0" xfId="5" applyNumberFormat="1"/>
    <xf numFmtId="169" fontId="14" fillId="14" borderId="0" xfId="5" applyNumberFormat="1" applyFill="1"/>
    <xf numFmtId="0" fontId="14" fillId="0" borderId="0" xfId="5" applyAlignment="1">
      <alignment horizontal="left"/>
    </xf>
    <xf numFmtId="172" fontId="15" fillId="13" borderId="38" xfId="6" applyNumberFormat="1" applyBorder="1" applyAlignment="1"/>
    <xf numFmtId="0" fontId="16" fillId="0" borderId="39" xfId="5" applyFont="1" applyBorder="1" applyAlignment="1">
      <alignment horizontal="left"/>
    </xf>
    <xf numFmtId="172" fontId="0" fillId="0" borderId="40" xfId="6" applyNumberFormat="1" applyFont="1" applyFill="1" applyBorder="1"/>
    <xf numFmtId="0" fontId="16" fillId="0" borderId="41" xfId="5" applyFont="1" applyBorder="1" applyAlignment="1">
      <alignment horizontal="left"/>
    </xf>
    <xf numFmtId="2" fontId="14" fillId="0" borderId="0" xfId="5" applyNumberFormat="1"/>
    <xf numFmtId="2" fontId="14" fillId="14" borderId="0" xfId="5" applyNumberFormat="1" applyFill="1"/>
    <xf numFmtId="172" fontId="17" fillId="0" borderId="42" xfId="5" applyNumberFormat="1" applyFont="1" applyBorder="1"/>
    <xf numFmtId="0" fontId="16" fillId="0" borderId="43" xfId="5" applyFont="1" applyBorder="1" applyAlignment="1">
      <alignment horizontal="left"/>
    </xf>
    <xf numFmtId="17" fontId="16" fillId="0" borderId="0" xfId="5" applyNumberFormat="1" applyFont="1"/>
    <xf numFmtId="172" fontId="15" fillId="13" borderId="38" xfId="6" applyNumberFormat="1" applyBorder="1"/>
    <xf numFmtId="0" fontId="16" fillId="0" borderId="44" xfId="5" applyFont="1" applyBorder="1" applyAlignment="1">
      <alignment horizontal="left"/>
    </xf>
    <xf numFmtId="10" fontId="14" fillId="14" borderId="0" xfId="5" applyNumberFormat="1" applyFill="1"/>
    <xf numFmtId="172" fontId="0" fillId="0" borderId="45" xfId="6" applyNumberFormat="1" applyFont="1" applyFill="1" applyBorder="1"/>
    <xf numFmtId="0" fontId="16" fillId="0" borderId="46" xfId="5" applyFont="1" applyBorder="1" applyAlignment="1">
      <alignment horizontal="left"/>
    </xf>
    <xf numFmtId="166" fontId="14" fillId="0" borderId="0" xfId="5" applyNumberFormat="1"/>
    <xf numFmtId="166" fontId="14" fillId="14" borderId="0" xfId="5" applyNumberFormat="1" applyFill="1"/>
    <xf numFmtId="166" fontId="15" fillId="0" borderId="0" xfId="5" applyNumberFormat="1" applyFont="1"/>
    <xf numFmtId="166" fontId="18" fillId="0" borderId="0" xfId="5" applyNumberFormat="1" applyFont="1"/>
    <xf numFmtId="172" fontId="17" fillId="0" borderId="47" xfId="5" applyNumberFormat="1" applyFont="1" applyBorder="1"/>
    <xf numFmtId="0" fontId="16" fillId="0" borderId="48" xfId="5" applyFont="1" applyBorder="1" applyAlignment="1">
      <alignment horizontal="left"/>
    </xf>
    <xf numFmtId="1" fontId="14" fillId="0" borderId="0" xfId="5" applyNumberFormat="1"/>
    <xf numFmtId="1" fontId="14" fillId="14" borderId="0" xfId="5" applyNumberFormat="1" applyFill="1"/>
    <xf numFmtId="0" fontId="14" fillId="0" borderId="0" xfId="5" pivotButton="1"/>
    <xf numFmtId="0" fontId="14" fillId="15" borderId="0" xfId="5" applyFill="1"/>
    <xf numFmtId="0" fontId="14" fillId="14" borderId="0" xfId="5" applyFill="1"/>
    <xf numFmtId="0" fontId="19" fillId="0" borderId="0" xfId="5" applyFont="1"/>
    <xf numFmtId="172" fontId="18" fillId="11" borderId="49" xfId="7" applyNumberFormat="1" applyBorder="1" applyAlignment="1"/>
    <xf numFmtId="0" fontId="15" fillId="13" borderId="0" xfId="6" applyNumberFormat="1"/>
    <xf numFmtId="0" fontId="20" fillId="16" borderId="0" xfId="5" applyFont="1" applyFill="1"/>
    <xf numFmtId="9" fontId="14" fillId="0" borderId="0" xfId="5" applyNumberFormat="1"/>
    <xf numFmtId="9" fontId="14" fillId="14" borderId="0" xfId="5" applyNumberFormat="1" applyFill="1"/>
    <xf numFmtId="10" fontId="21" fillId="0" borderId="0" xfId="5" applyNumberFormat="1" applyFont="1"/>
    <xf numFmtId="0" fontId="21" fillId="0" borderId="0" xfId="5" applyFont="1" applyAlignment="1">
      <alignment horizontal="left"/>
    </xf>
    <xf numFmtId="166" fontId="15" fillId="13" borderId="0" xfId="6" applyNumberFormat="1"/>
    <xf numFmtId="166" fontId="15" fillId="17" borderId="0" xfId="5" applyNumberFormat="1" applyFont="1" applyFill="1"/>
    <xf numFmtId="3" fontId="14" fillId="0" borderId="0" xfId="5" applyNumberFormat="1"/>
    <xf numFmtId="3" fontId="14" fillId="14" borderId="0" xfId="5" applyNumberFormat="1" applyFill="1"/>
    <xf numFmtId="9" fontId="0" fillId="0" borderId="0" xfId="8" applyFont="1"/>
    <xf numFmtId="172" fontId="0" fillId="0" borderId="45" xfId="6" applyNumberFormat="1" applyFont="1" applyFill="1" applyBorder="1" applyAlignment="1"/>
    <xf numFmtId="10" fontId="0" fillId="0" borderId="0" xfId="8" applyNumberFormat="1" applyFont="1"/>
    <xf numFmtId="4" fontId="14" fillId="0" borderId="0" xfId="5" applyNumberFormat="1"/>
    <xf numFmtId="4" fontId="14" fillId="14" borderId="0" xfId="5" applyNumberFormat="1" applyFill="1"/>
    <xf numFmtId="4" fontId="20" fillId="0" borderId="0" xfId="5" applyNumberFormat="1" applyFont="1"/>
    <xf numFmtId="0" fontId="22" fillId="0" borderId="0" xfId="5" applyFont="1"/>
    <xf numFmtId="0" fontId="16" fillId="0" borderId="0" xfId="5" applyFont="1" applyAlignment="1">
      <alignment horizontal="left"/>
    </xf>
    <xf numFmtId="4" fontId="14" fillId="0" borderId="0" xfId="5" applyNumberFormat="1" applyAlignment="1">
      <alignment horizontal="right"/>
    </xf>
    <xf numFmtId="4" fontId="14" fillId="14" borderId="0" xfId="5" applyNumberFormat="1" applyFill="1" applyAlignment="1">
      <alignment horizontal="right"/>
    </xf>
    <xf numFmtId="9" fontId="23" fillId="0" borderId="0" xfId="8" applyFont="1"/>
    <xf numFmtId="172" fontId="20" fillId="12" borderId="38" xfId="9" applyNumberFormat="1" applyBorder="1" applyAlignment="1"/>
    <xf numFmtId="170" fontId="14" fillId="0" borderId="0" xfId="5" applyNumberFormat="1"/>
    <xf numFmtId="170" fontId="15" fillId="13" borderId="0" xfId="5" applyNumberFormat="1" applyFont="1" applyFill="1"/>
    <xf numFmtId="170" fontId="15" fillId="0" borderId="0" xfId="5" applyNumberFormat="1" applyFont="1"/>
    <xf numFmtId="171" fontId="14" fillId="0" borderId="0" xfId="5" applyNumberFormat="1"/>
    <xf numFmtId="0" fontId="14" fillId="0" borderId="0" xfId="5" applyAlignment="1">
      <alignment horizontal="right"/>
    </xf>
    <xf numFmtId="0" fontId="21" fillId="0" borderId="0" xfId="5" applyFont="1"/>
    <xf numFmtId="0" fontId="16" fillId="0" borderId="0" xfId="5" applyFont="1"/>
    <xf numFmtId="169" fontId="0" fillId="0" borderId="0" xfId="4" applyNumberFormat="1" applyFont="1"/>
    <xf numFmtId="10" fontId="0" fillId="0" borderId="0" xfId="0" applyNumberFormat="1"/>
    <xf numFmtId="3" fontId="0" fillId="0" borderId="0" xfId="0" applyNumberFormat="1"/>
    <xf numFmtId="3" fontId="0" fillId="14" borderId="0" xfId="0" applyNumberFormat="1" applyFill="1"/>
    <xf numFmtId="0" fontId="16" fillId="7" borderId="0" xfId="5" applyFont="1" applyFill="1" applyAlignment="1">
      <alignment horizontal="left"/>
    </xf>
    <xf numFmtId="0" fontId="1" fillId="0" borderId="0" xfId="5" applyFont="1" applyAlignment="1">
      <alignment horizontal="left"/>
    </xf>
    <xf numFmtId="0" fontId="0" fillId="8" borderId="0" xfId="0" applyFill="1"/>
    <xf numFmtId="167" fontId="0" fillId="8" borderId="0" xfId="0" applyNumberFormat="1" applyFill="1"/>
    <xf numFmtId="168" fontId="0" fillId="8" borderId="0" xfId="1" applyNumberFormat="1" applyFont="1" applyFill="1"/>
    <xf numFmtId="168" fontId="0" fillId="8" borderId="0" xfId="0" applyNumberFormat="1" applyFill="1"/>
    <xf numFmtId="169" fontId="0" fillId="0" borderId="0" xfId="0" applyNumberFormat="1"/>
    <xf numFmtId="0" fontId="17" fillId="0" borderId="0" xfId="0" applyFont="1"/>
    <xf numFmtId="0" fontId="24" fillId="18" borderId="0" xfId="0" applyFont="1" applyFill="1"/>
    <xf numFmtId="0" fontId="25" fillId="18" borderId="0" xfId="0" applyFont="1" applyFill="1"/>
    <xf numFmtId="17" fontId="26" fillId="0" borderId="0" xfId="0" applyNumberFormat="1" applyFont="1"/>
    <xf numFmtId="15" fontId="25" fillId="18" borderId="0" xfId="0" applyNumberFormat="1" applyFont="1" applyFill="1"/>
    <xf numFmtId="0" fontId="26" fillId="0" borderId="43" xfId="0" applyFont="1" applyBorder="1" applyAlignment="1">
      <alignment horizontal="left"/>
    </xf>
    <xf numFmtId="10" fontId="17" fillId="0" borderId="42" xfId="0" applyNumberFormat="1" applyFont="1" applyBorder="1"/>
    <xf numFmtId="0" fontId="17" fillId="19" borderId="0" xfId="0" applyFont="1" applyFill="1"/>
    <xf numFmtId="0" fontId="26" fillId="0" borderId="41" xfId="0" applyFont="1" applyBorder="1" applyAlignment="1">
      <alignment horizontal="left"/>
    </xf>
    <xf numFmtId="10" fontId="17" fillId="0" borderId="40" xfId="0" applyNumberFormat="1" applyFont="1" applyBorder="1"/>
    <xf numFmtId="3" fontId="17" fillId="0" borderId="0" xfId="0" applyNumberFormat="1" applyFont="1"/>
    <xf numFmtId="3" fontId="17" fillId="19" borderId="0" xfId="0" applyNumberFormat="1" applyFont="1" applyFill="1"/>
    <xf numFmtId="0" fontId="26" fillId="0" borderId="39" xfId="0" applyFont="1" applyBorder="1" applyAlignment="1">
      <alignment horizontal="left"/>
    </xf>
    <xf numFmtId="10" fontId="27" fillId="20" borderId="49" xfId="0" applyNumberFormat="1" applyFont="1" applyFill="1" applyBorder="1"/>
    <xf numFmtId="165" fontId="17" fillId="0" borderId="0" xfId="0" applyNumberFormat="1" applyFont="1"/>
    <xf numFmtId="165" fontId="28" fillId="17" borderId="0" xfId="0" applyNumberFormat="1" applyFont="1" applyFill="1"/>
    <xf numFmtId="165" fontId="28" fillId="21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9" fontId="17" fillId="0" borderId="0" xfId="0" applyNumberFormat="1" applyFont="1"/>
    <xf numFmtId="9" fontId="17" fillId="19" borderId="0" xfId="0" applyNumberFormat="1" applyFont="1" applyFill="1"/>
    <xf numFmtId="0" fontId="30" fillId="16" borderId="0" xfId="0" applyFont="1" applyFill="1"/>
    <xf numFmtId="0" fontId="28" fillId="21" borderId="0" xfId="0" applyFont="1" applyFill="1"/>
    <xf numFmtId="0" fontId="31" fillId="0" borderId="0" xfId="0" applyFont="1"/>
    <xf numFmtId="0" fontId="2" fillId="2" borderId="9" xfId="0" applyFont="1" applyFill="1" applyBorder="1"/>
    <xf numFmtId="0" fontId="3" fillId="0" borderId="0" xfId="0" applyFont="1"/>
    <xf numFmtId="0" fontId="2" fillId="2" borderId="3" xfId="0" applyFont="1" applyFill="1" applyBorder="1"/>
    <xf numFmtId="0" fontId="0" fillId="0" borderId="0" xfId="0" applyAlignment="1">
      <alignment horizontal="center"/>
    </xf>
    <xf numFmtId="9" fontId="0" fillId="22" borderId="0" xfId="2" applyFont="1" applyFill="1"/>
    <xf numFmtId="0" fontId="2" fillId="0" borderId="0" xfId="0" applyFont="1"/>
    <xf numFmtId="9" fontId="2" fillId="0" borderId="0" xfId="2" applyFont="1"/>
    <xf numFmtId="0" fontId="2" fillId="0" borderId="0" xfId="0" applyFont="1" applyAlignment="1">
      <alignment horizontal="center"/>
    </xf>
    <xf numFmtId="0" fontId="2" fillId="22" borderId="0" xfId="0" applyFont="1" applyFill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22" borderId="0" xfId="4" applyNumberFormat="1" applyFont="1" applyFill="1"/>
    <xf numFmtId="167" fontId="0" fillId="7" borderId="0" xfId="4" applyFont="1" applyFill="1"/>
    <xf numFmtId="10" fontId="0" fillId="7" borderId="0" xfId="0" applyNumberFormat="1" applyFill="1"/>
    <xf numFmtId="169" fontId="2" fillId="22" borderId="0" xfId="4" applyNumberFormat="1" applyFont="1" applyFill="1" applyAlignment="1">
      <alignment horizontal="center"/>
    </xf>
    <xf numFmtId="169" fontId="2" fillId="22" borderId="0" xfId="4" applyNumberFormat="1" applyFont="1" applyFill="1"/>
    <xf numFmtId="169" fontId="2" fillId="0" borderId="0" xfId="4" applyNumberFormat="1" applyFont="1"/>
    <xf numFmtId="0" fontId="0" fillId="0" borderId="0" xfId="0" applyAlignment="1">
      <alignment vertical="center"/>
    </xf>
    <xf numFmtId="167" fontId="0" fillId="0" borderId="0" xfId="4" applyFont="1" applyAlignment="1">
      <alignment vertical="center"/>
    </xf>
    <xf numFmtId="9" fontId="0" fillId="0" borderId="53" xfId="0" applyNumberFormat="1" applyBorder="1" applyAlignment="1">
      <alignment vertical="center"/>
    </xf>
    <xf numFmtId="0" fontId="0" fillId="0" borderId="53" xfId="0" applyBorder="1" applyAlignment="1">
      <alignment vertical="center"/>
    </xf>
    <xf numFmtId="10" fontId="0" fillId="23" borderId="50" xfId="2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" fontId="0" fillId="0" borderId="50" xfId="0" applyNumberFormat="1" applyBorder="1" applyAlignment="1">
      <alignment vertical="center"/>
    </xf>
    <xf numFmtId="2" fontId="0" fillId="5" borderId="50" xfId="0" applyNumberFormat="1" applyFill="1" applyBorder="1" applyAlignment="1">
      <alignment vertical="center"/>
    </xf>
    <xf numFmtId="2" fontId="0" fillId="6" borderId="50" xfId="0" applyNumberForma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168" fontId="0" fillId="0" borderId="0" xfId="1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7" fontId="0" fillId="7" borderId="0" xfId="0" applyNumberFormat="1" applyFill="1"/>
    <xf numFmtId="167" fontId="0" fillId="0" borderId="0" xfId="0" applyNumberFormat="1" applyAlignment="1">
      <alignment vertical="center"/>
    </xf>
    <xf numFmtId="10" fontId="0" fillId="0" borderId="50" xfId="4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6" borderId="51" xfId="0" applyNumberFormat="1" applyFill="1" applyBorder="1" applyAlignment="1">
      <alignment vertical="center"/>
    </xf>
    <xf numFmtId="2" fontId="0" fillId="6" borderId="53" xfId="0" applyNumberFormat="1" applyFill="1" applyBorder="1" applyAlignment="1">
      <alignment vertical="center"/>
    </xf>
    <xf numFmtId="167" fontId="0" fillId="5" borderId="51" xfId="4" applyFont="1" applyFill="1" applyBorder="1" applyAlignment="1">
      <alignment vertical="center"/>
    </xf>
    <xf numFmtId="2" fontId="0" fillId="5" borderId="53" xfId="0" applyNumberFormat="1" applyFill="1" applyBorder="1" applyAlignment="1">
      <alignment vertical="center"/>
    </xf>
    <xf numFmtId="10" fontId="0" fillId="23" borderId="51" xfId="0" applyNumberFormat="1" applyFill="1" applyBorder="1" applyAlignment="1">
      <alignment vertical="center"/>
    </xf>
    <xf numFmtId="10" fontId="0" fillId="23" borderId="53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57" xfId="0" applyFill="1" applyBorder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9" fontId="0" fillId="4" borderId="0" xfId="0" applyNumberFormat="1" applyFill="1" applyAlignment="1">
      <alignment vertical="center"/>
    </xf>
    <xf numFmtId="0" fontId="2" fillId="23" borderId="50" xfId="0" applyFont="1" applyFill="1" applyBorder="1" applyAlignment="1">
      <alignment vertical="center"/>
    </xf>
    <xf numFmtId="0" fontId="0" fillId="0" borderId="49" xfId="0" applyBorder="1"/>
    <xf numFmtId="0" fontId="2" fillId="4" borderId="0" xfId="0" applyFont="1" applyFill="1"/>
    <xf numFmtId="0" fontId="2" fillId="0" borderId="54" xfId="0" applyFont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70" xfId="0" applyFill="1" applyBorder="1" applyAlignment="1">
      <alignment vertical="center"/>
    </xf>
    <xf numFmtId="0" fontId="0" fillId="4" borderId="50" xfId="0" applyFill="1" applyBorder="1" applyAlignment="1">
      <alignment vertical="center" wrapText="1"/>
    </xf>
    <xf numFmtId="2" fontId="0" fillId="8" borderId="51" xfId="0" applyNumberFormat="1" applyFill="1" applyBorder="1" applyAlignment="1">
      <alignment vertical="center"/>
    </xf>
    <xf numFmtId="0" fontId="38" fillId="4" borderId="50" xfId="0" applyFont="1" applyFill="1" applyBorder="1" applyAlignment="1">
      <alignment vertical="center" wrapText="1"/>
    </xf>
    <xf numFmtId="167" fontId="0" fillId="4" borderId="71" xfId="4" applyFont="1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9" xfId="0" applyFill="1" applyBorder="1" applyAlignment="1">
      <alignment vertical="center"/>
    </xf>
    <xf numFmtId="2" fontId="0" fillId="8" borderId="50" xfId="0" applyNumberFormat="1" applyFill="1" applyBorder="1" applyAlignment="1">
      <alignment vertical="center"/>
    </xf>
    <xf numFmtId="0" fontId="0" fillId="4" borderId="55" xfId="0" applyFill="1" applyBorder="1" applyAlignment="1">
      <alignment vertical="center"/>
    </xf>
    <xf numFmtId="0" fontId="0" fillId="4" borderId="56" xfId="0" applyFill="1" applyBorder="1" applyAlignment="1">
      <alignment vertical="center"/>
    </xf>
    <xf numFmtId="168" fontId="0" fillId="24" borderId="0" xfId="0" applyNumberFormat="1" applyFill="1"/>
    <xf numFmtId="0" fontId="0" fillId="24" borderId="0" xfId="0" applyFill="1"/>
    <xf numFmtId="167" fontId="0" fillId="24" borderId="0" xfId="0" applyNumberFormat="1" applyFill="1" applyAlignment="1">
      <alignment vertical="center"/>
    </xf>
    <xf numFmtId="2" fontId="0" fillId="24" borderId="0" xfId="0" applyNumberFormat="1" applyFill="1"/>
    <xf numFmtId="166" fontId="0" fillId="24" borderId="0" xfId="0" applyNumberFormat="1" applyFill="1"/>
    <xf numFmtId="168" fontId="0" fillId="24" borderId="0" xfId="1" applyNumberFormat="1" applyFont="1" applyFill="1"/>
    <xf numFmtId="168" fontId="0" fillId="0" borderId="0" xfId="0" applyNumberFormat="1" applyAlignment="1">
      <alignment vertical="center"/>
    </xf>
    <xf numFmtId="168" fontId="0" fillId="23" borderId="0" xfId="0" applyNumberFormat="1" applyFill="1" applyAlignment="1">
      <alignment vertical="center"/>
    </xf>
    <xf numFmtId="168" fontId="0" fillId="5" borderId="0" xfId="0" applyNumberFormat="1" applyFill="1" applyAlignment="1">
      <alignment vertical="center"/>
    </xf>
    <xf numFmtId="166" fontId="0" fillId="6" borderId="0" xfId="0" applyNumberFormat="1" applyFill="1" applyAlignment="1">
      <alignment vertical="center"/>
    </xf>
    <xf numFmtId="167" fontId="0" fillId="8" borderId="69" xfId="0" applyNumberFormat="1" applyFill="1" applyBorder="1" applyAlignment="1">
      <alignment vertical="center"/>
    </xf>
    <xf numFmtId="0" fontId="0" fillId="0" borderId="58" xfId="0" applyBorder="1"/>
    <xf numFmtId="0" fontId="0" fillId="0" borderId="42" xfId="0" applyBorder="1"/>
    <xf numFmtId="0" fontId="0" fillId="0" borderId="40" xfId="0" applyBorder="1"/>
    <xf numFmtId="2" fontId="0" fillId="5" borderId="68" xfId="0" applyNumberFormat="1" applyFill="1" applyBorder="1" applyAlignment="1">
      <alignment vertical="center"/>
    </xf>
    <xf numFmtId="167" fontId="0" fillId="5" borderId="67" xfId="4" applyFont="1" applyFill="1" applyBorder="1" applyAlignment="1">
      <alignment vertical="center"/>
    </xf>
    <xf numFmtId="167" fontId="0" fillId="4" borderId="0" xfId="4" applyFont="1" applyFill="1" applyAlignment="1">
      <alignment horizontal="center" vertical="center"/>
    </xf>
    <xf numFmtId="167" fontId="0" fillId="4" borderId="0" xfId="4" applyFont="1" applyFill="1" applyAlignment="1">
      <alignment horizontal="center"/>
    </xf>
    <xf numFmtId="173" fontId="0" fillId="0" borderId="0" xfId="1" applyNumberFormat="1" applyFont="1" applyAlignment="1">
      <alignment horizontal="center" vertical="center"/>
    </xf>
    <xf numFmtId="173" fontId="0" fillId="8" borderId="0" xfId="1" applyNumberFormat="1" applyFont="1" applyFill="1" applyAlignment="1">
      <alignment horizontal="center" vertical="center"/>
    </xf>
    <xf numFmtId="173" fontId="0" fillId="8" borderId="0" xfId="1" applyNumberFormat="1" applyFont="1" applyFill="1" applyAlignment="1">
      <alignment horizontal="center"/>
    </xf>
    <xf numFmtId="167" fontId="0" fillId="6" borderId="51" xfId="4" applyFont="1" applyFill="1" applyBorder="1" applyAlignment="1">
      <alignment vertical="center"/>
    </xf>
    <xf numFmtId="0" fontId="0" fillId="0" borderId="43" xfId="0" applyBorder="1"/>
    <xf numFmtId="0" fontId="2" fillId="0" borderId="58" xfId="0" applyFont="1" applyBorder="1"/>
    <xf numFmtId="0" fontId="2" fillId="4" borderId="58" xfId="0" applyFont="1" applyFill="1" applyBorder="1"/>
    <xf numFmtId="0" fontId="0" fillId="4" borderId="58" xfId="0" applyFill="1" applyBorder="1"/>
    <xf numFmtId="168" fontId="0" fillId="0" borderId="41" xfId="1" applyNumberFormat="1" applyFont="1" applyBorder="1" applyAlignment="1">
      <alignment vertical="center"/>
    </xf>
    <xf numFmtId="167" fontId="0" fillId="0" borderId="0" xfId="4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167" fontId="0" fillId="4" borderId="0" xfId="4" applyFont="1" applyFill="1" applyBorder="1" applyAlignment="1">
      <alignment horizontal="center" vertical="center"/>
    </xf>
    <xf numFmtId="173" fontId="0" fillId="0" borderId="0" xfId="1" applyNumberFormat="1" applyFont="1" applyBorder="1" applyAlignment="1">
      <alignment horizontal="center" vertical="center"/>
    </xf>
    <xf numFmtId="173" fontId="0" fillId="8" borderId="0" xfId="1" applyNumberFormat="1" applyFont="1" applyFill="1" applyBorder="1" applyAlignment="1">
      <alignment horizontal="center" vertical="center"/>
    </xf>
    <xf numFmtId="167" fontId="0" fillId="4" borderId="0" xfId="4" applyFont="1" applyFill="1" applyBorder="1" applyAlignment="1">
      <alignment horizontal="center"/>
    </xf>
    <xf numFmtId="0" fontId="0" fillId="0" borderId="41" xfId="0" applyBorder="1"/>
    <xf numFmtId="168" fontId="0" fillId="24" borderId="41" xfId="0" applyNumberFormat="1" applyFill="1" applyBorder="1"/>
    <xf numFmtId="168" fontId="0" fillId="24" borderId="0" xfId="1" applyNumberFormat="1" applyFont="1" applyFill="1" applyBorder="1"/>
    <xf numFmtId="0" fontId="0" fillId="0" borderId="39" xfId="0" applyBorder="1"/>
    <xf numFmtId="0" fontId="0" fillId="0" borderId="57" xfId="0" applyBorder="1"/>
    <xf numFmtId="0" fontId="0" fillId="4" borderId="57" xfId="0" applyFill="1" applyBorder="1"/>
    <xf numFmtId="166" fontId="0" fillId="0" borderId="57" xfId="0" applyNumberFormat="1" applyBorder="1"/>
    <xf numFmtId="168" fontId="0" fillId="0" borderId="57" xfId="1" applyNumberFormat="1" applyFont="1" applyBorder="1"/>
    <xf numFmtId="0" fontId="0" fillId="4" borderId="53" xfId="0" applyFill="1" applyBorder="1" applyAlignment="1">
      <alignment vertical="center"/>
    </xf>
    <xf numFmtId="9" fontId="0" fillId="4" borderId="50" xfId="0" applyNumberFormat="1" applyFill="1" applyBorder="1" applyAlignment="1">
      <alignment vertical="center"/>
    </xf>
    <xf numFmtId="9" fontId="0" fillId="4" borderId="0" xfId="2" applyFont="1" applyFill="1"/>
    <xf numFmtId="13" fontId="3" fillId="4" borderId="0" xfId="0" applyNumberFormat="1" applyFont="1" applyFill="1"/>
    <xf numFmtId="0" fontId="34" fillId="4" borderId="0" xfId="0" applyFont="1" applyFill="1" applyAlignment="1">
      <alignment horizontal="center" vertical="center" textRotation="180"/>
    </xf>
    <xf numFmtId="0" fontId="34" fillId="22" borderId="55" xfId="0" applyFont="1" applyFill="1" applyBorder="1" applyAlignment="1">
      <alignment horizontal="center" vertical="center"/>
    </xf>
    <xf numFmtId="0" fontId="34" fillId="22" borderId="56" xfId="0" applyFont="1" applyFill="1" applyBorder="1" applyAlignment="1">
      <alignment horizontal="center" vertical="center" textRotation="180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46" fillId="4" borderId="0" xfId="0" applyFont="1" applyFill="1" applyAlignment="1">
      <alignment vertical="center" wrapText="1"/>
    </xf>
    <xf numFmtId="0" fontId="41" fillId="0" borderId="0" xfId="0" applyFont="1" applyAlignment="1">
      <alignment vertical="center"/>
    </xf>
    <xf numFmtId="0" fontId="36" fillId="4" borderId="0" xfId="0" applyFont="1" applyFill="1" applyAlignment="1">
      <alignment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28" borderId="0" xfId="0" applyFill="1" applyAlignment="1">
      <alignment vertical="center"/>
    </xf>
    <xf numFmtId="0" fontId="47" fillId="29" borderId="55" xfId="0" applyFont="1" applyFill="1" applyBorder="1" applyAlignment="1">
      <alignment vertical="center"/>
    </xf>
    <xf numFmtId="168" fontId="49" fillId="6" borderId="0" xfId="1" applyNumberFormat="1" applyFont="1" applyFill="1" applyAlignment="1">
      <alignment vertical="center"/>
    </xf>
    <xf numFmtId="10" fontId="49" fillId="6" borderId="0" xfId="0" applyNumberFormat="1" applyFont="1" applyFill="1" applyAlignment="1">
      <alignment vertical="center"/>
    </xf>
    <xf numFmtId="10" fontId="49" fillId="6" borderId="0" xfId="2" applyNumberFormat="1" applyFont="1" applyFill="1" applyAlignment="1">
      <alignment vertical="center"/>
    </xf>
    <xf numFmtId="10" fontId="40" fillId="7" borderId="0" xfId="2" applyNumberFormat="1" applyFont="1" applyFill="1" applyBorder="1" applyAlignment="1">
      <alignment vertical="center"/>
    </xf>
    <xf numFmtId="168" fontId="40" fillId="22" borderId="0" xfId="0" applyNumberFormat="1" applyFont="1" applyFill="1" applyAlignment="1">
      <alignment vertical="center"/>
    </xf>
    <xf numFmtId="0" fontId="40" fillId="2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9" fontId="9" fillId="10" borderId="0" xfId="2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167" fontId="0" fillId="8" borderId="50" xfId="4" applyFont="1" applyFill="1" applyBorder="1" applyAlignment="1">
      <alignment vertical="center"/>
    </xf>
    <xf numFmtId="167" fontId="0" fillId="4" borderId="0" xfId="4" applyFont="1" applyFill="1" applyAlignment="1">
      <alignment vertical="center"/>
    </xf>
    <xf numFmtId="168" fontId="49" fillId="7" borderId="0" xfId="1" applyNumberFormat="1" applyFont="1" applyFill="1" applyAlignment="1">
      <alignment vertical="center"/>
    </xf>
    <xf numFmtId="10" fontId="49" fillId="7" borderId="0" xfId="4" applyNumberFormat="1" applyFont="1" applyFill="1" applyAlignment="1">
      <alignment vertical="center"/>
    </xf>
    <xf numFmtId="168" fontId="47" fillId="29" borderId="55" xfId="1" applyNumberFormat="1" applyFont="1" applyFill="1" applyBorder="1" applyAlignment="1">
      <alignment vertical="center"/>
    </xf>
    <xf numFmtId="0" fontId="48" fillId="28" borderId="51" xfId="0" applyFont="1" applyFill="1" applyBorder="1" applyAlignment="1">
      <alignment horizontal="center" vertical="center"/>
    </xf>
    <xf numFmtId="0" fontId="47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 wrapText="1"/>
    </xf>
    <xf numFmtId="0" fontId="48" fillId="28" borderId="53" xfId="0" applyFont="1" applyFill="1" applyBorder="1" applyAlignment="1">
      <alignment horizontal="center" vertical="center" wrapText="1"/>
    </xf>
    <xf numFmtId="10" fontId="12" fillId="4" borderId="0" xfId="2" applyNumberFormat="1" applyFont="1" applyFill="1" applyBorder="1" applyAlignment="1">
      <alignment horizontal="center" vertical="center"/>
    </xf>
    <xf numFmtId="0" fontId="34" fillId="22" borderId="41" xfId="0" applyFont="1" applyFill="1" applyBorder="1" applyAlignment="1">
      <alignment horizontal="center" vertical="center" textRotation="180"/>
    </xf>
    <xf numFmtId="0" fontId="34" fillId="22" borderId="39" xfId="0" applyFont="1" applyFill="1" applyBorder="1" applyAlignment="1">
      <alignment horizontal="center" vertical="center" textRotation="180"/>
    </xf>
    <xf numFmtId="173" fontId="12" fillId="4" borderId="0" xfId="1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5" borderId="0" xfId="0" applyNumberFormat="1" applyFill="1"/>
    <xf numFmtId="2" fontId="0" fillId="5" borderId="0" xfId="0" applyNumberFormat="1" applyFill="1"/>
    <xf numFmtId="0" fontId="49" fillId="0" borderId="0" xfId="0" applyFont="1" applyAlignment="1">
      <alignment vertical="center" wrapText="1"/>
    </xf>
    <xf numFmtId="0" fontId="47" fillId="29" borderId="87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10" fontId="49" fillId="6" borderId="0" xfId="4" applyNumberFormat="1" applyFont="1" applyFill="1" applyAlignment="1">
      <alignment vertical="center"/>
    </xf>
    <xf numFmtId="169" fontId="49" fillId="6" borderId="0" xfId="4" applyNumberFormat="1" applyFont="1" applyFill="1" applyAlignment="1">
      <alignment vertical="center"/>
    </xf>
    <xf numFmtId="10" fontId="40" fillId="6" borderId="0" xfId="2" applyNumberFormat="1" applyFont="1" applyFill="1" applyBorder="1" applyAlignment="1">
      <alignment vertical="center"/>
    </xf>
    <xf numFmtId="10" fontId="36" fillId="4" borderId="0" xfId="2" applyNumberFormat="1" applyFont="1" applyFill="1" applyBorder="1" applyAlignment="1">
      <alignment horizontal="center" vertical="center"/>
    </xf>
    <xf numFmtId="173" fontId="36" fillId="4" borderId="0" xfId="1" applyNumberFormat="1" applyFont="1" applyFill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6" fillId="4" borderId="0" xfId="0" applyFont="1" applyFill="1" applyAlignment="1">
      <alignment vertical="center"/>
    </xf>
    <xf numFmtId="0" fontId="37" fillId="4" borderId="0" xfId="0" applyFont="1" applyFill="1" applyAlignment="1">
      <alignment horizontal="center" vertical="center"/>
    </xf>
    <xf numFmtId="173" fontId="12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center" vertical="center" textRotation="180"/>
    </xf>
    <xf numFmtId="0" fontId="33" fillId="4" borderId="0" xfId="0" applyFont="1" applyFill="1" applyAlignment="1">
      <alignment horizontal="center" vertical="center" textRotation="180"/>
    </xf>
    <xf numFmtId="168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8" fontId="0" fillId="5" borderId="0" xfId="1" applyNumberFormat="1" applyFont="1" applyFill="1" applyAlignment="1">
      <alignment horizontal="center"/>
    </xf>
    <xf numFmtId="167" fontId="0" fillId="0" borderId="0" xfId="4" applyFont="1" applyAlignment="1">
      <alignment horizontal="center"/>
    </xf>
    <xf numFmtId="168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50" xfId="0" applyFill="1" applyBorder="1" applyAlignment="1">
      <alignment horizontal="center"/>
    </xf>
    <xf numFmtId="173" fontId="0" fillId="0" borderId="0" xfId="1" applyNumberFormat="1" applyFont="1" applyAlignment="1">
      <alignment horizontal="center"/>
    </xf>
    <xf numFmtId="0" fontId="38" fillId="4" borderId="50" xfId="0" applyFont="1" applyFill="1" applyBorder="1" applyAlignment="1">
      <alignment horizontal="center" wrapText="1"/>
    </xf>
    <xf numFmtId="167" fontId="0" fillId="5" borderId="0" xfId="0" applyNumberFormat="1" applyFill="1" applyAlignment="1">
      <alignment horizontal="center"/>
    </xf>
    <xf numFmtId="0" fontId="51" fillId="30" borderId="85" xfId="0" applyFont="1" applyFill="1" applyBorder="1" applyAlignment="1">
      <alignment vertical="center"/>
    </xf>
    <xf numFmtId="0" fontId="53" fillId="0" borderId="0" xfId="0" applyFont="1"/>
    <xf numFmtId="0" fontId="53" fillId="4" borderId="0" xfId="0" applyFont="1" applyFill="1"/>
    <xf numFmtId="0" fontId="42" fillId="31" borderId="85" xfId="0" applyFont="1" applyFill="1" applyBorder="1" applyAlignment="1">
      <alignment vertical="center"/>
    </xf>
    <xf numFmtId="0" fontId="12" fillId="0" borderId="0" xfId="0" applyFont="1"/>
    <xf numFmtId="0" fontId="53" fillId="0" borderId="58" xfId="0" applyFont="1" applyBorder="1"/>
    <xf numFmtId="0" fontId="53" fillId="4" borderId="58" xfId="0" applyFont="1" applyFill="1" applyBorder="1"/>
    <xf numFmtId="168" fontId="52" fillId="23" borderId="85" xfId="0" applyNumberFormat="1" applyFont="1" applyFill="1" applyBorder="1" applyAlignment="1">
      <alignment vertical="center"/>
    </xf>
    <xf numFmtId="10" fontId="52" fillId="23" borderId="85" xfId="2" applyNumberFormat="1" applyFont="1" applyFill="1" applyBorder="1" applyAlignment="1">
      <alignment vertical="center"/>
    </xf>
    <xf numFmtId="168" fontId="52" fillId="23" borderId="85" xfId="1" applyNumberFormat="1" applyFont="1" applyFill="1" applyBorder="1" applyAlignment="1">
      <alignment vertical="center"/>
    </xf>
    <xf numFmtId="10" fontId="52" fillId="7" borderId="86" xfId="2" applyNumberFormat="1" applyFont="1" applyFill="1" applyBorder="1" applyAlignment="1">
      <alignment vertical="center"/>
    </xf>
    <xf numFmtId="168" fontId="52" fillId="6" borderId="85" xfId="0" applyNumberFormat="1" applyFont="1" applyFill="1" applyBorder="1" applyAlignment="1">
      <alignment vertical="center"/>
    </xf>
    <xf numFmtId="168" fontId="52" fillId="6" borderId="85" xfId="1" applyNumberFormat="1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10" fontId="52" fillId="6" borderId="85" xfId="0" applyNumberFormat="1" applyFont="1" applyFill="1" applyBorder="1" applyAlignment="1">
      <alignment vertical="center"/>
    </xf>
    <xf numFmtId="10" fontId="52" fillId="6" borderId="86" xfId="2" applyNumberFormat="1" applyFont="1" applyFill="1" applyBorder="1" applyAlignment="1">
      <alignment vertical="center"/>
    </xf>
    <xf numFmtId="10" fontId="52" fillId="23" borderId="85" xfId="0" applyNumberFormat="1" applyFont="1" applyFill="1" applyBorder="1" applyAlignment="1">
      <alignment vertical="center"/>
    </xf>
    <xf numFmtId="0" fontId="9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vertical="center"/>
    </xf>
    <xf numFmtId="0" fontId="51" fillId="30" borderId="84" xfId="0" applyFont="1" applyFill="1" applyBorder="1" applyAlignment="1">
      <alignment vertical="center"/>
    </xf>
    <xf numFmtId="0" fontId="51" fillId="30" borderId="85" xfId="0" applyFont="1" applyFill="1" applyBorder="1" applyAlignment="1">
      <alignment horizontal="center" vertical="center"/>
    </xf>
    <xf numFmtId="0" fontId="51" fillId="30" borderId="85" xfId="0" applyFont="1" applyFill="1" applyBorder="1" applyAlignment="1">
      <alignment vertical="center" wrapText="1"/>
    </xf>
    <xf numFmtId="0" fontId="51" fillId="30" borderId="86" xfId="0" applyFont="1" applyFill="1" applyBorder="1" applyAlignment="1">
      <alignment vertical="center" wrapText="1"/>
    </xf>
    <xf numFmtId="174" fontId="0" fillId="0" borderId="0" xfId="1" applyNumberFormat="1" applyFont="1"/>
    <xf numFmtId="164" fontId="0" fillId="0" borderId="0" xfId="0" applyNumberFormat="1"/>
    <xf numFmtId="0" fontId="10" fillId="25" borderId="12" xfId="0" applyFont="1" applyFill="1" applyBorder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16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6" fillId="25" borderId="13" xfId="0" applyFont="1" applyFill="1" applyBorder="1"/>
    <xf numFmtId="0" fontId="7" fillId="25" borderId="1" xfId="0" applyFont="1" applyFill="1" applyBorder="1"/>
    <xf numFmtId="0" fontId="6" fillId="25" borderId="15" xfId="0" applyFont="1" applyFill="1" applyBorder="1" applyAlignment="1">
      <alignment horizontal="center"/>
    </xf>
    <xf numFmtId="0" fontId="6" fillId="25" borderId="17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25" borderId="8" xfId="0" applyFont="1" applyFill="1" applyBorder="1" applyAlignment="1">
      <alignment horizontal="center"/>
    </xf>
    <xf numFmtId="0" fontId="8" fillId="25" borderId="10" xfId="0" applyFont="1" applyFill="1" applyBorder="1"/>
    <xf numFmtId="0" fontId="8" fillId="25" borderId="0" xfId="0" applyFont="1" applyFill="1"/>
    <xf numFmtId="168" fontId="8" fillId="25" borderId="10" xfId="1" applyNumberFormat="1" applyFont="1" applyFill="1" applyBorder="1"/>
    <xf numFmtId="10" fontId="8" fillId="25" borderId="2" xfId="2" applyNumberFormat="1" applyFont="1" applyFill="1" applyBorder="1"/>
    <xf numFmtId="0" fontId="9" fillId="25" borderId="10" xfId="0" applyFont="1" applyFill="1" applyBorder="1"/>
    <xf numFmtId="0" fontId="9" fillId="25" borderId="0" xfId="0" applyFont="1" applyFill="1"/>
    <xf numFmtId="10" fontId="9" fillId="25" borderId="11" xfId="2" applyNumberFormat="1" applyFont="1" applyFill="1" applyBorder="1"/>
    <xf numFmtId="10" fontId="9" fillId="25" borderId="1" xfId="2" applyNumberFormat="1" applyFont="1" applyFill="1" applyBorder="1"/>
    <xf numFmtId="0" fontId="9" fillId="25" borderId="8" xfId="0" applyFont="1" applyFill="1" applyBorder="1"/>
    <xf numFmtId="0" fontId="10" fillId="25" borderId="0" xfId="3" applyFont="1" applyFill="1" applyAlignment="1">
      <alignment horizontal="center" vertical="center"/>
    </xf>
    <xf numFmtId="0" fontId="4" fillId="25" borderId="0" xfId="3" applyFill="1"/>
    <xf numFmtId="0" fontId="9" fillId="25" borderId="0" xfId="3" applyFont="1" applyFill="1"/>
    <xf numFmtId="0" fontId="6" fillId="25" borderId="22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10" fontId="9" fillId="25" borderId="2" xfId="2" applyNumberFormat="1" applyFont="1" applyFill="1" applyBorder="1"/>
    <xf numFmtId="0" fontId="10" fillId="25" borderId="0" xfId="0" applyFont="1" applyFill="1" applyAlignment="1">
      <alignment horizontal="center" vertical="center"/>
    </xf>
    <xf numFmtId="0" fontId="0" fillId="25" borderId="0" xfId="0" applyFill="1"/>
    <xf numFmtId="0" fontId="6" fillId="25" borderId="23" xfId="0" applyFont="1" applyFill="1" applyBorder="1" applyAlignment="1">
      <alignment horizontal="center" vertical="center"/>
    </xf>
    <xf numFmtId="0" fontId="6" fillId="25" borderId="23" xfId="0" applyFont="1" applyFill="1" applyBorder="1" applyAlignment="1">
      <alignment horizontal="center" vertical="center" wrapText="1"/>
    </xf>
    <xf numFmtId="0" fontId="6" fillId="25" borderId="25" xfId="0" applyFont="1" applyFill="1" applyBorder="1" applyAlignment="1">
      <alignment horizontal="center"/>
    </xf>
    <xf numFmtId="0" fontId="6" fillId="25" borderId="0" xfId="0" applyFont="1" applyFill="1" applyAlignment="1">
      <alignment horizontal="center"/>
    </xf>
    <xf numFmtId="0" fontId="8" fillId="25" borderId="12" xfId="0" applyFont="1" applyFill="1" applyBorder="1"/>
    <xf numFmtId="0" fontId="8" fillId="25" borderId="28" xfId="0" applyFont="1" applyFill="1" applyBorder="1"/>
    <xf numFmtId="168" fontId="8" fillId="25" borderId="23" xfId="1" applyNumberFormat="1" applyFont="1" applyFill="1" applyBorder="1"/>
    <xf numFmtId="10" fontId="9" fillId="25" borderId="5" xfId="2" applyNumberFormat="1" applyFont="1" applyFill="1" applyBorder="1"/>
    <xf numFmtId="0" fontId="9" fillId="25" borderId="1" xfId="0" applyFont="1" applyFill="1" applyBorder="1"/>
    <xf numFmtId="10" fontId="9" fillId="25" borderId="24" xfId="2" applyNumberFormat="1" applyFont="1" applyFill="1" applyBorder="1"/>
    <xf numFmtId="10" fontId="9" fillId="25" borderId="8" xfId="2" applyNumberFormat="1" applyFont="1" applyFill="1" applyBorder="1"/>
    <xf numFmtId="0" fontId="6" fillId="25" borderId="24" xfId="0" applyFont="1" applyFill="1" applyBorder="1" applyAlignment="1">
      <alignment horizontal="center"/>
    </xf>
    <xf numFmtId="0" fontId="6" fillId="25" borderId="21" xfId="0" applyFont="1" applyFill="1" applyBorder="1" applyAlignment="1">
      <alignment horizontal="center"/>
    </xf>
    <xf numFmtId="168" fontId="8" fillId="25" borderId="25" xfId="1" applyNumberFormat="1" applyFont="1" applyFill="1" applyBorder="1"/>
    <xf numFmtId="0" fontId="8" fillId="25" borderId="27" xfId="0" applyFont="1" applyFill="1" applyBorder="1"/>
    <xf numFmtId="10" fontId="8" fillId="25" borderId="25" xfId="2" applyNumberFormat="1" applyFont="1" applyFill="1" applyBorder="1"/>
    <xf numFmtId="0" fontId="6" fillId="25" borderId="27" xfId="0" applyFont="1" applyFill="1" applyBorder="1"/>
    <xf numFmtId="0" fontId="7" fillId="25" borderId="0" xfId="0" applyFont="1" applyFill="1"/>
    <xf numFmtId="0" fontId="8" fillId="25" borderId="9" xfId="0" applyFont="1" applyFill="1" applyBorder="1"/>
    <xf numFmtId="0" fontId="8" fillId="25" borderId="4" xfId="0" applyFont="1" applyFill="1" applyBorder="1"/>
    <xf numFmtId="168" fontId="8" fillId="25" borderId="9" xfId="1" applyNumberFormat="1" applyFont="1" applyFill="1" applyBorder="1"/>
    <xf numFmtId="10" fontId="8" fillId="25" borderId="5" xfId="2" applyNumberFormat="1" applyFont="1" applyFill="1" applyBorder="1"/>
    <xf numFmtId="168" fontId="9" fillId="25" borderId="10" xfId="1" applyNumberFormat="1" applyFont="1" applyFill="1" applyBorder="1"/>
    <xf numFmtId="168" fontId="9" fillId="25" borderId="10" xfId="2" applyNumberFormat="1" applyFont="1" applyFill="1" applyBorder="1"/>
    <xf numFmtId="0" fontId="9" fillId="25" borderId="2" xfId="0" applyFont="1" applyFill="1" applyBorder="1"/>
    <xf numFmtId="168" fontId="0" fillId="25" borderId="11" xfId="2" applyNumberFormat="1" applyFont="1" applyFill="1" applyBorder="1"/>
    <xf numFmtId="0" fontId="9" fillId="25" borderId="4" xfId="0" applyFont="1" applyFill="1" applyBorder="1"/>
    <xf numFmtId="168" fontId="9" fillId="25" borderId="9" xfId="1" applyNumberFormat="1" applyFont="1" applyFill="1" applyBorder="1"/>
    <xf numFmtId="168" fontId="9" fillId="25" borderId="4" xfId="1" applyNumberFormat="1" applyFont="1" applyFill="1" applyBorder="1"/>
    <xf numFmtId="0" fontId="8" fillId="25" borderId="2" xfId="0" applyFont="1" applyFill="1" applyBorder="1"/>
    <xf numFmtId="0" fontId="0" fillId="25" borderId="1" xfId="0" applyFill="1" applyBorder="1"/>
    <xf numFmtId="168" fontId="0" fillId="25" borderId="11" xfId="1" applyNumberFormat="1" applyFont="1" applyFill="1" applyBorder="1"/>
    <xf numFmtId="10" fontId="9" fillId="25" borderId="10" xfId="2" applyNumberFormat="1" applyFont="1" applyFill="1" applyBorder="1"/>
    <xf numFmtId="10" fontId="0" fillId="25" borderId="11" xfId="2" applyNumberFormat="1" applyFont="1" applyFill="1" applyBorder="1"/>
    <xf numFmtId="0" fontId="10" fillId="25" borderId="88" xfId="0" applyFont="1" applyFill="1" applyBorder="1" applyAlignment="1">
      <alignment horizontal="center" vertical="center"/>
    </xf>
    <xf numFmtId="0" fontId="6" fillId="25" borderId="26" xfId="0" applyFont="1" applyFill="1" applyBorder="1"/>
    <xf numFmtId="0" fontId="10" fillId="32" borderId="12" xfId="0" applyFont="1" applyFill="1" applyBorder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0" fontId="6" fillId="32" borderId="14" xfId="0" applyFont="1" applyFill="1" applyBorder="1" applyAlignment="1">
      <alignment horizontal="center" vertical="center"/>
    </xf>
    <xf numFmtId="0" fontId="6" fillId="32" borderId="16" xfId="0" applyFont="1" applyFill="1" applyBorder="1" applyAlignment="1">
      <alignment horizontal="center" vertical="center"/>
    </xf>
    <xf numFmtId="0" fontId="6" fillId="32" borderId="4" xfId="0" applyFont="1" applyFill="1" applyBorder="1" applyAlignment="1">
      <alignment horizontal="center" vertical="center" wrapText="1"/>
    </xf>
    <xf numFmtId="0" fontId="6" fillId="32" borderId="16" xfId="0" applyFont="1" applyFill="1" applyBorder="1" applyAlignment="1">
      <alignment horizontal="center" vertical="center" wrapText="1"/>
    </xf>
    <xf numFmtId="0" fontId="6" fillId="32" borderId="5" xfId="0" applyFont="1" applyFill="1" applyBorder="1" applyAlignment="1">
      <alignment horizontal="center" vertical="center" wrapText="1"/>
    </xf>
    <xf numFmtId="0" fontId="6" fillId="32" borderId="13" xfId="0" applyFont="1" applyFill="1" applyBorder="1"/>
    <xf numFmtId="0" fontId="7" fillId="32" borderId="1" xfId="0" applyFont="1" applyFill="1" applyBorder="1"/>
    <xf numFmtId="0" fontId="6" fillId="32" borderId="15" xfId="0" applyFont="1" applyFill="1" applyBorder="1" applyAlignment="1">
      <alignment horizontal="center"/>
    </xf>
    <xf numFmtId="0" fontId="6" fillId="32" borderId="17" xfId="0" applyFont="1" applyFill="1" applyBorder="1" applyAlignment="1">
      <alignment horizontal="center"/>
    </xf>
    <xf numFmtId="0" fontId="6" fillId="32" borderId="1" xfId="0" applyFont="1" applyFill="1" applyBorder="1" applyAlignment="1">
      <alignment horizontal="center"/>
    </xf>
    <xf numFmtId="0" fontId="6" fillId="32" borderId="8" xfId="0" applyFont="1" applyFill="1" applyBorder="1" applyAlignment="1">
      <alignment horizontal="center"/>
    </xf>
    <xf numFmtId="0" fontId="0" fillId="32" borderId="0" xfId="0" applyFill="1"/>
    <xf numFmtId="0" fontId="8" fillId="32" borderId="10" xfId="0" applyFont="1" applyFill="1" applyBorder="1"/>
    <xf numFmtId="0" fontId="8" fillId="32" borderId="0" xfId="0" applyFont="1" applyFill="1"/>
    <xf numFmtId="168" fontId="8" fillId="32" borderId="10" xfId="1" applyNumberFormat="1" applyFont="1" applyFill="1" applyBorder="1"/>
    <xf numFmtId="10" fontId="8" fillId="32" borderId="2" xfId="2" applyNumberFormat="1" applyFont="1" applyFill="1" applyBorder="1"/>
    <xf numFmtId="0" fontId="9" fillId="32" borderId="10" xfId="0" applyFont="1" applyFill="1" applyBorder="1"/>
    <xf numFmtId="0" fontId="9" fillId="32" borderId="0" xfId="0" applyFont="1" applyFill="1"/>
    <xf numFmtId="10" fontId="9" fillId="32" borderId="11" xfId="2" applyNumberFormat="1" applyFont="1" applyFill="1" applyBorder="1"/>
    <xf numFmtId="10" fontId="9" fillId="32" borderId="1" xfId="2" applyNumberFormat="1" applyFont="1" applyFill="1" applyBorder="1"/>
    <xf numFmtId="0" fontId="9" fillId="32" borderId="8" xfId="0" applyFont="1" applyFill="1" applyBorder="1"/>
    <xf numFmtId="0" fontId="10" fillId="32" borderId="0" xfId="3" applyFont="1" applyFill="1" applyAlignment="1">
      <alignment horizontal="center" vertical="center"/>
    </xf>
    <xf numFmtId="0" fontId="4" fillId="32" borderId="0" xfId="3" applyFill="1"/>
    <xf numFmtId="0" fontId="9" fillId="32" borderId="0" xfId="3" applyFont="1" applyFill="1"/>
    <xf numFmtId="0" fontId="6" fillId="32" borderId="2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0" fontId="10" fillId="32" borderId="0" xfId="0" applyFont="1" applyFill="1" applyAlignment="1">
      <alignment horizontal="center" vertical="center"/>
    </xf>
    <xf numFmtId="0" fontId="6" fillId="32" borderId="23" xfId="0" applyFont="1" applyFill="1" applyBorder="1" applyAlignment="1">
      <alignment horizontal="center" vertical="center"/>
    </xf>
    <xf numFmtId="0" fontId="6" fillId="32" borderId="23" xfId="0" applyFont="1" applyFill="1" applyBorder="1" applyAlignment="1">
      <alignment horizontal="center" vertical="center" wrapText="1"/>
    </xf>
    <xf numFmtId="0" fontId="6" fillId="32" borderId="25" xfId="0" applyFont="1" applyFill="1" applyBorder="1" applyAlignment="1">
      <alignment horizontal="center"/>
    </xf>
    <xf numFmtId="0" fontId="6" fillId="32" borderId="0" xfId="0" applyFont="1" applyFill="1" applyAlignment="1">
      <alignment horizontal="center"/>
    </xf>
    <xf numFmtId="0" fontId="8" fillId="32" borderId="12" xfId="0" applyFont="1" applyFill="1" applyBorder="1"/>
    <xf numFmtId="0" fontId="8" fillId="32" borderId="28" xfId="0" applyFont="1" applyFill="1" applyBorder="1"/>
    <xf numFmtId="168" fontId="8" fillId="32" borderId="23" xfId="1" applyNumberFormat="1" applyFont="1" applyFill="1" applyBorder="1"/>
    <xf numFmtId="10" fontId="9" fillId="32" borderId="5" xfId="2" applyNumberFormat="1" applyFont="1" applyFill="1" applyBorder="1"/>
    <xf numFmtId="0" fontId="9" fillId="32" borderId="1" xfId="0" applyFont="1" applyFill="1" applyBorder="1"/>
    <xf numFmtId="10" fontId="9" fillId="32" borderId="24" xfId="2" applyNumberFormat="1" applyFont="1" applyFill="1" applyBorder="1"/>
    <xf numFmtId="10" fontId="9" fillId="32" borderId="8" xfId="2" applyNumberFormat="1" applyFont="1" applyFill="1" applyBorder="1"/>
    <xf numFmtId="0" fontId="6" fillId="32" borderId="24" xfId="0" applyFont="1" applyFill="1" applyBorder="1" applyAlignment="1">
      <alignment horizontal="center"/>
    </xf>
    <xf numFmtId="0" fontId="6" fillId="32" borderId="21" xfId="0" applyFont="1" applyFill="1" applyBorder="1" applyAlignment="1">
      <alignment horizontal="center"/>
    </xf>
    <xf numFmtId="168" fontId="8" fillId="32" borderId="25" xfId="1" applyNumberFormat="1" applyFont="1" applyFill="1" applyBorder="1"/>
    <xf numFmtId="10" fontId="9" fillId="32" borderId="2" xfId="2" applyNumberFormat="1" applyFont="1" applyFill="1" applyBorder="1"/>
    <xf numFmtId="0" fontId="8" fillId="32" borderId="27" xfId="0" applyFont="1" applyFill="1" applyBorder="1"/>
    <xf numFmtId="10" fontId="8" fillId="32" borderId="25" xfId="2" applyNumberFormat="1" applyFont="1" applyFill="1" applyBorder="1"/>
    <xf numFmtId="0" fontId="6" fillId="32" borderId="27" xfId="0" applyFont="1" applyFill="1" applyBorder="1"/>
    <xf numFmtId="0" fontId="7" fillId="32" borderId="0" xfId="0" applyFont="1" applyFill="1"/>
    <xf numFmtId="0" fontId="8" fillId="32" borderId="9" xfId="0" applyFont="1" applyFill="1" applyBorder="1"/>
    <xf numFmtId="0" fontId="8" fillId="32" borderId="4" xfId="0" applyFont="1" applyFill="1" applyBorder="1"/>
    <xf numFmtId="168" fontId="8" fillId="32" borderId="9" xfId="1" applyNumberFormat="1" applyFont="1" applyFill="1" applyBorder="1"/>
    <xf numFmtId="10" fontId="8" fillId="32" borderId="5" xfId="2" applyNumberFormat="1" applyFont="1" applyFill="1" applyBorder="1"/>
    <xf numFmtId="168" fontId="9" fillId="32" borderId="10" xfId="1" applyNumberFormat="1" applyFont="1" applyFill="1" applyBorder="1"/>
    <xf numFmtId="168" fontId="9" fillId="32" borderId="10" xfId="2" applyNumberFormat="1" applyFont="1" applyFill="1" applyBorder="1"/>
    <xf numFmtId="0" fontId="9" fillId="32" borderId="2" xfId="0" applyFont="1" applyFill="1" applyBorder="1"/>
    <xf numFmtId="168" fontId="0" fillId="32" borderId="11" xfId="2" applyNumberFormat="1" applyFont="1" applyFill="1" applyBorder="1"/>
    <xf numFmtId="0" fontId="10" fillId="32" borderId="88" xfId="0" applyFont="1" applyFill="1" applyBorder="1" applyAlignment="1">
      <alignment horizontal="center" vertical="center"/>
    </xf>
    <xf numFmtId="0" fontId="6" fillId="32" borderId="26" xfId="0" applyFont="1" applyFill="1" applyBorder="1"/>
    <xf numFmtId="0" fontId="9" fillId="32" borderId="4" xfId="0" applyFont="1" applyFill="1" applyBorder="1"/>
    <xf numFmtId="168" fontId="9" fillId="32" borderId="9" xfId="1" applyNumberFormat="1" applyFont="1" applyFill="1" applyBorder="1"/>
    <xf numFmtId="168" fontId="9" fillId="32" borderId="4" xfId="1" applyNumberFormat="1" applyFont="1" applyFill="1" applyBorder="1"/>
    <xf numFmtId="0" fontId="8" fillId="32" borderId="2" xfId="0" applyFont="1" applyFill="1" applyBorder="1"/>
    <xf numFmtId="0" fontId="0" fillId="32" borderId="1" xfId="0" applyFill="1" applyBorder="1"/>
    <xf numFmtId="168" fontId="0" fillId="32" borderId="11" xfId="1" applyNumberFormat="1" applyFont="1" applyFill="1" applyBorder="1"/>
    <xf numFmtId="10" fontId="9" fillId="32" borderId="10" xfId="2" applyNumberFormat="1" applyFont="1" applyFill="1" applyBorder="1"/>
    <xf numFmtId="10" fontId="0" fillId="32" borderId="11" xfId="2" applyNumberFormat="1" applyFont="1" applyFill="1" applyBorder="1"/>
    <xf numFmtId="0" fontId="55" fillId="0" borderId="0" xfId="0" applyFont="1"/>
    <xf numFmtId="0" fontId="55" fillId="34" borderId="51" xfId="0" applyFont="1" applyFill="1" applyBorder="1"/>
    <xf numFmtId="0" fontId="56" fillId="35" borderId="50" xfId="0" applyFont="1" applyFill="1" applyBorder="1"/>
    <xf numFmtId="0" fontId="55" fillId="34" borderId="41" xfId="0" applyFont="1" applyFill="1" applyBorder="1"/>
    <xf numFmtId="0" fontId="55" fillId="34" borderId="40" xfId="0" applyFont="1" applyFill="1" applyBorder="1"/>
    <xf numFmtId="0" fontId="55" fillId="34" borderId="0" xfId="0" applyFont="1" applyFill="1"/>
    <xf numFmtId="0" fontId="57" fillId="34" borderId="43" xfId="0" applyFont="1" applyFill="1" applyBorder="1"/>
    <xf numFmtId="164" fontId="55" fillId="36" borderId="50" xfId="0" applyNumberFormat="1" applyFont="1" applyFill="1" applyBorder="1"/>
    <xf numFmtId="0" fontId="58" fillId="37" borderId="43" xfId="0" applyFont="1" applyFill="1" applyBorder="1" applyAlignment="1">
      <alignment horizontal="left" vertical="center"/>
    </xf>
    <xf numFmtId="165" fontId="57" fillId="34" borderId="42" xfId="0" applyNumberFormat="1" applyFont="1" applyFill="1" applyBorder="1" applyAlignment="1">
      <alignment horizontal="center" vertical="center"/>
    </xf>
    <xf numFmtId="0" fontId="57" fillId="34" borderId="39" xfId="0" applyFont="1" applyFill="1" applyBorder="1"/>
    <xf numFmtId="165" fontId="55" fillId="36" borderId="50" xfId="0" applyNumberFormat="1" applyFont="1" applyFill="1" applyBorder="1"/>
    <xf numFmtId="0" fontId="58" fillId="38" borderId="41" xfId="0" applyFont="1" applyFill="1" applyBorder="1" applyAlignment="1">
      <alignment horizontal="left" vertical="center"/>
    </xf>
    <xf numFmtId="165" fontId="57" fillId="34" borderId="40" xfId="0" applyNumberFormat="1" applyFont="1" applyFill="1" applyBorder="1" applyAlignment="1">
      <alignment horizontal="center" vertical="center"/>
    </xf>
    <xf numFmtId="0" fontId="57" fillId="34" borderId="41" xfId="0" applyFont="1" applyFill="1" applyBorder="1"/>
    <xf numFmtId="0" fontId="59" fillId="39" borderId="39" xfId="0" applyFont="1" applyFill="1" applyBorder="1" applyAlignment="1">
      <alignment horizontal="left" vertical="center"/>
    </xf>
    <xf numFmtId="165" fontId="60" fillId="39" borderId="49" xfId="0" applyNumberFormat="1" applyFont="1" applyFill="1" applyBorder="1" applyAlignment="1">
      <alignment horizontal="center" vertical="center"/>
    </xf>
    <xf numFmtId="0" fontId="57" fillId="34" borderId="51" xfId="0" applyFont="1" applyFill="1" applyBorder="1"/>
    <xf numFmtId="10" fontId="55" fillId="36" borderId="50" xfId="0" applyNumberFormat="1" applyFont="1" applyFill="1" applyBorder="1"/>
    <xf numFmtId="0" fontId="58" fillId="40" borderId="51" xfId="0" applyFont="1" applyFill="1" applyBorder="1" applyAlignment="1">
      <alignment horizontal="center" vertical="center"/>
    </xf>
    <xf numFmtId="10" fontId="57" fillId="41" borderId="53" xfId="0" applyNumberFormat="1" applyFont="1" applyFill="1" applyBorder="1" applyAlignment="1">
      <alignment horizontal="center" vertical="center"/>
    </xf>
    <xf numFmtId="0" fontId="55" fillId="36" borderId="50" xfId="0" applyFont="1" applyFill="1" applyBorder="1"/>
    <xf numFmtId="0" fontId="57" fillId="34" borderId="41" xfId="0" applyFont="1" applyFill="1" applyBorder="1" applyAlignment="1">
      <alignment horizontal="right"/>
    </xf>
    <xf numFmtId="0" fontId="57" fillId="34" borderId="54" xfId="0" applyFont="1" applyFill="1" applyBorder="1" applyAlignment="1">
      <alignment horizontal="center"/>
    </xf>
    <xf numFmtId="0" fontId="55" fillId="42" borderId="41" xfId="0" applyFont="1" applyFill="1" applyBorder="1" applyAlignment="1">
      <alignment horizontal="left"/>
    </xf>
    <xf numFmtId="10" fontId="55" fillId="34" borderId="89" xfId="0" applyNumberFormat="1" applyFont="1" applyFill="1" applyBorder="1"/>
    <xf numFmtId="164" fontId="55" fillId="0" borderId="0" xfId="0" applyNumberFormat="1" applyFont="1"/>
    <xf numFmtId="0" fontId="55" fillId="42" borderId="41" xfId="0" applyFont="1" applyFill="1" applyBorder="1"/>
    <xf numFmtId="0" fontId="55" fillId="42" borderId="39" xfId="0" applyFont="1" applyFill="1" applyBorder="1"/>
    <xf numFmtId="10" fontId="55" fillId="34" borderId="90" xfId="0" applyNumberFormat="1" applyFont="1" applyFill="1" applyBorder="1"/>
    <xf numFmtId="10" fontId="55" fillId="34" borderId="50" xfId="0" applyNumberFormat="1" applyFont="1" applyFill="1" applyBorder="1"/>
    <xf numFmtId="10" fontId="0" fillId="0" borderId="0" xfId="2" applyNumberFormat="1" applyFont="1" applyAlignment="1">
      <alignment horizontal="center"/>
    </xf>
    <xf numFmtId="10" fontId="0" fillId="22" borderId="0" xfId="2" applyNumberFormat="1" applyFont="1" applyFill="1"/>
    <xf numFmtId="168" fontId="8" fillId="32" borderId="2" xfId="2" applyNumberFormat="1" applyFont="1" applyFill="1" applyBorder="1"/>
    <xf numFmtId="0" fontId="0" fillId="0" borderId="41" xfId="0" applyBorder="1" applyAlignment="1">
      <alignment horizontal="center" vertical="center"/>
    </xf>
    <xf numFmtId="168" fontId="0" fillId="43" borderId="41" xfId="1" applyNumberFormat="1" applyFont="1" applyFill="1" applyBorder="1" applyAlignment="1">
      <alignment vertical="center"/>
    </xf>
    <xf numFmtId="168" fontId="0" fillId="8" borderId="41" xfId="1" applyNumberFormat="1" applyFont="1" applyFill="1" applyBorder="1" applyAlignment="1">
      <alignment vertical="center"/>
    </xf>
    <xf numFmtId="168" fontId="0" fillId="8" borderId="0" xfId="1" applyNumberFormat="1" applyFont="1" applyFill="1" applyBorder="1" applyAlignment="1">
      <alignment vertical="center"/>
    </xf>
    <xf numFmtId="168" fontId="0" fillId="23" borderId="0" xfId="1" applyNumberFormat="1" applyFont="1" applyFill="1" applyBorder="1" applyAlignment="1">
      <alignment vertical="center"/>
    </xf>
    <xf numFmtId="167" fontId="0" fillId="4" borderId="0" xfId="4" applyFont="1" applyFill="1" applyBorder="1" applyAlignment="1">
      <alignment vertical="center"/>
    </xf>
    <xf numFmtId="10" fontId="0" fillId="4" borderId="0" xfId="4" applyNumberFormat="1" applyFont="1" applyFill="1" applyBorder="1" applyAlignment="1">
      <alignment vertical="center"/>
    </xf>
    <xf numFmtId="10" fontId="0" fillId="4" borderId="0" xfId="2" applyNumberFormat="1" applyFont="1" applyFill="1" applyBorder="1" applyAlignment="1">
      <alignment vertical="center"/>
    </xf>
    <xf numFmtId="2" fontId="0" fillId="4" borderId="0" xfId="0" applyNumberFormat="1" applyFill="1" applyAlignment="1">
      <alignment vertical="center"/>
    </xf>
    <xf numFmtId="0" fontId="2" fillId="23" borderId="54" xfId="0" applyFont="1" applyFill="1" applyBorder="1" applyAlignment="1">
      <alignment vertical="center"/>
    </xf>
    <xf numFmtId="9" fontId="0" fillId="4" borderId="58" xfId="0" applyNumberFormat="1" applyFill="1" applyBorder="1" applyAlignment="1">
      <alignment vertical="center"/>
    </xf>
    <xf numFmtId="0" fontId="0" fillId="4" borderId="58" xfId="0" applyFill="1" applyBorder="1" applyAlignment="1">
      <alignment vertical="center"/>
    </xf>
    <xf numFmtId="168" fontId="0" fillId="4" borderId="0" xfId="1" applyNumberFormat="1" applyFont="1" applyFill="1" applyBorder="1" applyAlignment="1">
      <alignment vertical="center"/>
    </xf>
    <xf numFmtId="168" fontId="0" fillId="4" borderId="0" xfId="0" applyNumberFormat="1" applyFill="1" applyAlignment="1">
      <alignment vertical="center"/>
    </xf>
    <xf numFmtId="166" fontId="0" fillId="4" borderId="0" xfId="0" applyNumberFormat="1" applyFill="1" applyAlignment="1">
      <alignment vertical="center"/>
    </xf>
    <xf numFmtId="0" fontId="3" fillId="4" borderId="0" xfId="0" applyFont="1" applyFill="1" applyAlignment="1">
      <alignment vertical="center"/>
    </xf>
    <xf numFmtId="168" fontId="0" fillId="4" borderId="0" xfId="1" applyNumberFormat="1" applyFont="1" applyFill="1" applyAlignment="1">
      <alignment vertical="center"/>
    </xf>
    <xf numFmtId="168" fontId="0" fillId="4" borderId="0" xfId="1" applyNumberFormat="1" applyFont="1" applyFill="1"/>
    <xf numFmtId="168" fontId="2" fillId="4" borderId="0" xfId="1" applyNumberFormat="1" applyFont="1" applyFill="1"/>
    <xf numFmtId="169" fontId="0" fillId="4" borderId="0" xfId="4" applyNumberFormat="1" applyFont="1" applyFill="1"/>
    <xf numFmtId="10" fontId="0" fillId="4" borderId="0" xfId="2" applyNumberFormat="1" applyFont="1" applyFill="1"/>
    <xf numFmtId="167" fontId="0" fillId="4" borderId="0" xfId="4" applyFont="1" applyFill="1"/>
    <xf numFmtId="0" fontId="2" fillId="4" borderId="0" xfId="0" applyFont="1" applyFill="1" applyAlignment="1">
      <alignment horizontal="center"/>
    </xf>
    <xf numFmtId="168" fontId="2" fillId="4" borderId="0" xfId="1" applyNumberFormat="1" applyFont="1" applyFill="1" applyAlignment="1">
      <alignment horizontal="center"/>
    </xf>
    <xf numFmtId="169" fontId="2" fillId="4" borderId="0" xfId="4" applyNumberFormat="1" applyFont="1" applyFill="1" applyAlignment="1">
      <alignment horizontal="center"/>
    </xf>
    <xf numFmtId="169" fontId="0" fillId="4" borderId="0" xfId="0" applyNumberFormat="1" applyFill="1"/>
    <xf numFmtId="168" fontId="0" fillId="4" borderId="0" xfId="0" applyNumberFormat="1" applyFill="1"/>
    <xf numFmtId="9" fontId="2" fillId="4" borderId="0" xfId="2" applyFont="1" applyFill="1"/>
    <xf numFmtId="169" fontId="2" fillId="4" borderId="0" xfId="4" applyNumberFormat="1" applyFont="1" applyFill="1"/>
    <xf numFmtId="10" fontId="0" fillId="4" borderId="0" xfId="0" applyNumberFormat="1" applyFill="1"/>
    <xf numFmtId="168" fontId="0" fillId="23" borderId="0" xfId="0" applyNumberFormat="1" applyFill="1"/>
    <xf numFmtId="2" fontId="0" fillId="4" borderId="68" xfId="0" applyNumberFormat="1" applyFill="1" applyBorder="1" applyAlignment="1">
      <alignment vertical="center"/>
    </xf>
    <xf numFmtId="1" fontId="0" fillId="0" borderId="50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4" borderId="68" xfId="0" applyNumberFormat="1" applyFill="1" applyBorder="1" applyAlignment="1">
      <alignment vertical="center"/>
    </xf>
    <xf numFmtId="1" fontId="0" fillId="5" borderId="50" xfId="0" applyNumberFormat="1" applyFill="1" applyBorder="1" applyAlignment="1">
      <alignment vertical="center"/>
    </xf>
    <xf numFmtId="1" fontId="0" fillId="5" borderId="67" xfId="4" applyNumberFormat="1" applyFont="1" applyFill="1" applyBorder="1" applyAlignment="1">
      <alignment vertical="center"/>
    </xf>
    <xf numFmtId="1" fontId="0" fillId="0" borderId="0" xfId="0" applyNumberFormat="1"/>
    <xf numFmtId="1" fontId="0" fillId="4" borderId="0" xfId="0" applyNumberFormat="1" applyFill="1"/>
    <xf numFmtId="168" fontId="0" fillId="0" borderId="0" xfId="1" applyNumberFormat="1" applyFont="1" applyBorder="1" applyAlignment="1">
      <alignment horizontal="center" vertical="center"/>
    </xf>
    <xf numFmtId="168" fontId="0" fillId="4" borderId="0" xfId="1" applyNumberFormat="1" applyFont="1" applyFill="1" applyBorder="1"/>
    <xf numFmtId="0" fontId="34" fillId="22" borderId="41" xfId="0" applyFont="1" applyFill="1" applyBorder="1" applyAlignment="1">
      <alignment horizontal="center" vertical="center"/>
    </xf>
    <xf numFmtId="168" fontId="0" fillId="6" borderId="0" xfId="1" applyNumberFormat="1" applyFont="1" applyFill="1" applyBorder="1"/>
    <xf numFmtId="167" fontId="0" fillId="4" borderId="51" xfId="4" applyFont="1" applyFill="1" applyBorder="1" applyAlignment="1">
      <alignment vertical="center"/>
    </xf>
    <xf numFmtId="168" fontId="0" fillId="8" borderId="0" xfId="1" applyNumberFormat="1" applyFont="1" applyFill="1" applyBorder="1"/>
    <xf numFmtId="2" fontId="0" fillId="5" borderId="0" xfId="0" applyNumberFormat="1" applyFill="1" applyAlignment="1">
      <alignment vertical="center"/>
    </xf>
    <xf numFmtId="0" fontId="8" fillId="4" borderId="0" xfId="0" applyFont="1" applyFill="1" applyAlignment="1">
      <alignment vertical="center"/>
    </xf>
    <xf numFmtId="173" fontId="0" fillId="4" borderId="0" xfId="1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73" fontId="0" fillId="4" borderId="0" xfId="1" applyNumberFormat="1" applyFont="1" applyFill="1" applyAlignment="1">
      <alignment horizontal="center" vertical="center"/>
    </xf>
    <xf numFmtId="173" fontId="0" fillId="4" borderId="0" xfId="1" applyNumberFormat="1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/>
    <xf numFmtId="2" fontId="0" fillId="15" borderId="0" xfId="0" applyNumberFormat="1" applyFill="1"/>
    <xf numFmtId="166" fontId="0" fillId="15" borderId="0" xfId="0" applyNumberFormat="1" applyFill="1"/>
    <xf numFmtId="168" fontId="0" fillId="15" borderId="0" xfId="1" applyNumberFormat="1" applyFont="1" applyFill="1" applyBorder="1"/>
    <xf numFmtId="0" fontId="3" fillId="0" borderId="0" xfId="0" applyFont="1" applyAlignment="1">
      <alignment vertical="top"/>
    </xf>
    <xf numFmtId="16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8" fontId="0" fillId="6" borderId="0" xfId="0" applyNumberFormat="1" applyFill="1"/>
    <xf numFmtId="166" fontId="0" fillId="5" borderId="0" xfId="0" applyNumberFormat="1" applyFill="1" applyAlignment="1">
      <alignment vertical="center"/>
    </xf>
    <xf numFmtId="168" fontId="0" fillId="6" borderId="0" xfId="0" applyNumberFormat="1" applyFill="1" applyAlignment="1">
      <alignment horizontal="center"/>
    </xf>
    <xf numFmtId="10" fontId="52" fillId="6" borderId="85" xfId="2" applyNumberFormat="1" applyFont="1" applyFill="1" applyBorder="1" applyAlignment="1">
      <alignment vertical="center"/>
    </xf>
    <xf numFmtId="168" fontId="40" fillId="4" borderId="0" xfId="1" applyNumberFormat="1" applyFont="1" applyFill="1" applyBorder="1" applyAlignment="1">
      <alignment vertical="center"/>
    </xf>
    <xf numFmtId="168" fontId="40" fillId="4" borderId="0" xfId="1" applyNumberFormat="1" applyFont="1" applyFill="1" applyAlignment="1">
      <alignment vertical="center"/>
    </xf>
    <xf numFmtId="10" fontId="40" fillId="4" borderId="0" xfId="0" applyNumberFormat="1" applyFont="1" applyFill="1" applyAlignment="1">
      <alignment vertical="center"/>
    </xf>
    <xf numFmtId="10" fontId="40" fillId="4" borderId="0" xfId="2" applyNumberFormat="1" applyFont="1" applyFill="1" applyBorder="1" applyAlignment="1">
      <alignment vertical="center"/>
    </xf>
    <xf numFmtId="0" fontId="40" fillId="4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center" vertical="center"/>
    </xf>
    <xf numFmtId="10" fontId="52" fillId="23" borderId="86" xfId="2" applyNumberFormat="1" applyFont="1" applyFill="1" applyBorder="1" applyAlignment="1">
      <alignment vertical="center"/>
    </xf>
    <xf numFmtId="0" fontId="2" fillId="2" borderId="12" xfId="0" applyFont="1" applyFill="1" applyBorder="1"/>
    <xf numFmtId="10" fontId="2" fillId="2" borderId="5" xfId="2" applyNumberFormat="1" applyFont="1" applyFill="1" applyBorder="1"/>
    <xf numFmtId="0" fontId="3" fillId="0" borderId="10" xfId="0" applyFont="1" applyBorder="1"/>
    <xf numFmtId="0" fontId="2" fillId="0" borderId="2" xfId="0" applyFont="1" applyBorder="1"/>
    <xf numFmtId="0" fontId="2" fillId="2" borderId="10" xfId="0" applyFont="1" applyFill="1" applyBorder="1"/>
    <xf numFmtId="10" fontId="2" fillId="2" borderId="2" xfId="2" applyNumberFormat="1" applyFont="1" applyFill="1" applyBorder="1"/>
    <xf numFmtId="0" fontId="2" fillId="0" borderId="3" xfId="0" applyFont="1" applyBorder="1"/>
    <xf numFmtId="0" fontId="2" fillId="2" borderId="9" xfId="3" applyFont="1" applyFill="1" applyBorder="1"/>
    <xf numFmtId="168" fontId="3" fillId="2" borderId="9" xfId="1" applyNumberFormat="1" applyFont="1" applyFill="1" applyBorder="1"/>
    <xf numFmtId="168" fontId="3" fillId="2" borderId="4" xfId="1" applyNumberFormat="1" applyFont="1" applyFill="1" applyBorder="1"/>
    <xf numFmtId="10" fontId="3" fillId="2" borderId="5" xfId="2" applyNumberFormat="1" applyFont="1" applyFill="1" applyBorder="1"/>
    <xf numFmtId="10" fontId="3" fillId="0" borderId="10" xfId="2" applyNumberFormat="1" applyFont="1" applyBorder="1"/>
    <xf numFmtId="10" fontId="3" fillId="0" borderId="0" xfId="2" applyNumberFormat="1" applyFont="1" applyBorder="1"/>
    <xf numFmtId="0" fontId="2" fillId="2" borderId="10" xfId="3" applyFont="1" applyFill="1" applyBorder="1"/>
    <xf numFmtId="168" fontId="3" fillId="2" borderId="10" xfId="1" applyNumberFormat="1" applyFont="1" applyFill="1" applyBorder="1"/>
    <xf numFmtId="168" fontId="3" fillId="2" borderId="0" xfId="1" applyNumberFormat="1" applyFont="1" applyFill="1" applyBorder="1"/>
    <xf numFmtId="10" fontId="3" fillId="2" borderId="2" xfId="2" applyNumberFormat="1" applyFont="1" applyFill="1" applyBorder="1"/>
    <xf numFmtId="10" fontId="3" fillId="4" borderId="2" xfId="2" applyNumberFormat="1" applyFont="1" applyFill="1" applyBorder="1"/>
    <xf numFmtId="0" fontId="2" fillId="2" borderId="6" xfId="3" applyFont="1" applyFill="1" applyBorder="1"/>
    <xf numFmtId="10" fontId="3" fillId="0" borderId="0" xfId="2" applyNumberFormat="1" applyFont="1"/>
    <xf numFmtId="168" fontId="3" fillId="0" borderId="0" xfId="1" applyNumberFormat="1" applyFont="1"/>
    <xf numFmtId="0" fontId="3" fillId="5" borderId="11" xfId="0" applyFont="1" applyFill="1" applyBorder="1"/>
    <xf numFmtId="0" fontId="2" fillId="5" borderId="8" xfId="0" applyFont="1" applyFill="1" applyBorder="1"/>
    <xf numFmtId="0" fontId="3" fillId="5" borderId="6" xfId="0" applyFont="1" applyFill="1" applyBorder="1"/>
    <xf numFmtId="0" fontId="2" fillId="5" borderId="2" xfId="0" applyFont="1" applyFill="1" applyBorder="1"/>
    <xf numFmtId="0" fontId="3" fillId="0" borderId="6" xfId="0" applyFont="1" applyBorder="1"/>
    <xf numFmtId="168" fontId="3" fillId="5" borderId="11" xfId="1" applyNumberFormat="1" applyFont="1" applyFill="1" applyBorder="1"/>
    <xf numFmtId="168" fontId="3" fillId="5" borderId="1" xfId="1" applyNumberFormat="1" applyFont="1" applyFill="1" applyBorder="1"/>
    <xf numFmtId="0" fontId="3" fillId="25" borderId="11" xfId="0" applyFont="1" applyFill="1" applyBorder="1"/>
    <xf numFmtId="168" fontId="3" fillId="25" borderId="11" xfId="1" applyNumberFormat="1" applyFont="1" applyFill="1" applyBorder="1"/>
    <xf numFmtId="0" fontId="2" fillId="25" borderId="8" xfId="0" applyFont="1" applyFill="1" applyBorder="1"/>
    <xf numFmtId="0" fontId="3" fillId="32" borderId="11" xfId="0" applyFont="1" applyFill="1" applyBorder="1"/>
    <xf numFmtId="168" fontId="3" fillId="32" borderId="11" xfId="1" applyNumberFormat="1" applyFont="1" applyFill="1" applyBorder="1"/>
    <xf numFmtId="0" fontId="2" fillId="32" borderId="8" xfId="0" applyFont="1" applyFill="1" applyBorder="1"/>
    <xf numFmtId="0" fontId="2" fillId="2" borderId="0" xfId="0" applyFont="1" applyFill="1"/>
    <xf numFmtId="0" fontId="8" fillId="3" borderId="35" xfId="0" applyFont="1" applyFill="1" applyBorder="1" applyAlignment="1">
      <alignment horizontal="center" wrapText="1"/>
    </xf>
    <xf numFmtId="0" fontId="2" fillId="9" borderId="31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wrapText="1"/>
    </xf>
    <xf numFmtId="168" fontId="2" fillId="9" borderId="0" xfId="1" applyNumberFormat="1" applyFont="1" applyFill="1" applyBorder="1"/>
    <xf numFmtId="0" fontId="8" fillId="3" borderId="26" xfId="0" applyFont="1" applyFill="1" applyBorder="1"/>
    <xf numFmtId="167" fontId="2" fillId="8" borderId="0" xfId="4" applyFont="1" applyFill="1" applyBorder="1"/>
    <xf numFmtId="0" fontId="8" fillId="3" borderId="30" xfId="0" applyFont="1" applyFill="1" applyBorder="1"/>
    <xf numFmtId="168" fontId="2" fillId="9" borderId="29" xfId="1" applyNumberFormat="1" applyFont="1" applyFill="1" applyBorder="1"/>
    <xf numFmtId="0" fontId="8" fillId="3" borderId="36" xfId="0" applyFont="1" applyFill="1" applyBorder="1"/>
    <xf numFmtId="167" fontId="2" fillId="7" borderId="32" xfId="4" applyFont="1" applyFill="1" applyBorder="1"/>
    <xf numFmtId="167" fontId="2" fillId="8" borderId="31" xfId="2" applyNumberFormat="1" applyFont="1" applyFill="1" applyBorder="1"/>
    <xf numFmtId="168" fontId="2" fillId="9" borderId="2" xfId="1" applyNumberFormat="1" applyFont="1" applyFill="1" applyBorder="1"/>
    <xf numFmtId="167" fontId="2" fillId="8" borderId="2" xfId="4" applyFont="1" applyFill="1" applyBorder="1"/>
    <xf numFmtId="167" fontId="2" fillId="8" borderId="32" xfId="4" applyFont="1" applyFill="1" applyBorder="1"/>
    <xf numFmtId="167" fontId="2" fillId="7" borderId="0" xfId="0" applyNumberFormat="1" applyFont="1" applyFill="1"/>
    <xf numFmtId="167" fontId="2" fillId="7" borderId="0" xfId="4" applyFont="1" applyFill="1"/>
    <xf numFmtId="44" fontId="0" fillId="0" borderId="0" xfId="0" applyNumberFormat="1"/>
    <xf numFmtId="0" fontId="11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3" fontId="12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12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3" fontId="12" fillId="0" borderId="22" xfId="1" applyNumberFormat="1" applyFont="1" applyBorder="1" applyAlignment="1">
      <alignment horizontal="center" vertical="center"/>
    </xf>
    <xf numFmtId="10" fontId="12" fillId="0" borderId="22" xfId="2" applyNumberFormat="1" applyFont="1" applyBorder="1" applyAlignment="1">
      <alignment horizontal="center" vertical="center"/>
    </xf>
    <xf numFmtId="173" fontId="12" fillId="26" borderId="0" xfId="1" applyNumberFormat="1" applyFont="1" applyFill="1" applyBorder="1" applyAlignment="1">
      <alignment horizontal="center" vertical="center"/>
    </xf>
    <xf numFmtId="173" fontId="12" fillId="26" borderId="22" xfId="1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7" fontId="12" fillId="0" borderId="77" xfId="4" applyFont="1" applyBorder="1" applyAlignment="1">
      <alignment horizontal="center" vertical="center"/>
    </xf>
    <xf numFmtId="167" fontId="0" fillId="0" borderId="77" xfId="4" applyFont="1" applyBorder="1" applyAlignment="1">
      <alignment horizontal="center" vertical="center"/>
    </xf>
    <xf numFmtId="167" fontId="0" fillId="0" borderId="78" xfId="4" applyFont="1" applyBorder="1" applyAlignment="1">
      <alignment horizontal="center" vertical="center"/>
    </xf>
    <xf numFmtId="167" fontId="12" fillId="0" borderId="79" xfId="4" applyFont="1" applyBorder="1" applyAlignment="1">
      <alignment horizontal="center" vertical="center"/>
    </xf>
    <xf numFmtId="10" fontId="12" fillId="0" borderId="62" xfId="2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7" fontId="12" fillId="26" borderId="77" xfId="2" applyNumberFormat="1" applyFont="1" applyFill="1" applyBorder="1" applyAlignment="1">
      <alignment horizontal="center" vertical="center"/>
    </xf>
    <xf numFmtId="10" fontId="0" fillId="0" borderId="77" xfId="2" applyNumberFormat="1" applyFont="1" applyBorder="1" applyAlignment="1">
      <alignment horizontal="center" vertical="center"/>
    </xf>
    <xf numFmtId="10" fontId="0" fillId="0" borderId="78" xfId="2" applyNumberFormat="1" applyFont="1" applyBorder="1" applyAlignment="1">
      <alignment horizontal="center" vertical="center"/>
    </xf>
    <xf numFmtId="167" fontId="12" fillId="26" borderId="79" xfId="2" applyNumberFormat="1" applyFont="1" applyFill="1" applyBorder="1" applyAlignment="1">
      <alignment horizontal="center" vertical="center"/>
    </xf>
    <xf numFmtId="10" fontId="0" fillId="0" borderId="82" xfId="2" applyNumberFormat="1" applyFont="1" applyBorder="1" applyAlignment="1">
      <alignment horizontal="center" vertical="center"/>
    </xf>
    <xf numFmtId="0" fontId="35" fillId="25" borderId="65" xfId="0" applyFont="1" applyFill="1" applyBorder="1" applyAlignment="1">
      <alignment horizontal="center" vertical="center" textRotation="180"/>
    </xf>
    <xf numFmtId="0" fontId="33" fillId="0" borderId="41" xfId="0" applyFont="1" applyBorder="1" applyAlignment="1">
      <alignment horizontal="center" vertical="center" textRotation="180"/>
    </xf>
    <xf numFmtId="173" fontId="36" fillId="25" borderId="41" xfId="1" applyNumberFormat="1" applyFont="1" applyFill="1" applyBorder="1" applyAlignment="1">
      <alignment horizontal="center" vertical="center"/>
    </xf>
    <xf numFmtId="173" fontId="36" fillId="25" borderId="22" xfId="1" applyNumberFormat="1" applyFont="1" applyFill="1" applyBorder="1" applyAlignment="1">
      <alignment horizontal="center" vertical="center"/>
    </xf>
    <xf numFmtId="10" fontId="36" fillId="25" borderId="22" xfId="2" applyNumberFormat="1" applyFont="1" applyFill="1" applyBorder="1" applyAlignment="1">
      <alignment horizontal="center" vertical="center"/>
    </xf>
    <xf numFmtId="173" fontId="36" fillId="25" borderId="0" xfId="1" applyNumberFormat="1" applyFont="1" applyFill="1" applyBorder="1" applyAlignment="1">
      <alignment horizontal="center" vertical="center"/>
    </xf>
    <xf numFmtId="167" fontId="36" fillId="25" borderId="80" xfId="4" applyFont="1" applyFill="1" applyBorder="1" applyAlignment="1">
      <alignment horizontal="center" vertical="center"/>
    </xf>
    <xf numFmtId="167" fontId="9" fillId="25" borderId="75" xfId="4" applyFont="1" applyFill="1" applyBorder="1" applyAlignment="1">
      <alignment horizontal="center" vertical="center"/>
    </xf>
    <xf numFmtId="167" fontId="9" fillId="25" borderId="76" xfId="4" applyFont="1" applyFill="1" applyBorder="1" applyAlignment="1">
      <alignment horizontal="center" vertical="center"/>
    </xf>
    <xf numFmtId="167" fontId="36" fillId="25" borderId="66" xfId="4" applyFont="1" applyFill="1" applyBorder="1" applyAlignment="1">
      <alignment horizontal="center" vertical="center"/>
    </xf>
    <xf numFmtId="10" fontId="36" fillId="25" borderId="66" xfId="2" applyNumberFormat="1" applyFont="1" applyFill="1" applyBorder="1" applyAlignment="1">
      <alignment horizontal="center" vertical="center"/>
    </xf>
    <xf numFmtId="0" fontId="9" fillId="25" borderId="75" xfId="0" applyFont="1" applyFill="1" applyBorder="1" applyAlignment="1">
      <alignment horizontal="center" vertical="center"/>
    </xf>
    <xf numFmtId="0" fontId="9" fillId="25" borderId="76" xfId="0" applyFont="1" applyFill="1" applyBorder="1" applyAlignment="1">
      <alignment horizontal="center" vertical="center"/>
    </xf>
    <xf numFmtId="167" fontId="36" fillId="25" borderId="75" xfId="4" applyFont="1" applyFill="1" applyBorder="1" applyAlignment="1">
      <alignment horizontal="center" vertical="center"/>
    </xf>
    <xf numFmtId="167" fontId="9" fillId="25" borderId="81" xfId="4" applyFont="1" applyFill="1" applyBorder="1" applyAlignment="1">
      <alignment horizontal="center" vertical="center"/>
    </xf>
    <xf numFmtId="0" fontId="37" fillId="23" borderId="43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173" fontId="12" fillId="23" borderId="43" xfId="1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3" fontId="12" fillId="23" borderId="61" xfId="1" applyNumberFormat="1" applyFont="1" applyFill="1" applyBorder="1" applyAlignment="1">
      <alignment horizontal="center" vertical="center"/>
    </xf>
    <xf numFmtId="10" fontId="12" fillId="23" borderId="61" xfId="2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3" fontId="12" fillId="23" borderId="58" xfId="1" applyNumberFormat="1" applyFont="1" applyFill="1" applyBorder="1" applyAlignment="1">
      <alignment horizontal="center" vertical="center"/>
    </xf>
    <xf numFmtId="167" fontId="12" fillId="23" borderId="80" xfId="4" applyFont="1" applyFill="1" applyBorder="1" applyAlignment="1">
      <alignment horizontal="center" vertical="center"/>
    </xf>
    <xf numFmtId="167" fontId="0" fillId="23" borderId="75" xfId="4" applyFont="1" applyFill="1" applyBorder="1" applyAlignment="1">
      <alignment horizontal="center" vertical="center"/>
    </xf>
    <xf numFmtId="167" fontId="0" fillId="23" borderId="76" xfId="4" applyFont="1" applyFill="1" applyBorder="1" applyAlignment="1">
      <alignment horizontal="center" vertical="center"/>
    </xf>
    <xf numFmtId="167" fontId="12" fillId="23" borderId="66" xfId="4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0" fontId="12" fillId="23" borderId="66" xfId="2" applyNumberFormat="1" applyFont="1" applyFill="1" applyBorder="1" applyAlignment="1">
      <alignment horizontal="center" vertical="center"/>
    </xf>
    <xf numFmtId="10" fontId="0" fillId="0" borderId="75" xfId="2" applyNumberFormat="1" applyFont="1" applyBorder="1" applyAlignment="1">
      <alignment horizontal="center" vertical="center"/>
    </xf>
    <xf numFmtId="10" fontId="0" fillId="0" borderId="76" xfId="2" applyNumberFormat="1" applyFont="1" applyBorder="1" applyAlignment="1">
      <alignment horizontal="center" vertical="center"/>
    </xf>
    <xf numFmtId="167" fontId="12" fillId="23" borderId="75" xfId="4" applyFont="1" applyFill="1" applyBorder="1" applyAlignment="1">
      <alignment horizontal="center" vertical="center"/>
    </xf>
    <xf numFmtId="167" fontId="0" fillId="23" borderId="81" xfId="4" applyFont="1" applyFill="1" applyBorder="1" applyAlignment="1">
      <alignment horizontal="center" vertical="center"/>
    </xf>
    <xf numFmtId="0" fontId="36" fillId="3" borderId="43" xfId="0" applyFont="1" applyFill="1" applyBorder="1" applyAlignment="1">
      <alignment horizontal="center" vertical="center"/>
    </xf>
    <xf numFmtId="0" fontId="36" fillId="3" borderId="58" xfId="0" applyFont="1" applyFill="1" applyBorder="1" applyAlignment="1">
      <alignment horizontal="center" vertical="center"/>
    </xf>
    <xf numFmtId="0" fontId="36" fillId="3" borderId="59" xfId="0" applyFont="1" applyFill="1" applyBorder="1" applyAlignment="1">
      <alignment horizontal="center" vertical="center"/>
    </xf>
    <xf numFmtId="0" fontId="36" fillId="3" borderId="41" xfId="0" applyFont="1" applyFill="1" applyBorder="1" applyAlignment="1">
      <alignment vertical="center"/>
    </xf>
    <xf numFmtId="0" fontId="36" fillId="3" borderId="0" xfId="0" applyFont="1" applyFill="1" applyAlignment="1">
      <alignment vertical="center"/>
    </xf>
    <xf numFmtId="0" fontId="36" fillId="3" borderId="26" xfId="0" applyFont="1" applyFill="1" applyBorder="1" applyAlignment="1">
      <alignment vertical="center"/>
    </xf>
    <xf numFmtId="0" fontId="10" fillId="3" borderId="58" xfId="0" applyFont="1" applyFill="1" applyBorder="1" applyAlignment="1">
      <alignment horizontal="center" vertical="center"/>
    </xf>
    <xf numFmtId="0" fontId="10" fillId="3" borderId="58" xfId="0" applyFont="1" applyFill="1" applyBorder="1" applyAlignment="1">
      <alignment vertical="center"/>
    </xf>
    <xf numFmtId="0" fontId="10" fillId="3" borderId="61" xfId="0" applyFont="1" applyFill="1" applyBorder="1" applyAlignment="1">
      <alignment horizontal="center" vertical="center"/>
    </xf>
    <xf numFmtId="0" fontId="36" fillId="3" borderId="22" xfId="0" applyFont="1" applyFill="1" applyBorder="1" applyAlignment="1">
      <alignment vertical="center"/>
    </xf>
    <xf numFmtId="0" fontId="10" fillId="3" borderId="42" xfId="0" applyFont="1" applyFill="1" applyBorder="1" applyAlignment="1">
      <alignment vertical="center"/>
    </xf>
    <xf numFmtId="0" fontId="36" fillId="3" borderId="40" xfId="0" applyFont="1" applyFill="1" applyBorder="1" applyAlignment="1">
      <alignment vertical="center"/>
    </xf>
    <xf numFmtId="0" fontId="43" fillId="8" borderId="58" xfId="0" applyFont="1" applyFill="1" applyBorder="1" applyAlignment="1">
      <alignment horizontal="center" vertical="center"/>
    </xf>
    <xf numFmtId="0" fontId="43" fillId="8" borderId="58" xfId="0" applyFont="1" applyFill="1" applyBorder="1" applyAlignment="1">
      <alignment vertical="center"/>
    </xf>
    <xf numFmtId="0" fontId="42" fillId="8" borderId="0" xfId="0" applyFont="1" applyFill="1" applyAlignment="1">
      <alignment vertical="center"/>
    </xf>
    <xf numFmtId="0" fontId="10" fillId="3" borderId="61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vertical="center" wrapText="1"/>
    </xf>
    <xf numFmtId="0" fontId="36" fillId="3" borderId="22" xfId="0" applyFont="1" applyFill="1" applyBorder="1" applyAlignment="1">
      <alignment vertical="center" wrapText="1"/>
    </xf>
    <xf numFmtId="0" fontId="36" fillId="3" borderId="0" xfId="0" applyFont="1" applyFill="1" applyAlignment="1">
      <alignment vertical="center" wrapText="1"/>
    </xf>
    <xf numFmtId="0" fontId="2" fillId="23" borderId="43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53" xfId="0" applyFont="1" applyFill="1" applyBorder="1" applyAlignment="1">
      <alignment vertical="center"/>
    </xf>
    <xf numFmtId="0" fontId="34" fillId="0" borderId="57" xfId="0" applyFont="1" applyBorder="1" applyAlignment="1">
      <alignment vertical="center"/>
    </xf>
    <xf numFmtId="0" fontId="2" fillId="23" borderId="51" xfId="0" applyFont="1" applyFill="1" applyBorder="1" applyAlignment="1">
      <alignment horizontal="center" vertical="center"/>
    </xf>
    <xf numFmtId="0" fontId="2" fillId="23" borderId="52" xfId="0" applyFont="1" applyFill="1" applyBorder="1" applyAlignment="1">
      <alignment horizontal="center" vertical="center"/>
    </xf>
    <xf numFmtId="0" fontId="2" fillId="23" borderId="53" xfId="0" applyFont="1" applyFill="1" applyBorder="1" applyAlignment="1">
      <alignment vertical="center"/>
    </xf>
    <xf numFmtId="0" fontId="2" fillId="6" borderId="53" xfId="0" applyFont="1" applyFill="1" applyBorder="1" applyAlignment="1">
      <alignment horizontal="center" vertical="center"/>
    </xf>
    <xf numFmtId="0" fontId="8" fillId="10" borderId="51" xfId="0" applyFont="1" applyFill="1" applyBorder="1" applyAlignment="1">
      <alignment horizontal="center" vertical="center"/>
    </xf>
    <xf numFmtId="0" fontId="8" fillId="10" borderId="52" xfId="0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vertical="center"/>
    </xf>
    <xf numFmtId="0" fontId="2" fillId="23" borderId="53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51" fillId="0" borderId="0" xfId="0" applyFont="1" applyAlignment="1">
      <alignment vertical="center" wrapText="1"/>
    </xf>
    <xf numFmtId="0" fontId="0" fillId="0" borderId="0" xfId="0"/>
    <xf numFmtId="0" fontId="42" fillId="0" borderId="0" xfId="0" applyFont="1" applyAlignment="1">
      <alignment vertical="center" wrapText="1"/>
    </xf>
    <xf numFmtId="173" fontId="12" fillId="23" borderId="64" xfId="1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10" fontId="12" fillId="23" borderId="22" xfId="2" applyNumberFormat="1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167" fontId="3" fillId="23" borderId="75" xfId="4" applyFont="1" applyFill="1" applyBorder="1" applyAlignment="1">
      <alignment horizontal="center" vertical="center"/>
    </xf>
    <xf numFmtId="0" fontId="3" fillId="23" borderId="75" xfId="0" applyFont="1" applyFill="1" applyBorder="1" applyAlignment="1">
      <alignment horizontal="center" vertical="center"/>
    </xf>
    <xf numFmtId="0" fontId="3" fillId="23" borderId="76" xfId="0" applyFont="1" applyFill="1" applyBorder="1" applyAlignment="1">
      <alignment horizontal="center" vertical="center"/>
    </xf>
    <xf numFmtId="10" fontId="12" fillId="4" borderId="92" xfId="2" applyNumberFormat="1" applyFont="1" applyFill="1" applyBorder="1" applyAlignment="1">
      <alignment horizontal="center" vertical="center"/>
    </xf>
    <xf numFmtId="0" fontId="0" fillId="4" borderId="92" xfId="0" applyFill="1" applyBorder="1" applyAlignment="1">
      <alignment horizontal="center" vertical="center"/>
    </xf>
    <xf numFmtId="167" fontId="12" fillId="4" borderId="67" xfId="4" applyFont="1" applyFill="1" applyBorder="1" applyAlignment="1">
      <alignment horizontal="center" vertical="center"/>
    </xf>
    <xf numFmtId="167" fontId="0" fillId="4" borderId="29" xfId="4" applyFont="1" applyFill="1" applyBorder="1" applyAlignment="1">
      <alignment horizontal="center" vertical="center"/>
    </xf>
    <xf numFmtId="167" fontId="12" fillId="4" borderId="29" xfId="4" applyFont="1" applyFill="1" applyBorder="1" applyAlignment="1">
      <alignment horizontal="center" vertical="center"/>
    </xf>
    <xf numFmtId="0" fontId="35" fillId="25" borderId="83" xfId="0" applyFont="1" applyFill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44" fillId="23" borderId="54" xfId="0" applyFont="1" applyFill="1" applyBorder="1" applyAlignment="1">
      <alignment horizontal="center" vertical="center" wrapText="1"/>
    </xf>
    <xf numFmtId="0" fontId="45" fillId="23" borderId="55" xfId="0" applyFont="1" applyFill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3" borderId="59" xfId="0" applyFont="1" applyFill="1" applyBorder="1" applyAlignment="1">
      <alignment vertical="center"/>
    </xf>
    <xf numFmtId="0" fontId="0" fillId="4" borderId="29" xfId="0" applyFill="1" applyBorder="1" applyAlignment="1">
      <alignment horizontal="center" vertical="center"/>
    </xf>
    <xf numFmtId="173" fontId="12" fillId="4" borderId="91" xfId="1" applyNumberFormat="1" applyFont="1" applyFill="1" applyBorder="1" applyAlignment="1">
      <alignment horizontal="center" vertical="center"/>
    </xf>
    <xf numFmtId="173" fontId="12" fillId="4" borderId="92" xfId="1" applyNumberFormat="1" applyFont="1" applyFill="1" applyBorder="1" applyAlignment="1">
      <alignment horizontal="center" vertical="center"/>
    </xf>
    <xf numFmtId="10" fontId="12" fillId="4" borderId="29" xfId="2" applyNumberFormat="1" applyFont="1" applyFill="1" applyBorder="1" applyAlignment="1">
      <alignment horizontal="center" vertical="center"/>
    </xf>
    <xf numFmtId="10" fontId="0" fillId="4" borderId="29" xfId="2" applyNumberFormat="1" applyFont="1" applyFill="1" applyBorder="1" applyAlignment="1">
      <alignment horizontal="center" vertical="center"/>
    </xf>
    <xf numFmtId="173" fontId="12" fillId="23" borderId="41" xfId="1" applyNumberFormat="1" applyFont="1" applyFill="1" applyBorder="1" applyAlignment="1">
      <alignment horizontal="center" vertical="center"/>
    </xf>
    <xf numFmtId="167" fontId="3" fillId="23" borderId="76" xfId="4" applyFont="1" applyFill="1" applyBorder="1" applyAlignment="1">
      <alignment horizontal="center" vertical="center"/>
    </xf>
    <xf numFmtId="0" fontId="0" fillId="4" borderId="93" xfId="0" applyFill="1" applyBorder="1" applyAlignment="1">
      <alignment horizontal="center" vertical="center"/>
    </xf>
    <xf numFmtId="167" fontId="0" fillId="4" borderId="68" xfId="4" applyFont="1" applyFill="1" applyBorder="1" applyAlignment="1">
      <alignment horizontal="center" vertical="center"/>
    </xf>
    <xf numFmtId="173" fontId="12" fillId="23" borderId="22" xfId="1" applyNumberFormat="1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167" fontId="3" fillId="23" borderId="81" xfId="4" applyFont="1" applyFill="1" applyBorder="1" applyAlignment="1">
      <alignment horizontal="center" vertical="center"/>
    </xf>
    <xf numFmtId="173" fontId="12" fillId="23" borderId="0" xfId="1" applyNumberFormat="1" applyFont="1" applyFill="1" applyBorder="1" applyAlignment="1">
      <alignment horizontal="center" vertical="center"/>
    </xf>
    <xf numFmtId="0" fontId="0" fillId="0" borderId="62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173" fontId="12" fillId="23" borderId="63" xfId="1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73" fontId="12" fillId="23" borderId="73" xfId="1" applyNumberFormat="1" applyFont="1" applyFill="1" applyBorder="1" applyAlignment="1">
      <alignment horizontal="center" vertical="center"/>
    </xf>
    <xf numFmtId="10" fontId="12" fillId="23" borderId="64" xfId="2" applyNumberFormat="1" applyFont="1" applyFill="1" applyBorder="1" applyAlignment="1">
      <alignment horizontal="center" vertical="center"/>
    </xf>
    <xf numFmtId="0" fontId="42" fillId="5" borderId="43" xfId="0" applyFont="1" applyFill="1" applyBorder="1" applyAlignment="1">
      <alignment horizontal="center" vertical="center"/>
    </xf>
    <xf numFmtId="0" fontId="42" fillId="5" borderId="58" xfId="0" applyFont="1" applyFill="1" applyBorder="1" applyAlignment="1">
      <alignment horizontal="center" vertical="center"/>
    </xf>
    <xf numFmtId="0" fontId="42" fillId="5" borderId="59" xfId="0" applyFont="1" applyFill="1" applyBorder="1" applyAlignment="1">
      <alignment horizontal="center" vertical="center"/>
    </xf>
    <xf numFmtId="0" fontId="42" fillId="5" borderId="41" xfId="0" applyFont="1" applyFill="1" applyBorder="1" applyAlignment="1">
      <alignment vertical="center"/>
    </xf>
    <xf numFmtId="0" fontId="42" fillId="5" borderId="0" xfId="0" applyFont="1" applyFill="1" applyAlignment="1">
      <alignment vertical="center"/>
    </xf>
    <xf numFmtId="0" fontId="42" fillId="5" borderId="26" xfId="0" applyFont="1" applyFill="1" applyBorder="1" applyAlignment="1">
      <alignment vertical="center"/>
    </xf>
    <xf numFmtId="0" fontId="43" fillId="27" borderId="58" xfId="0" applyFont="1" applyFill="1" applyBorder="1" applyAlignment="1">
      <alignment horizontal="center" vertical="center"/>
    </xf>
    <xf numFmtId="0" fontId="43" fillId="27" borderId="58" xfId="0" applyFont="1" applyFill="1" applyBorder="1" applyAlignment="1">
      <alignment vertical="center"/>
    </xf>
    <xf numFmtId="0" fontId="42" fillId="27" borderId="0" xfId="0" applyFont="1" applyFill="1" applyAlignment="1">
      <alignment vertical="center"/>
    </xf>
    <xf numFmtId="173" fontId="12" fillId="0" borderId="41" xfId="1" applyNumberFormat="1" applyFont="1" applyBorder="1" applyAlignment="1">
      <alignment horizontal="center" vertical="center"/>
    </xf>
    <xf numFmtId="0" fontId="35" fillId="25" borderId="65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44" fillId="23" borderId="43" xfId="0" applyFont="1" applyFill="1" applyBorder="1" applyAlignment="1">
      <alignment horizontal="center" vertical="center" wrapText="1"/>
    </xf>
    <xf numFmtId="0" fontId="45" fillId="23" borderId="41" xfId="0" applyFont="1" applyFill="1" applyBorder="1" applyAlignment="1">
      <alignment horizontal="center" vertical="center" wrapText="1"/>
    </xf>
    <xf numFmtId="167" fontId="12" fillId="0" borderId="94" xfId="4" applyFont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14" fillId="0" borderId="0" xfId="5" applyAlignment="1">
      <alignment horizontal="center"/>
    </xf>
    <xf numFmtId="0" fontId="17" fillId="0" borderId="0" xfId="0" applyFont="1" applyAlignment="1">
      <alignment horizontal="center"/>
    </xf>
    <xf numFmtId="0" fontId="54" fillId="33" borderId="43" xfId="0" applyFont="1" applyFill="1" applyBorder="1" applyAlignment="1">
      <alignment horizontal="center" vertical="center"/>
    </xf>
    <xf numFmtId="0" fontId="54" fillId="33" borderId="58" xfId="0" applyFont="1" applyFill="1" applyBorder="1" applyAlignment="1">
      <alignment horizontal="center" vertical="center"/>
    </xf>
    <xf numFmtId="0" fontId="54" fillId="33" borderId="51" xfId="0" applyFont="1" applyFill="1" applyBorder="1" applyAlignment="1">
      <alignment horizontal="center" vertical="center"/>
    </xf>
    <xf numFmtId="0" fontId="54" fillId="33" borderId="52" xfId="0" applyFont="1" applyFill="1" applyBorder="1" applyAlignment="1">
      <alignment horizontal="center" vertical="center"/>
    </xf>
    <xf numFmtId="167" fontId="12" fillId="4" borderId="0" xfId="4" applyFont="1" applyFill="1" applyBorder="1" applyAlignment="1">
      <alignment horizontal="center" vertical="center"/>
    </xf>
    <xf numFmtId="167" fontId="0" fillId="4" borderId="0" xfId="4" applyFont="1" applyFill="1" applyBorder="1" applyAlignment="1">
      <alignment horizontal="center" vertical="center"/>
    </xf>
    <xf numFmtId="10" fontId="12" fillId="4" borderId="0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12" fillId="4" borderId="0" xfId="2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173" fontId="12" fillId="4" borderId="0" xfId="1" applyNumberFormat="1" applyFont="1" applyFill="1" applyBorder="1" applyAlignment="1">
      <alignment horizontal="center" vertical="center"/>
    </xf>
  </cellXfs>
  <cellStyles count="10">
    <cellStyle name="Bad 2" xfId="9" xr:uid="{A0F25E44-ED47-41B4-84B6-C8BB2513EF2E}"/>
    <cellStyle name="Comma" xfId="4" builtinId="3"/>
    <cellStyle name="Currency" xfId="1" builtinId="4"/>
    <cellStyle name="Good 2" xfId="7" xr:uid="{95AD43C4-7B3A-4EDF-A7A4-03EAFE42C2C9}"/>
    <cellStyle name="Neutral 2" xfId="6" xr:uid="{E122A2D5-D447-42A7-B204-95ADD8589AC7}"/>
    <cellStyle name="Normal" xfId="0" builtinId="0"/>
    <cellStyle name="Normal 2" xfId="3" xr:uid="{67797F94-75D9-49DF-BA53-DD52F0468C96}"/>
    <cellStyle name="Normal 3" xfId="5" xr:uid="{4925AB6F-DF5F-4A2B-A10A-30FA539E8650}"/>
    <cellStyle name="Percent" xfId="2" builtinId="5"/>
    <cellStyle name="Percent 2" xfId="8" xr:uid="{5D92C007-D059-4737-87DB-2A45416F76EC}"/>
  </cellStyles>
  <dxfs count="4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" formatCode="0"/>
    </dxf>
    <dxf>
      <numFmt numFmtId="169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5" tint="0.39997558519241921"/>
      </font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/>
      </fill>
    </dxf>
    <dxf>
      <numFmt numFmtId="166" formatCode="_-&quot;$&quot;* #,##0.00_-;\-&quot;$&quot;* #,##0.00_-;_-&quot;$&quot;* &quot;-&quot;??_-;_-@_-"/>
    </dxf>
    <dxf>
      <numFmt numFmtId="2" formatCode="0.00"/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70" formatCode="_([$$-409]* #,##0.00_);_([$$-409]* \(#,##0.00\);_([$$-409]* &quot;-&quot;??_);_(@_)"/>
    </dxf>
    <dxf>
      <numFmt numFmtId="3" formatCode="#,##0"/>
    </dxf>
    <dxf>
      <fill>
        <patternFill patternType="solid">
          <fgColor indexed="64"/>
          <bgColor theme="4" tint="0.3999755851924192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13" formatCode="0%"/>
    </dxf>
    <dxf>
      <numFmt numFmtId="171" formatCode="#,##0.0"/>
    </dxf>
    <dxf>
      <numFmt numFmtId="171" formatCode="#,##0.0"/>
    </dxf>
    <dxf>
      <numFmt numFmtId="4" formatCode="#,##0.00"/>
    </dxf>
    <dxf>
      <numFmt numFmtId="4" formatCode="#,##0.00"/>
    </dxf>
    <dxf>
      <numFmt numFmtId="4" formatCode="#,##0.00"/>
    </dxf>
    <dxf>
      <font>
        <color rgb="FF000000"/>
      </font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000000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auto="1"/>
      </font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  <numFmt numFmtId="171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alignment horizontal="right"/>
    </dxf>
    <dxf>
      <alignment horizontal="center" indent="0"/>
    </dxf>
    <dxf>
      <alignment horizontal="left" relativeIndent="1"/>
    </dxf>
    <dxf>
      <numFmt numFmtId="3" formatCode="#,##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alignment horizontal="right"/>
    </dxf>
    <dxf>
      <alignment horizontal="right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169" formatCode="_-* #,##0_-;\-* #,##0_-;_-* &quot;-&quot;??_-;_-@_-"/>
    </dxf>
    <dxf>
      <numFmt numFmtId="169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rgb="FFC6EFCE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/>
      </fill>
    </dxf>
    <dxf>
      <fill>
        <patternFill patternType="solid"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166" formatCode="_-&quot;$&quot;* #,##0.00_-;\-&quot;$&quot;* #,##0.00_-;_-&quot;$&quot;* &quot;-&quot;??_-;_-@_-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3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17-4A37-88FD-3C1933AEEE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17-4A37-88FD-3C1933AEEE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17-4A37-88FD-3C1933AEEEF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Annualized!$V$29:$X$29</c:f>
              <c:strCache>
                <c:ptCount val="3"/>
                <c:pt idx="0">
                  <c:v>Pin Disc</c:v>
                </c:pt>
                <c:pt idx="1">
                  <c:v>ADV+ Disc. </c:v>
                </c:pt>
                <c:pt idx="2">
                  <c:v>Saas  Disc.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Annualized!$V$40:$X$40</c:f>
              <c:numCache>
                <c:formatCode>_-"$"* #,##0.00_-;\-"$"* #,##0.00_-;_-"$"* "-"??_-;_-@_-</c:formatCode>
                <c:ptCount val="3"/>
                <c:pt idx="0" formatCode="_-* #,##0.00_-;\-* #,##0.00_-;_-* &quot;-&quot;??_-;_-@_-">
                  <c:v>4.6888169066166396</c:v>
                </c:pt>
                <c:pt idx="1" formatCode="_-* #,##0.00_-;\-* #,##0.00_-;_-* &quot;-&quot;??_-;_-@_-">
                  <c:v>2.8856599590580667</c:v>
                </c:pt>
                <c:pt idx="2" formatCode="_-* #,##0.00_-;\-* #,##0.00_-;_-* &quot;-&quot;??_-;_-@_-">
                  <c:v>9.9863953634230143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FFEF-40FA-893E-BFD25E6C8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FFEF-40FA-893E-BFD25E6C8FC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FFEF-40FA-893E-BFD25E6C8FC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FFEF-40FA-893E-BFD25E6C8FC7}"/>
                    </c:ext>
                  </c:extLst>
                </c:dPt>
                <c:dLbls>
                  <c:dLbl>
                    <c:idx val="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FFEF-40FA-893E-BFD25E6C8FC7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833A631D-3F69-4FEC-903E-EC83BC78B17A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2.89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E-FFEF-40FA-893E-BFD25E6C8FC7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EA8F44A-7772-43A9-8790-2D39DE9A5AB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9.99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FFEF-40FA-893E-BFD25E6C8F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Annualized!$V$30:$X$30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4.8493437801101313</c:v>
                      </c:pt>
                      <c:pt idx="1" formatCode="_-* #,##0.00_-;\-* #,##0.00_-;_-* &quot;-&quot;??_-;_-@_-">
                        <c:v>2.752582165532981</c:v>
                      </c:pt>
                      <c:pt idx="2" formatCode="_-* #,##0.00_-;\-* #,##0.00_-;_-* &quot;-&quot;??_-;_-@_-">
                        <c:v>11.541462685548893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FEF-40FA-893E-BFD25E6C8FC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Annualized!$V$31:$X$31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5.1757202284091575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FEF-40FA-893E-BFD25E6C8FC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Annualized!$V$32:$X$32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5.3398361607011715</c:v>
                      </c:pt>
                      <c:pt idx="1" formatCode="_-* #,##0.00_-;\-* #,##0.00_-;_-* &quot;-&quot;??_-;_-@_-">
                        <c:v>3.3092582103253045</c:v>
                      </c:pt>
                      <c:pt idx="2" formatCode="_-* #,##0.00_-;\-* #,##0.00_-;_-* &quot;-&quot;??_-;_-@_-">
                        <c:v>11.768180141086832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FEF-40FA-893E-BFD25E6C8FC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Annualized!$V$33:$X$33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0.79551472711011761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0.14798791386902146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FEF-40FA-893E-BFD25E6C8FC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Annualized!$V$34:$X$34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9.0933981533576436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FEF-40FA-893E-BFD25E6C8FC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Annualized!$V$35:$X$35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-2.7833481733868872</c:v>
                      </c:pt>
                      <c:pt idx="1" formatCode="_-* #,##0.00_-;\-* #,##0.00_-;_-* &quot;-&quot;??_-;_-@_-">
                        <c:v>1.6451199116816886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FEF-40FA-893E-BFD25E6C8FC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Annualized!$V$36:$X$36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10.503405712157805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FEF-40FA-893E-BFD25E6C8FC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Annualized!$V$37:$X$37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1.3326489070654797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1.6301151809640242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FEF-40FA-893E-BFD25E6C8FC7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Annualized!$V$38:$X$38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7.2718696728906496</c:v>
                      </c:pt>
                      <c:pt idx="1" formatCode="_-* #,##0.00_-;\-* #,##0.00_-;_-* &quot;-&quot;??_-;_-@_-">
                        <c:v>6.8201178170753618</c:v>
                      </c:pt>
                      <c:pt idx="2" formatCode="_-* #,##0.00_-;\-* #,##0.00_-;_-* &quot;-&quot;??_-;_-@_-">
                        <c:v>9.6719346012925325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FEF-40FA-893E-BFD25E6C8FC7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Annualized!$V$39:$X$39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0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FEF-40FA-893E-BFD25E6C8FC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>
                <a:solidFill>
                  <a:srgbClr val="002060"/>
                </a:solidFill>
              </a:rPr>
              <a:t>GTV</a:t>
            </a:r>
            <a:r>
              <a:rPr lang="en-AU" sz="1600" b="1" baseline="0">
                <a:solidFill>
                  <a:srgbClr val="002060"/>
                </a:solidFill>
              </a:rPr>
              <a:t> by Card Type</a:t>
            </a:r>
            <a:endParaRPr lang="en-AU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19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32E-4437-9B2F-C3B3C79CD1C1}"/>
              </c:ext>
            </c:extLst>
          </c:dPt>
          <c:dLbls>
            <c:dLbl>
              <c:idx val="0"/>
              <c:layout>
                <c:manualLayout>
                  <c:x val="6.009601325333816E-2"/>
                  <c:y val="-0.223118312078252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E-4437-9B2F-C3B3C79CD1C1}"/>
                </c:ext>
              </c:extLst>
            </c:dLbl>
            <c:dLbl>
              <c:idx val="2"/>
              <c:layout>
                <c:manualLayout>
                  <c:x val="7.4254193694055174E-3"/>
                  <c:y val="-2.5745583423455797E-2"/>
                </c:manualLayout>
              </c:layout>
              <c:tx>
                <c:rich>
                  <a:bodyPr/>
                  <a:lstStyle/>
                  <a:p>
                    <a:fld id="{8EC4AB1E-BC2A-4F7B-8BB3-624ED95FDC4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979DACF-EBA0-4B5B-BD2A-1526F67F775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32E-4437-9B2F-C3B3C79CD1C1}"/>
                </c:ext>
              </c:extLst>
            </c:dLbl>
            <c:dLbl>
              <c:idx val="5"/>
              <c:layout>
                <c:manualLayout>
                  <c:x val="4.3713981428460592E-2"/>
                  <c:y val="-8.3176842730832562E-3"/>
                </c:manualLayout>
              </c:layout>
              <c:tx>
                <c:rich>
                  <a:bodyPr/>
                  <a:lstStyle/>
                  <a:p>
                    <a:fld id="{728DD82C-E52D-4F18-A54D-08915C23BB0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52ECB15-FAAC-49D5-B754-F48E74A38E9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2E-4437-9B2F-C3B3C79CD1C1}"/>
                </c:ext>
              </c:extLst>
            </c:dLbl>
            <c:dLbl>
              <c:idx val="6"/>
              <c:layout>
                <c:manualLayout>
                  <c:x val="5.8110698833396049E-2"/>
                  <c:y val="1.4705653701700782E-2"/>
                </c:manualLayout>
              </c:layout>
              <c:tx>
                <c:rich>
                  <a:bodyPr/>
                  <a:lstStyle/>
                  <a:p>
                    <a:fld id="{95E69FE9-3B77-45CB-AE89-0D2C9852F0D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4B1AF89-18F9-4CC6-B660-E4B8072B581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2E-4437-9B2F-C3B3C79CD1C1}"/>
                </c:ext>
              </c:extLst>
            </c:dLbl>
            <c:dLbl>
              <c:idx val="7"/>
              <c:layout>
                <c:manualLayout>
                  <c:x val="4.1583470595516155E-2"/>
                  <c:y val="1.2682001306055683E-2"/>
                </c:manualLayout>
              </c:layout>
              <c:tx>
                <c:rich>
                  <a:bodyPr/>
                  <a:lstStyle/>
                  <a:p>
                    <a:fld id="{DE76194D-AEDA-4AFB-B5C1-635C571910C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BB96382C-E6B0-4E3C-B642-6BAA886DF2B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2E-4437-9B2F-C3B3C79CD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Card'!$C$4:$J$4</c:f>
              <c:numCache>
                <c:formatCode>_-"$"* #,##0_-;\-"$"* #,##0_-;_-"$"* "-"??_-;_-@_-</c:formatCode>
                <c:ptCount val="8"/>
                <c:pt idx="0">
                  <c:v>3513336.72</c:v>
                </c:pt>
                <c:pt idx="1">
                  <c:v>22346622.780000009</c:v>
                </c:pt>
                <c:pt idx="2">
                  <c:v>2616131.8100000015</c:v>
                </c:pt>
                <c:pt idx="3">
                  <c:v>15284097.470000001</c:v>
                </c:pt>
                <c:pt idx="4">
                  <c:v>16780190.190000013</c:v>
                </c:pt>
                <c:pt idx="5">
                  <c:v>3679803.4800000009</c:v>
                </c:pt>
                <c:pt idx="6">
                  <c:v>1832306.2899999998</c:v>
                </c:pt>
                <c:pt idx="7">
                  <c:v>1795722.3000000005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557-A1F1-46F5AC098A3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Card'!$C$5:$J$5</c:f>
              <c:numCache>
                <c:formatCode>0.00%</c:formatCode>
                <c:ptCount val="8"/>
                <c:pt idx="0">
                  <c:v>5.1782304443203475E-2</c:v>
                </c:pt>
                <c:pt idx="1">
                  <c:v>0.32936200435447771</c:v>
                </c:pt>
                <c:pt idx="2">
                  <c:v>3.8558596754417841E-2</c:v>
                </c:pt>
                <c:pt idx="3">
                  <c:v>0.22526898256741415</c:v>
                </c:pt>
                <c:pt idx="4">
                  <c:v>0.24731956720431766</c:v>
                </c:pt>
                <c:pt idx="5">
                  <c:v>5.4235821749678365E-2</c:v>
                </c:pt>
                <c:pt idx="6">
                  <c:v>2.700596319215787E-2</c:v>
                </c:pt>
                <c:pt idx="7">
                  <c:v>2.6466759734333004E-2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557-A1F1-46F5AC098A3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Card'!$C$6:$J$6</c:f>
              <c:numCache>
                <c:formatCode>_-"$"* #,##0_-;\-"$"* #,##0_-;_-"$"* "-"??_-;_-@_-</c:formatCode>
                <c:ptCount val="8"/>
                <c:pt idx="0">
                  <c:v>28971.789999999994</c:v>
                </c:pt>
                <c:pt idx="1">
                  <c:v>992912.44000000029</c:v>
                </c:pt>
                <c:pt idx="2">
                  <c:v>99801.569999999992</c:v>
                </c:pt>
                <c:pt idx="3">
                  <c:v>577670.54000000015</c:v>
                </c:pt>
                <c:pt idx="4">
                  <c:v>345338.64000000013</c:v>
                </c:pt>
                <c:pt idx="5">
                  <c:v>128398</c:v>
                </c:pt>
                <c:pt idx="6">
                  <c:v>8759.07</c:v>
                </c:pt>
                <c:pt idx="7">
                  <c:v>15389.529999999999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557-A1F1-46F5AC098A3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Card'!$C$7:$J$7</c:f>
              <c:numCache>
                <c:formatCode>0.00%</c:formatCode>
                <c:ptCount val="8"/>
                <c:pt idx="0">
                  <c:v>1.3185527828942684E-2</c:v>
                </c:pt>
                <c:pt idx="1">
                  <c:v>0.45189042890768538</c:v>
                </c:pt>
                <c:pt idx="2">
                  <c:v>4.5421300465286113E-2</c:v>
                </c:pt>
                <c:pt idx="3">
                  <c:v>0.26290715834714912</c:v>
                </c:pt>
                <c:pt idx="4">
                  <c:v>0.15716917208530165</c:v>
                </c:pt>
                <c:pt idx="5">
                  <c:v>5.8435995918118384E-2</c:v>
                </c:pt>
                <c:pt idx="6">
                  <c:v>3.9863937036909705E-3</c:v>
                </c:pt>
                <c:pt idx="7">
                  <c:v>7.0040227438259196E-3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F-4557-A1F1-46F5AC098A3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Card'!$C$8:$J$8</c:f>
              <c:numCache>
                <c:formatCode>_-"$"* #,##0_-;\-"$"* #,##0_-;_-"$"* "-"??_-;_-@_-</c:formatCode>
                <c:ptCount val="8"/>
                <c:pt idx="0">
                  <c:v>3451836.4899999993</c:v>
                </c:pt>
                <c:pt idx="1">
                  <c:v>14232255.489999998</c:v>
                </c:pt>
                <c:pt idx="2">
                  <c:v>2063144.4300000002</c:v>
                </c:pt>
                <c:pt idx="3">
                  <c:v>10380845.669999996</c:v>
                </c:pt>
                <c:pt idx="4">
                  <c:v>14191344.989999996</c:v>
                </c:pt>
                <c:pt idx="5">
                  <c:v>3283670.7599999988</c:v>
                </c:pt>
                <c:pt idx="6">
                  <c:v>1251747</c:v>
                </c:pt>
                <c:pt idx="7">
                  <c:v>1056702.6200000001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F-4557-A1F1-46F5AC098A3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Card'!$C$9:$J$9</c:f>
              <c:numCache>
                <c:formatCode>0.00%</c:formatCode>
                <c:ptCount val="8"/>
                <c:pt idx="0">
                  <c:v>6.9159075732082936E-2</c:v>
                </c:pt>
                <c:pt idx="1">
                  <c:v>0.28514955390348257</c:v>
                </c:pt>
                <c:pt idx="2">
                  <c:v>4.1336014117109909E-2</c:v>
                </c:pt>
                <c:pt idx="3">
                  <c:v>0.20798484920547181</c:v>
                </c:pt>
                <c:pt idx="4">
                  <c:v>0.28432989388310381</c:v>
                </c:pt>
                <c:pt idx="5">
                  <c:v>6.5789800712740681E-2</c:v>
                </c:pt>
                <c:pt idx="6">
                  <c:v>2.507930657237117E-2</c:v>
                </c:pt>
                <c:pt idx="7">
                  <c:v>2.1171505873637274E-2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F-4557-A1F1-46F5AC098A3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Card'!$C$10:$J$10</c:f>
              <c:numCache>
                <c:formatCode>_-"$"* #,##0_-;\-"$"* #,##0_-;_-"$"* "-"??_-;_-@_-</c:formatCode>
                <c:ptCount val="8"/>
                <c:pt idx="0">
                  <c:v>204984.90000000002</c:v>
                </c:pt>
                <c:pt idx="1">
                  <c:v>2129764.1300000013</c:v>
                </c:pt>
                <c:pt idx="2">
                  <c:v>270174.44999999995</c:v>
                </c:pt>
                <c:pt idx="3">
                  <c:v>1703842.1900000004</c:v>
                </c:pt>
                <c:pt idx="4">
                  <c:v>1710872.9400000004</c:v>
                </c:pt>
                <c:pt idx="5">
                  <c:v>351036.35000000009</c:v>
                </c:pt>
                <c:pt idx="6">
                  <c:v>143753.76000000015</c:v>
                </c:pt>
                <c:pt idx="7">
                  <c:v>145986.39999999991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F-4557-A1F1-46F5AC098A3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Card'!$C$11:$J$11</c:f>
              <c:numCache>
                <c:formatCode>0.00%</c:formatCode>
                <c:ptCount val="8"/>
                <c:pt idx="0">
                  <c:v>3.0776595198168361E-2</c:v>
                </c:pt>
                <c:pt idx="1">
                  <c:v>0.31976447287868154</c:v>
                </c:pt>
                <c:pt idx="2">
                  <c:v>4.0564205853883747E-2</c:v>
                </c:pt>
                <c:pt idx="3">
                  <c:v>0.25581621555144146</c:v>
                </c:pt>
                <c:pt idx="4">
                  <c:v>0.25687181792356506</c:v>
                </c:pt>
                <c:pt idx="5">
                  <c:v>5.2704875548357705E-2</c:v>
                </c:pt>
                <c:pt idx="6">
                  <c:v>2.1583303354220974E-2</c:v>
                </c:pt>
                <c:pt idx="7">
                  <c:v>2.1918513691681105E-2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F-4557-A1F1-46F5AC098A38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Card'!$C$12:$J$12</c:f>
              <c:numCache>
                <c:formatCode>_-"$"* #,##0_-;\-"$"* #,##0_-;_-"$"* "-"??_-;_-@_-</c:formatCode>
                <c:ptCount val="8"/>
                <c:pt idx="0">
                  <c:v>10150.43</c:v>
                </c:pt>
                <c:pt idx="1">
                  <c:v>163384.25000000003</c:v>
                </c:pt>
                <c:pt idx="2">
                  <c:v>22548.799999999996</c:v>
                </c:pt>
                <c:pt idx="3">
                  <c:v>79880.649999999994</c:v>
                </c:pt>
                <c:pt idx="4">
                  <c:v>124934.34000000003</c:v>
                </c:pt>
                <c:pt idx="5">
                  <c:v>24332.050000000003</c:v>
                </c:pt>
                <c:pt idx="6">
                  <c:v>2978.54</c:v>
                </c:pt>
                <c:pt idx="7">
                  <c:v>3211.2799999999997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F-4557-A1F1-46F5AC098A38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Card'!$C$13:$J$13</c:f>
              <c:numCache>
                <c:formatCode>0.00%</c:formatCode>
                <c:ptCount val="8"/>
                <c:pt idx="0">
                  <c:v>2.3527935655514063E-2</c:v>
                </c:pt>
                <c:pt idx="1">
                  <c:v>0.37871244086451744</c:v>
                </c:pt>
                <c:pt idx="2">
                  <c:v>5.2266427679325447E-2</c:v>
                </c:pt>
                <c:pt idx="3">
                  <c:v>0.18515735720759013</c:v>
                </c:pt>
                <c:pt idx="4">
                  <c:v>0.28958843247863564</c:v>
                </c:pt>
                <c:pt idx="5">
                  <c:v>5.6399867470319089E-2</c:v>
                </c:pt>
                <c:pt idx="6">
                  <c:v>6.9040323875318435E-3</c:v>
                </c:pt>
                <c:pt idx="7">
                  <c:v>7.4435062565663904E-3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DF-4557-A1F1-46F5AC098A38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Card'!$C$14:$J$14</c:f>
              <c:numCache>
                <c:formatCode>_-"$"* #,##0_-;\-"$"* #,##0_-;_-"$"* "-"??_-;_-@_-</c:formatCode>
                <c:ptCount val="8"/>
                <c:pt idx="0">
                  <c:v>158854.65000000002</c:v>
                </c:pt>
                <c:pt idx="1">
                  <c:v>2604721.9599999995</c:v>
                </c:pt>
                <c:pt idx="2">
                  <c:v>270902.85000000003</c:v>
                </c:pt>
                <c:pt idx="3">
                  <c:v>1362981.5900000005</c:v>
                </c:pt>
                <c:pt idx="4">
                  <c:v>1382177.67</c:v>
                </c:pt>
                <c:pt idx="5">
                  <c:v>368459.10000000033</c:v>
                </c:pt>
                <c:pt idx="6">
                  <c:v>72423.789999999994</c:v>
                </c:pt>
                <c:pt idx="7">
                  <c:v>80688.459999999977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DF-4557-A1F1-46F5AC098A38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Card'!$C$15:$J$15</c:f>
              <c:numCache>
                <c:formatCode>0.00%</c:formatCode>
                <c:ptCount val="8"/>
                <c:pt idx="0">
                  <c:v>2.5210181573902046E-2</c:v>
                </c:pt>
                <c:pt idx="1">
                  <c:v>0.41336853256187339</c:v>
                </c:pt>
                <c:pt idx="2">
                  <c:v>4.299219467222111E-2</c:v>
                </c:pt>
                <c:pt idx="3">
                  <c:v>0.21630473748036788</c:v>
                </c:pt>
                <c:pt idx="4">
                  <c:v>0.21935114916744869</c:v>
                </c:pt>
                <c:pt idx="5">
                  <c:v>5.847433999292144E-2</c:v>
                </c:pt>
                <c:pt idx="6">
                  <c:v>1.1493632047725079E-2</c:v>
                </c:pt>
                <c:pt idx="7">
                  <c:v>1.2805232503540383E-2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DF-4557-A1F1-46F5AC098A38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Card'!$C$16:$J$16</c:f>
              <c:numCache>
                <c:formatCode>_-"$"* #,##0_-;\-"$"* #,##0_-;_-"$"* "-"??_-;_-@_-</c:formatCode>
                <c:ptCount val="8"/>
                <c:pt idx="0">
                  <c:v>74247.37999999999</c:v>
                </c:pt>
                <c:pt idx="1">
                  <c:v>740799.37999999989</c:v>
                </c:pt>
                <c:pt idx="2">
                  <c:v>84684.25999999998</c:v>
                </c:pt>
                <c:pt idx="3">
                  <c:v>442880.75</c:v>
                </c:pt>
                <c:pt idx="4">
                  <c:v>535515.33999999973</c:v>
                </c:pt>
                <c:pt idx="5">
                  <c:v>126869.26000000002</c:v>
                </c:pt>
                <c:pt idx="6">
                  <c:v>39136.29</c:v>
                </c:pt>
                <c:pt idx="7">
                  <c:v>42223.59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DF-4557-A1F1-46F5AC098A38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Card'!$C$17:$J$17</c:f>
              <c:numCache>
                <c:formatCode>0.00%</c:formatCode>
                <c:ptCount val="8"/>
                <c:pt idx="0">
                  <c:v>3.5587105509905126E-2</c:v>
                </c:pt>
                <c:pt idx="1">
                  <c:v>0.35506849800938833</c:v>
                </c:pt>
                <c:pt idx="2">
                  <c:v>4.0589549363873011E-2</c:v>
                </c:pt>
                <c:pt idx="3">
                  <c:v>0.21227474933870955</c:v>
                </c:pt>
                <c:pt idx="4">
                  <c:v>0.25667492787964652</c:v>
                </c:pt>
                <c:pt idx="5">
                  <c:v>6.0809010925147622E-2</c:v>
                </c:pt>
                <c:pt idx="6">
                  <c:v>1.8758201050276049E-2</c:v>
                </c:pt>
                <c:pt idx="7">
                  <c:v>2.0237957923053648E-2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DF-4557-A1F1-46F5AC098A38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Card'!$C$18:$J$18</c:f>
              <c:numCache>
                <c:formatCode>_-"$"* #,##0_-;\-"$"* #,##0_-;_-"$"* "-"??_-;_-@_-</c:formatCode>
                <c:ptCount val="8"/>
                <c:pt idx="0">
                  <c:v>206020.00000000009</c:v>
                </c:pt>
                <c:pt idx="1">
                  <c:v>3049936.5900000003</c:v>
                </c:pt>
                <c:pt idx="2">
                  <c:v>358214.68000000028</c:v>
                </c:pt>
                <c:pt idx="3">
                  <c:v>2294382.3500000015</c:v>
                </c:pt>
                <c:pt idx="4">
                  <c:v>1813340.4600000007</c:v>
                </c:pt>
                <c:pt idx="5">
                  <c:v>538449.53000000014</c:v>
                </c:pt>
                <c:pt idx="6">
                  <c:v>111256.40999999999</c:v>
                </c:pt>
                <c:pt idx="7">
                  <c:v>118027.94000000002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DF-4557-A1F1-46F5AC098A38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Card'!$C$19:$J$19</c:f>
              <c:numCache>
                <c:formatCode>0.00%</c:formatCode>
                <c:ptCount val="8"/>
                <c:pt idx="0">
                  <c:v>2.4267258938871099E-2</c:v>
                </c:pt>
                <c:pt idx="1">
                  <c:v>0.35925444605702123</c:v>
                </c:pt>
                <c:pt idx="2">
                  <c:v>4.2194390812857266E-2</c:v>
                </c:pt>
                <c:pt idx="3">
                  <c:v>0.27025711383470341</c:v>
                </c:pt>
                <c:pt idx="4">
                  <c:v>0.21359480869406675</c:v>
                </c:pt>
                <c:pt idx="5">
                  <c:v>6.3424396515015247E-2</c:v>
                </c:pt>
                <c:pt idx="6">
                  <c:v>1.3104980633332718E-2</c:v>
                </c:pt>
                <c:pt idx="7">
                  <c:v>1.3902604514132322E-2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DF-4557-A1F1-46F5AC098A38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Card'!$C$20:$J$20</c:f>
              <c:numCache>
                <c:formatCode>_-"$"* #,##0_-;\-"$"* #,##0_-;_-"$"* "-"??_-;_-@_-</c:formatCode>
                <c:ptCount val="8"/>
                <c:pt idx="0">
                  <c:v>4644.67</c:v>
                </c:pt>
                <c:pt idx="1">
                  <c:v>175277.07000000004</c:v>
                </c:pt>
                <c:pt idx="2">
                  <c:v>18714.93</c:v>
                </c:pt>
                <c:pt idx="3">
                  <c:v>86946.41</c:v>
                </c:pt>
                <c:pt idx="4">
                  <c:v>78192.75999999998</c:v>
                </c:pt>
                <c:pt idx="5">
                  <c:v>22509.51</c:v>
                </c:pt>
                <c:pt idx="6">
                  <c:v>1067.22</c:v>
                </c:pt>
                <c:pt idx="7">
                  <c:v>538.85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DF-4557-A1F1-46F5AC098A38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Card'!$C$21:$J$21</c:f>
              <c:numCache>
                <c:formatCode>0.00%</c:formatCode>
                <c:ptCount val="8"/>
                <c:pt idx="0">
                  <c:v>1.1974149879365724E-2</c:v>
                </c:pt>
                <c:pt idx="1">
                  <c:v>0.45187147991053789</c:v>
                </c:pt>
                <c:pt idx="2">
                  <c:v>4.8247857609224766E-2</c:v>
                </c:pt>
                <c:pt idx="3">
                  <c:v>0.22415141330014465</c:v>
                </c:pt>
                <c:pt idx="4">
                  <c:v>0.20158414434637398</c:v>
                </c:pt>
                <c:pt idx="5">
                  <c:v>5.8030440580510899E-2</c:v>
                </c:pt>
                <c:pt idx="6">
                  <c:v>2.7513369591933741E-3</c:v>
                </c:pt>
                <c:pt idx="7">
                  <c:v>1.3891774146486662E-3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DF-4557-A1F1-46F5AC098A38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Card'!$C$22:$J$22</c:f>
              <c:numCache>
                <c:formatCode>_-"$"* #,##0_-;\-"$"* #,##0_-;_-"$"* "-"??_-;_-@_-</c:formatCode>
                <c:ptCount val="8"/>
                <c:pt idx="0">
                  <c:v>120700.87000000001</c:v>
                </c:pt>
                <c:pt idx="1">
                  <c:v>0</c:v>
                </c:pt>
                <c:pt idx="2">
                  <c:v>41308.69</c:v>
                </c:pt>
                <c:pt idx="3">
                  <c:v>508165.40999999992</c:v>
                </c:pt>
                <c:pt idx="4">
                  <c:v>142675.57</c:v>
                </c:pt>
                <c:pt idx="5">
                  <c:v>94535.090000000011</c:v>
                </c:pt>
                <c:pt idx="6">
                  <c:v>160029.21</c:v>
                </c:pt>
                <c:pt idx="7">
                  <c:v>233001.33000000005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DF-4557-A1F1-46F5AC098A38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Card'!$C$23:$J$23</c:f>
              <c:numCache>
                <c:formatCode>0.00%</c:formatCode>
                <c:ptCount val="8"/>
                <c:pt idx="0">
                  <c:v>9.2817109464272504E-2</c:v>
                </c:pt>
                <c:pt idx="1">
                  <c:v>0</c:v>
                </c:pt>
                <c:pt idx="2">
                  <c:v>3.1765746191851796E-2</c:v>
                </c:pt>
                <c:pt idx="3">
                  <c:v>0.39077137129108436</c:v>
                </c:pt>
                <c:pt idx="4">
                  <c:v>0.10971531521328283</c:v>
                </c:pt>
                <c:pt idx="5">
                  <c:v>7.2696027764711665E-2</c:v>
                </c:pt>
                <c:pt idx="6">
                  <c:v>0.12305999701618596</c:v>
                </c:pt>
                <c:pt idx="7">
                  <c:v>0.17917443305861078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DF-4557-A1F1-46F5AC098A38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Card'!$C$24:$J$24</c:f>
              <c:numCache>
                <c:formatCode>_-"$"* #,##0_-;\-"$"* #,##0_-;_-"$"* "-"??_-;_-@_-</c:formatCode>
                <c:ptCount val="8"/>
                <c:pt idx="0">
                  <c:v>7773747.9000000004</c:v>
                </c:pt>
                <c:pt idx="1">
                  <c:v>46435674.090000018</c:v>
                </c:pt>
                <c:pt idx="2">
                  <c:v>5845626.4700000016</c:v>
                </c:pt>
                <c:pt idx="3">
                  <c:v>32721693.030000001</c:v>
                </c:pt>
                <c:pt idx="4">
                  <c:v>37104582.900000006</c:v>
                </c:pt>
                <c:pt idx="5">
                  <c:v>8618063.129999999</c:v>
                </c:pt>
                <c:pt idx="6">
                  <c:v>3623457.5800000005</c:v>
                </c:pt>
                <c:pt idx="7">
                  <c:v>3491492.3000000003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DF-4557-A1F1-46F5AC098A38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FBDF-4557-A1F1-46F5AC098A38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FBDF-4557-A1F1-46F5AC098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FBDF-4557-A1F1-46F5AC098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FBDF-4557-A1F1-46F5AC098A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FBDF-4557-A1F1-46F5AC098A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FBDF-4557-A1F1-46F5AC098A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FBDF-4557-A1F1-46F5AC098A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FBDF-4557-A1F1-46F5AC098A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Card'!$C$25:$J$25</c:f>
              <c:numCache>
                <c:formatCode>0.00%</c:formatCode>
                <c:ptCount val="8"/>
                <c:pt idx="0">
                  <c:v>5.3385865052470796E-2</c:v>
                </c:pt>
                <c:pt idx="1">
                  <c:v>0.3188949091839286</c:v>
                </c:pt>
                <c:pt idx="2">
                  <c:v>4.0144577607741989E-2</c:v>
                </c:pt>
                <c:pt idx="3">
                  <c:v>0.22471475932322865</c:v>
                </c:pt>
                <c:pt idx="4">
                  <c:v>0.25481405893386583</c:v>
                </c:pt>
                <c:pt idx="5">
                  <c:v>5.9184162027154749E-2</c:v>
                </c:pt>
                <c:pt idx="6">
                  <c:v>2.4883932419423122E-2</c:v>
                </c:pt>
                <c:pt idx="7">
                  <c:v>2.3977666777635135E-2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DF-4557-A1F1-46F5AC098A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COA</a:t>
            </a:r>
            <a:r>
              <a:rPr lang="en-AU" b="1" baseline="0">
                <a:solidFill>
                  <a:srgbClr val="002060"/>
                </a:solidFill>
              </a:rPr>
              <a:t> by Card Type as % of Total COA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22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83F-4F36-ABE2-29CE9AB7F346}"/>
              </c:ext>
            </c:extLst>
          </c:dPt>
          <c:dLbls>
            <c:dLbl>
              <c:idx val="4"/>
              <c:layout>
                <c:manualLayout>
                  <c:x val="-2.1628721034118543E-3"/>
                  <c:y val="-0.142287790842000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83F-4F36-ABE2-29CE9AB7F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Card'!$C$4:$J$4</c:f>
              <c:numCache>
                <c:formatCode>_-"$"* #,##0_-;\-"$"* #,##0_-;_-"$"* "-"??_-;_-@_-</c:formatCode>
                <c:ptCount val="8"/>
                <c:pt idx="0">
                  <c:v>59549.25</c:v>
                </c:pt>
                <c:pt idx="1">
                  <c:v>65026.41</c:v>
                </c:pt>
                <c:pt idx="2">
                  <c:v>16134.75</c:v>
                </c:pt>
                <c:pt idx="3">
                  <c:v>103319.73</c:v>
                </c:pt>
                <c:pt idx="4">
                  <c:v>169330</c:v>
                </c:pt>
                <c:pt idx="5">
                  <c:v>20841</c:v>
                </c:pt>
                <c:pt idx="6">
                  <c:v>55261.54</c:v>
                </c:pt>
                <c:pt idx="7">
                  <c:v>54948.93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F36-ABE2-29CE9AB7F34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Card'!$C$5:$J$5</c:f>
              <c:numCache>
                <c:formatCode>0.00%</c:formatCode>
                <c:ptCount val="8"/>
                <c:pt idx="0">
                  <c:v>0.10938277014334798</c:v>
                </c:pt>
                <c:pt idx="1">
                  <c:v>0.11944346668139573</c:v>
                </c:pt>
                <c:pt idx="2">
                  <c:v>2.9637042457636053E-2</c:v>
                </c:pt>
                <c:pt idx="3">
                  <c:v>0.18978237807970333</c:v>
                </c:pt>
                <c:pt idx="4">
                  <c:v>0.31103304354585681</c:v>
                </c:pt>
                <c:pt idx="5">
                  <c:v>3.8281696453901858E-2</c:v>
                </c:pt>
                <c:pt idx="6">
                  <c:v>0.10150690945036973</c:v>
                </c:pt>
                <c:pt idx="7">
                  <c:v>0.10093269318778855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F36-ABE2-29CE9AB7F34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Card'!$C$7:$J$7</c:f>
              <c:numCache>
                <c:formatCode>_-"$"* #,##0_-;\-"$"* #,##0_-;_-"$"* "-"??_-;_-@_-</c:formatCode>
                <c:ptCount val="8"/>
                <c:pt idx="0">
                  <c:v>501.43</c:v>
                </c:pt>
                <c:pt idx="1">
                  <c:v>2696.34</c:v>
                </c:pt>
                <c:pt idx="2">
                  <c:v>648.61</c:v>
                </c:pt>
                <c:pt idx="3">
                  <c:v>3775.44</c:v>
                </c:pt>
                <c:pt idx="4">
                  <c:v>3615.17</c:v>
                </c:pt>
                <c:pt idx="5">
                  <c:v>711.62</c:v>
                </c:pt>
                <c:pt idx="6">
                  <c:v>318.8</c:v>
                </c:pt>
                <c:pt idx="7">
                  <c:v>483.56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F-4F36-ABE2-29CE9AB7F34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Card'!$C$8:$J$8</c:f>
              <c:numCache>
                <c:formatCode>0.00%</c:formatCode>
                <c:ptCount val="8"/>
                <c:pt idx="0">
                  <c:v>3.9324851364249153E-2</c:v>
                </c:pt>
                <c:pt idx="1">
                  <c:v>0.21146155939508918</c:v>
                </c:pt>
                <c:pt idx="2">
                  <c:v>5.086750262921174E-2</c:v>
                </c:pt>
                <c:pt idx="3">
                  <c:v>0.29609041508214673</c:v>
                </c:pt>
                <c:pt idx="4">
                  <c:v>0.28352117525176518</c:v>
                </c:pt>
                <c:pt idx="5">
                  <c:v>5.580908746550263E-2</c:v>
                </c:pt>
                <c:pt idx="6">
                  <c:v>2.5002019454206232E-2</c:v>
                </c:pt>
                <c:pt idx="7">
                  <c:v>3.7923389357829247E-2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F-4F36-ABE2-29CE9AB7F34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Card'!$C$10:$J$10</c:f>
              <c:numCache>
                <c:formatCode>_-"$"* #,##0_-;\-"$"* #,##0_-;_-"$"* "-"??_-;_-@_-</c:formatCode>
                <c:ptCount val="8"/>
                <c:pt idx="0">
                  <c:v>58306.29</c:v>
                </c:pt>
                <c:pt idx="1">
                  <c:v>33089</c:v>
                </c:pt>
                <c:pt idx="2">
                  <c:v>11330</c:v>
                </c:pt>
                <c:pt idx="3">
                  <c:v>59926</c:v>
                </c:pt>
                <c:pt idx="4">
                  <c:v>140277</c:v>
                </c:pt>
                <c:pt idx="5">
                  <c:v>15971</c:v>
                </c:pt>
                <c:pt idx="6">
                  <c:v>37170</c:v>
                </c:pt>
                <c:pt idx="7">
                  <c:v>30719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F-4F36-ABE2-29CE9AB7F34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Card'!$C$11:$J$11</c:f>
              <c:numCache>
                <c:formatCode>0.00%</c:formatCode>
                <c:ptCount val="8"/>
                <c:pt idx="0">
                  <c:v>0.15074471360030056</c:v>
                </c:pt>
                <c:pt idx="1">
                  <c:v>8.5548091437825061E-2</c:v>
                </c:pt>
                <c:pt idx="2">
                  <c:v>2.9292510380808063E-2</c:v>
                </c:pt>
                <c:pt idx="3">
                  <c:v>0.15493230159579027</c:v>
                </c:pt>
                <c:pt idx="4">
                  <c:v>0.36267126908107788</c:v>
                </c:pt>
                <c:pt idx="5">
                  <c:v>4.1291322444120523E-2</c:v>
                </c:pt>
                <c:pt idx="6">
                  <c:v>9.6099083041009323E-2</c:v>
                </c:pt>
                <c:pt idx="7">
                  <c:v>7.9420708419068217E-2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F-4F36-ABE2-29CE9AB7F34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Card'!$C$13:$J$13</c:f>
              <c:numCache>
                <c:formatCode>_-"$"* #,##0_-;\-"$"* #,##0_-;_-"$"* "-"??_-;_-@_-</c:formatCode>
                <c:ptCount val="8"/>
                <c:pt idx="0">
                  <c:v>3551.69</c:v>
                </c:pt>
                <c:pt idx="1">
                  <c:v>7933.87</c:v>
                </c:pt>
                <c:pt idx="2">
                  <c:v>1719.42</c:v>
                </c:pt>
                <c:pt idx="3">
                  <c:v>13031</c:v>
                </c:pt>
                <c:pt idx="4">
                  <c:v>17021</c:v>
                </c:pt>
                <c:pt idx="5">
                  <c:v>2180.58</c:v>
                </c:pt>
                <c:pt idx="6">
                  <c:v>4669.1000000000004</c:v>
                </c:pt>
                <c:pt idx="7">
                  <c:v>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F-4F36-ABE2-29CE9AB7F34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Card'!$C$14:$J$14</c:f>
              <c:numCache>
                <c:formatCode>0.00%</c:formatCode>
                <c:ptCount val="8"/>
                <c:pt idx="0">
                  <c:v>6.488686010436151E-2</c:v>
                </c:pt>
                <c:pt idx="1">
                  <c:v>0.14494618414788188</c:v>
                </c:pt>
                <c:pt idx="2">
                  <c:v>3.1412585276485633E-2</c:v>
                </c:pt>
                <c:pt idx="3">
                  <c:v>0.23806713818490205</c:v>
                </c:pt>
                <c:pt idx="4">
                  <c:v>0.3109616114684382</c:v>
                </c:pt>
                <c:pt idx="5">
                  <c:v>3.983765176757223E-2</c:v>
                </c:pt>
                <c:pt idx="6">
                  <c:v>8.5301149174977081E-2</c:v>
                </c:pt>
                <c:pt idx="7">
                  <c:v>8.4586819875381511E-2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3F-4F36-ABE2-29CE9AB7F34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Card'!$C$16:$J$16</c:f>
              <c:numCache>
                <c:formatCode>_-"$"* #,##0_-;\-"$"* #,##0_-;_-"$"* "-"??_-;_-@_-</c:formatCode>
                <c:ptCount val="8"/>
                <c:pt idx="0">
                  <c:v>183.9</c:v>
                </c:pt>
                <c:pt idx="1">
                  <c:v>429.37</c:v>
                </c:pt>
                <c:pt idx="2">
                  <c:v>160.05000000000001</c:v>
                </c:pt>
                <c:pt idx="3">
                  <c:v>548.6</c:v>
                </c:pt>
                <c:pt idx="4">
                  <c:v>1520.96</c:v>
                </c:pt>
                <c:pt idx="5">
                  <c:v>153.30000000000001</c:v>
                </c:pt>
                <c:pt idx="6">
                  <c:v>109.32</c:v>
                </c:pt>
                <c:pt idx="7">
                  <c:v>100.36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3F-4F36-ABE2-29CE9AB7F346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Card'!$C$17:$J$17</c:f>
              <c:numCache>
                <c:formatCode>0.00%</c:formatCode>
                <c:ptCount val="8"/>
                <c:pt idx="0">
                  <c:v>5.7363702719395102E-2</c:v>
                </c:pt>
                <c:pt idx="1">
                  <c:v>0.13393286044930219</c:v>
                </c:pt>
                <c:pt idx="2">
                  <c:v>4.9924201306357725E-2</c:v>
                </c:pt>
                <c:pt idx="3">
                  <c:v>0.17112412893888065</c:v>
                </c:pt>
                <c:pt idx="4">
                  <c:v>0.47443119786890248</c:v>
                </c:pt>
                <c:pt idx="5">
                  <c:v>4.7818682038516962E-2</c:v>
                </c:pt>
                <c:pt idx="6">
                  <c:v>3.4100054275607784E-2</c:v>
                </c:pt>
                <c:pt idx="7">
                  <c:v>3.1305172403036929E-2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3F-4F36-ABE2-29CE9AB7F346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Card'!$C$19:$J$19</c:f>
              <c:numCache>
                <c:formatCode>_-"$"* #,##0_-;\-"$"* #,##0_-;_-"$"* "-"??_-;_-@_-</c:formatCode>
                <c:ptCount val="8"/>
                <c:pt idx="0">
                  <c:v>2674.91</c:v>
                </c:pt>
                <c:pt idx="1">
                  <c:v>7125.88</c:v>
                </c:pt>
                <c:pt idx="2">
                  <c:v>1602</c:v>
                </c:pt>
                <c:pt idx="3">
                  <c:v>8601</c:v>
                </c:pt>
                <c:pt idx="4">
                  <c:v>13801</c:v>
                </c:pt>
                <c:pt idx="5">
                  <c:v>1975</c:v>
                </c:pt>
                <c:pt idx="6">
                  <c:v>2135</c:v>
                </c:pt>
                <c:pt idx="7">
                  <c:v>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F-4F36-ABE2-29CE9AB7F346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Card'!$C$20:$J$20</c:f>
              <c:numCache>
                <c:formatCode>0.00%</c:formatCode>
                <c:ptCount val="8"/>
                <c:pt idx="0">
                  <c:v>6.6475905463360102E-2</c:v>
                </c:pt>
                <c:pt idx="1">
                  <c:v>0.1770898180586444</c:v>
                </c:pt>
                <c:pt idx="2">
                  <c:v>3.9812330340947132E-2</c:v>
                </c:pt>
                <c:pt idx="3">
                  <c:v>0.21374897207396146</c:v>
                </c:pt>
                <c:pt idx="4">
                  <c:v>0.34297751000962007</c:v>
                </c:pt>
                <c:pt idx="5">
                  <c:v>4.9081992773639567E-2</c:v>
                </c:pt>
                <c:pt idx="6">
                  <c:v>5.3058255479352133E-2</c:v>
                </c:pt>
                <c:pt idx="7">
                  <c:v>5.7755215800475115E-2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3F-4F36-ABE2-29CE9AB7F346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Card'!$C$22:$J$22</c:f>
              <c:numCache>
                <c:formatCode>_-"$"* #,##0_-;\-"$"* #,##0_-;_-"$"* "-"??_-;_-@_-</c:formatCode>
                <c:ptCount val="8"/>
                <c:pt idx="0">
                  <c:v>1287.78</c:v>
                </c:pt>
                <c:pt idx="1">
                  <c:v>2084.09</c:v>
                </c:pt>
                <c:pt idx="2">
                  <c:v>505.36</c:v>
                </c:pt>
                <c:pt idx="3">
                  <c:v>2954.1</c:v>
                </c:pt>
                <c:pt idx="4">
                  <c:v>5217.2</c:v>
                </c:pt>
                <c:pt idx="5">
                  <c:v>639.89</c:v>
                </c:pt>
                <c:pt idx="6">
                  <c:v>1148.68</c:v>
                </c:pt>
                <c:pt idx="7">
                  <c:v>1210.47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3F-4F36-ABE2-29CE9AB7F346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Card'!$C$23:$J$23</c:f>
              <c:numCache>
                <c:formatCode>0.00%</c:formatCode>
                <c:ptCount val="8"/>
                <c:pt idx="0">
                  <c:v>8.5580595405105292E-2</c:v>
                </c:pt>
                <c:pt idx="1">
                  <c:v>0.13850010333894447</c:v>
                </c:pt>
                <c:pt idx="2">
                  <c:v>3.3584160100268684E-2</c:v>
                </c:pt>
                <c:pt idx="3">
                  <c:v>0.1963174120472608</c:v>
                </c:pt>
                <c:pt idx="4">
                  <c:v>0.34671378833924682</c:v>
                </c:pt>
                <c:pt idx="5">
                  <c:v>4.2524474051292005E-2</c:v>
                </c:pt>
                <c:pt idx="6">
                  <c:v>7.6336577932516692E-2</c:v>
                </c:pt>
                <c:pt idx="7">
                  <c:v>8.044288878536536E-2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3F-4F36-ABE2-29CE9AB7F346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Card'!$C$25:$J$25</c:f>
              <c:numCache>
                <c:formatCode>_-"$"* #,##0_-;\-"$"* #,##0_-;_-"$"* "-"??_-;_-@_-</c:formatCode>
                <c:ptCount val="8"/>
                <c:pt idx="0">
                  <c:v>3655.3</c:v>
                </c:pt>
                <c:pt idx="1">
                  <c:v>14219.75</c:v>
                </c:pt>
                <c:pt idx="2">
                  <c:v>2749.12</c:v>
                </c:pt>
                <c:pt idx="3">
                  <c:v>20047.8</c:v>
                </c:pt>
                <c:pt idx="4">
                  <c:v>21395</c:v>
                </c:pt>
                <c:pt idx="5">
                  <c:v>4083.48</c:v>
                </c:pt>
                <c:pt idx="6">
                  <c:v>3647.08</c:v>
                </c:pt>
                <c:pt idx="7">
                  <c:v>3835.72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3F-4F36-ABE2-29CE9AB7F346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Card'!$C$26:$J$26</c:f>
              <c:numCache>
                <c:formatCode>0.00%</c:formatCode>
                <c:ptCount val="8"/>
                <c:pt idx="0">
                  <c:v>4.9641975602054779E-2</c:v>
                </c:pt>
                <c:pt idx="1">
                  <c:v>0.19311588175179012</c:v>
                </c:pt>
                <c:pt idx="2">
                  <c:v>3.7335307079342551E-2</c:v>
                </c:pt>
                <c:pt idx="3">
                  <c:v>0.27226558653869004</c:v>
                </c:pt>
                <c:pt idx="4">
                  <c:v>0.29056166881130469</c:v>
                </c:pt>
                <c:pt idx="5">
                  <c:v>5.5457011608206888E-2</c:v>
                </c:pt>
                <c:pt idx="6">
                  <c:v>4.9530341252083804E-2</c:v>
                </c:pt>
                <c:pt idx="7">
                  <c:v>5.2092227356527111E-2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3F-4F36-ABE2-29CE9AB7F346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Card'!$C$28:$J$28</c:f>
              <c:numCache>
                <c:formatCode>_-"$"* #,##0_-;\-"$"* #,##0_-;_-"$"* "-"??_-;_-@_-</c:formatCode>
                <c:ptCount val="8"/>
                <c:pt idx="0">
                  <c:v>81.290000000000006</c:v>
                </c:pt>
                <c:pt idx="1">
                  <c:v>482.99</c:v>
                </c:pt>
                <c:pt idx="2">
                  <c:v>111.29</c:v>
                </c:pt>
                <c:pt idx="3">
                  <c:v>536.76</c:v>
                </c:pt>
                <c:pt idx="4">
                  <c:v>791.65</c:v>
                </c:pt>
                <c:pt idx="5">
                  <c:v>142.38</c:v>
                </c:pt>
                <c:pt idx="6">
                  <c:v>28.91</c:v>
                </c:pt>
                <c:pt idx="7">
                  <c:v>17.010000000000002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3F-4F36-ABE2-29CE9AB7F346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Card'!$C$29:$J$29</c:f>
              <c:numCache>
                <c:formatCode>0.00%</c:formatCode>
                <c:ptCount val="8"/>
                <c:pt idx="0">
                  <c:v>3.7080117503238634E-2</c:v>
                </c:pt>
                <c:pt idx="1">
                  <c:v>0.22031401098399839</c:v>
                </c:pt>
                <c:pt idx="2">
                  <c:v>5.0764500884923458E-2</c:v>
                </c:pt>
                <c:pt idx="3">
                  <c:v>0.2448409874651048</c:v>
                </c:pt>
                <c:pt idx="4">
                  <c:v>0.36110807013702623</c:v>
                </c:pt>
                <c:pt idx="5">
                  <c:v>6.4946083529476159E-2</c:v>
                </c:pt>
                <c:pt idx="6">
                  <c:v>1.3187184118816938E-2</c:v>
                </c:pt>
                <c:pt idx="7">
                  <c:v>7.7590453774152935E-3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3F-4F36-ABE2-29CE9AB7F346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Card'!$C$31:$J$31</c:f>
              <c:numCache>
                <c:formatCode>_-"$"* #,##0_-;\-"$"* #,##0_-;_-"$"* "-"??_-;_-@_-</c:formatCode>
                <c:ptCount val="8"/>
                <c:pt idx="0">
                  <c:v>2142.5699999999997</c:v>
                </c:pt>
                <c:pt idx="1">
                  <c:v>0</c:v>
                </c:pt>
                <c:pt idx="2">
                  <c:v>251.15545454545455</c:v>
                </c:pt>
                <c:pt idx="3">
                  <c:v>2986.9818181818187</c:v>
                </c:pt>
                <c:pt idx="4">
                  <c:v>1298.7572727272727</c:v>
                </c:pt>
                <c:pt idx="5">
                  <c:v>622.91454545454542</c:v>
                </c:pt>
                <c:pt idx="6">
                  <c:v>1540.8772727272728</c:v>
                </c:pt>
                <c:pt idx="7">
                  <c:v>1346.8836363636365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3F-4F36-ABE2-29CE9AB7F346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Card'!$C$32:$J$32</c:f>
              <c:numCache>
                <c:formatCode>0.00%</c:formatCode>
                <c:ptCount val="8"/>
                <c:pt idx="0">
                  <c:v>0.21025913284802755</c:v>
                </c:pt>
                <c:pt idx="1">
                  <c:v>0</c:v>
                </c:pt>
                <c:pt idx="2">
                  <c:v>2.4646909124453099E-2</c:v>
                </c:pt>
                <c:pt idx="3">
                  <c:v>0.29312470860869611</c:v>
                </c:pt>
                <c:pt idx="4">
                  <c:v>0.12745234832173774</c:v>
                </c:pt>
                <c:pt idx="5">
                  <c:v>6.112914498275248E-2</c:v>
                </c:pt>
                <c:pt idx="6">
                  <c:v>0.15121257143937891</c:v>
                </c:pt>
                <c:pt idx="7">
                  <c:v>0.13217518467495407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3F-4F36-ABE2-29CE9AB7F346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Card'!$C$34:$J$34</c:f>
              <c:numCache>
                <c:formatCode>_-"$"* #,##0_-;\-"$"* #,##0_-;_-"$"* "-"??_-;_-@_-</c:formatCode>
                <c:ptCount val="8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3F-4F36-ABE2-29CE9AB7F346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483F-4F36-ABE2-29CE9AB7F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483F-4F36-ABE2-29CE9AB7F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483F-4F36-ABE2-29CE9AB7F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Card'!$C$35:$J$35</c:f>
              <c:numCache>
                <c:formatCode>0.00%</c:formatCode>
                <c:ptCount val="8"/>
                <c:pt idx="0">
                  <c:v>0.11540844871474379</c:v>
                </c:pt>
                <c:pt idx="1">
                  <c:v>0.11641727885858746</c:v>
                </c:pt>
                <c:pt idx="2">
                  <c:v>3.080116910768017E-2</c:v>
                </c:pt>
                <c:pt idx="3">
                  <c:v>0.18870562988975395</c:v>
                </c:pt>
                <c:pt idx="4">
                  <c:v>0.32738736590873269</c:v>
                </c:pt>
                <c:pt idx="5">
                  <c:v>4.1393766732773084E-2</c:v>
                </c:pt>
                <c:pt idx="6">
                  <c:v>9.2748191094683782E-2</c:v>
                </c:pt>
                <c:pt idx="7">
                  <c:v>8.7138149693045161E-2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83F-4F36-ABE2-29CE9AB7F3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969091836791144E-2"/>
          <c:y val="0.11688038995125609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5-462B-865B-CF0C847C6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5-462B-865B-CF0C847C6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5-462B-865B-CF0C847C6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5-462B-865B-CF0C847C67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5-462B-865B-CF0C847C67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85-462B-865B-CF0C847C6706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5-462B-865B-CF0C847C67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485-462B-865B-CF0C847C670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_-"$"* #,##0.00_-;\-"$"* #,##0.00_-;_-"$"* "-"??_-;_-@_-</c:formatCode>
                <c:ptCount val="6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4.6888169066166396</c:v>
                </c:pt>
                <c:pt idx="2" formatCode="_-* #,##0.00_-;\-* #,##0.00_-;_-* &quot;-&quot;??_-;_-@_-">
                  <c:v>2.8856599590580667</c:v>
                </c:pt>
                <c:pt idx="3" formatCode="_-* #,##0.00_-;\-* #,##0.00_-;_-* &quot;-&quot;??_-;_-@_-">
                  <c:v>9.9863953634230143</c:v>
                </c:pt>
                <c:pt idx="4" formatCode="_-* #,##0.00_-;\-* #,##0.00_-;_-* &quot;-&quot;??_-;_-@_-">
                  <c:v>5.0713238229969138</c:v>
                </c:pt>
                <c:pt idx="5" formatCode="_-* #,##0.00_-;\-* #,##0.00_-;_-* &quot;-&quot;??_-;_-@_-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85-462B-865B-CF0C847C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485-462B-865B-CF0C847C670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4.8493437801101313</c:v>
                      </c:pt>
                      <c:pt idx="2" formatCode="_-* #,##0.00_-;\-* #,##0.00_-;_-* &quot;-&quot;??_-;_-@_-">
                        <c:v>2.752582165532981</c:v>
                      </c:pt>
                      <c:pt idx="3" formatCode="_-* #,##0.00_-;\-* #,##0.00_-;_-* &quot;-&quot;??_-;_-@_-">
                        <c:v>11.541462685548893</c:v>
                      </c:pt>
                      <c:pt idx="4" formatCode="_-* #,##0.00_-;\-* #,##0.00_-;_-* &quot;-&quot;??_-;_-@_-">
                        <c:v>7.4827154052872045</c:v>
                      </c:pt>
                      <c:pt idx="5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1485-462B-865B-CF0C847C670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485-462B-865B-CF0C847C670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5.3398361607011715</c:v>
                      </c:pt>
                      <c:pt idx="2" formatCode="_-* #,##0.00_-;\-* #,##0.00_-;_-* &quot;-&quot;??_-;_-@_-">
                        <c:v>3.3092582103253045</c:v>
                      </c:pt>
                      <c:pt idx="3" formatCode="_-* #,##0.00_-;\-* #,##0.00_-;_-* &quot;-&quot;??_-;_-@_-">
                        <c:v>11.768180141086832</c:v>
                      </c:pt>
                      <c:pt idx="4" formatCode="_-* #,##0.00_-;\-* #,##0.00_-;_-* &quot;-&quot;??_-;_-@_-">
                        <c:v>4.6235608704935398</c:v>
                      </c:pt>
                      <c:pt idx="5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485-462B-865B-CF0C847C670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0.79551472711011761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0.14798791386902146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1485-462B-865B-CF0C847C670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1485-462B-865B-CF0C847C670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-2.7833481733868872</c:v>
                      </c:pt>
                      <c:pt idx="2" formatCode="_-* #,##0.00_-;\-* #,##0.00_-;_-* &quot;-&quot;??_-;_-@_-">
                        <c:v>1.6451199116816886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1485-462B-865B-CF0C847C670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1485-462B-865B-CF0C847C670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E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0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2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4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1.3326489070654797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1.6301151809640242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1485-462B-865B-CF0C847C670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7.2718696728906496</c:v>
                      </c:pt>
                      <c:pt idx="2" formatCode="_-* #,##0.00_-;\-* #,##0.00_-;_-* &quot;-&quot;??_-;_-@_-">
                        <c:v>6.8201178170753618</c:v>
                      </c:pt>
                      <c:pt idx="3" formatCode="_-* #,##0.00_-;\-* #,##0.00_-;_-* &quot;-&quot;??_-;_-@_-">
                        <c:v>9.6719346012925325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1485-462B-865B-CF0C847C670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1485-462B-865B-CF0C847C6706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27777777777777"/>
          <c:y val="0.18314960629921259"/>
          <c:w val="0.7416666666666667"/>
          <c:h val="0.70330635584705048"/>
        </c:manualLayout>
      </c:layout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13-4EFD-9B53-4ABD7252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13-4EFD-9B53-4ABD7252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13-4EFD-9B53-4ABD7252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13-4EFD-9B53-4ABD7252CF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(Annualized!$U$29,Annualized!$Y$29:$AA$29)</c:f>
              <c:strCache>
                <c:ptCount val="4"/>
                <c:pt idx="0">
                  <c:v>Gross GP  (Bips)</c:v>
                </c:pt>
                <c:pt idx="1">
                  <c:v>Total Disc.</c:v>
                </c:pt>
                <c:pt idx="2">
                  <c:v>Comm Bips</c:v>
                </c:pt>
                <c:pt idx="3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(Annualized!$U$40,Annualized!$Y$40:$AA$40)</c:f>
              <c:numCache>
                <c:formatCode>_-"$"* #,##0.00_-;\-"$"* #,##0.00_-;_-"$"* "-"??_-;_-@_-</c:formatCode>
                <c:ptCount val="4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17.560872229097718</c:v>
                </c:pt>
                <c:pt idx="2" formatCode="_-* #,##0.00_-;\-* #,##0.00_-;_-* &quot;-&quot;??_-;_-@_-">
                  <c:v>5.0713238229969138</c:v>
                </c:pt>
                <c:pt idx="3" formatCode="_-* #,##0.00_-;\-* #,##0.00_-;_-* &quot;-&quot;??_-;_-@_-">
                  <c:v>52.06089460355161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778A-403E-B4C1-78C30BAE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778A-403E-B4C1-78C30BAE3E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778A-403E-B4C1-78C30BAE3E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778A-403E-B4C1-78C30BAE3E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778A-403E-B4C1-78C30BAE3E46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C1D38202-4BBC-4ED7-A0D9-060B0A6293E1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74.69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8A-403E-B4C1-78C30BAE3E46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B3885AC5-5B50-442E-9FD8-A90B06BDDA5C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17.56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>
                          <c:manualLayout>
                            <c:w val="0.17530555555555555"/>
                            <c:h val="0.14378208524398486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778A-403E-B4C1-78C30BAE3E46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E86998C9-C1A2-4BC0-9105-3BE6A7D4AB19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5.07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778A-403E-B4C1-78C30BAE3E46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D61412B3-4F3A-4A9B-A85E-3E2B4486160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52.06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5-778A-403E-B4C1-78C30BAE3E46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(Annualized!$U$30,Annualized!$Y$30:$AA$30)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19.143388631192003</c:v>
                      </c:pt>
                      <c:pt idx="2" formatCode="_-* #,##0.00_-;\-* #,##0.00_-;_-* &quot;-&quot;??_-;_-@_-">
                        <c:v>7.4827154052872045</c:v>
                      </c:pt>
                      <c:pt idx="3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78A-403E-B4C1-78C30BAE3E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(Annualized!$U$31,Annualized!$Y$31:$AA$31)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778A-403E-B4C1-78C30BAE3E4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(Annualized!$U$32,Annualized!$Y$32:$AA$32)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20.417274512113309</c:v>
                      </c:pt>
                      <c:pt idx="2" formatCode="_-* #,##0.00_-;\-* #,##0.00_-;_-* &quot;-&quot;??_-;_-@_-">
                        <c:v>4.6235608704935398</c:v>
                      </c:pt>
                      <c:pt idx="3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778A-403E-B4C1-78C30BAE3E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(Annualized!$U$33,Annualized!$Y$33:$AA$33)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0.94350264097913905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778A-403E-B4C1-78C30BAE3E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(Annualized!$U$34,Annualized!$Y$34:$AA$34)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778A-403E-B4C1-78C30BAE3E4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(Annualized!$U$35,Annualized!$Y$35:$AA$35)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-1.1382282617051986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778A-403E-B4C1-78C30BAE3E4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(Annualized!$U$36,Annualized!$Y$36:$AA$36)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778A-403E-B4C1-78C30BAE3E4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(Annualized!$U$37,Annualized!$Y$37:$AA$37)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2.9627640880295036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778A-403E-B4C1-78C30BAE3E4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(Annualized!$U$38,Annualized!$Y$38:$AA$38)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23.763922091258543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778A-403E-B4C1-78C30BAE3E4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(Annualized!$U$39,Annualized!$Y$39:$AA$39)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778A-403E-B4C1-78C30BAE3E4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0.12016438485157274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E8-42A4-9050-0A6BC45C7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BF-4A7A-BF72-124112C63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BF-4A7A-BF72-124112C63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BF-4A7A-BF72-124112C633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8-42A4-9050-0A6BC45C75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E8-42A4-9050-0A6BC45C757A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E8-42A4-9050-0A6BC45C75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7E8-42A4-9050-0A6BC45C757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_-"$"* #,##0.00_-;\-"$"* #,##0.00_-;_-"$"* "-"??_-;_-@_-</c:formatCode>
                <c:ptCount val="6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4.6888169066166396</c:v>
                </c:pt>
                <c:pt idx="2" formatCode="_-* #,##0.00_-;\-* #,##0.00_-;_-* &quot;-&quot;??_-;_-@_-">
                  <c:v>2.8856599590580667</c:v>
                </c:pt>
                <c:pt idx="3" formatCode="_-* #,##0.00_-;\-* #,##0.00_-;_-* &quot;-&quot;??_-;_-@_-">
                  <c:v>9.9863953634230143</c:v>
                </c:pt>
                <c:pt idx="4" formatCode="_-* #,##0.00_-;\-* #,##0.00_-;_-* &quot;-&quot;??_-;_-@_-">
                  <c:v>5.0713238229969138</c:v>
                </c:pt>
                <c:pt idx="5" formatCode="_-* #,##0.00_-;\-* #,##0.00_-;_-* &quot;-&quot;??_-;_-@_-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8-42A4-9050-0A6BC45C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DBF-4A7A-BF72-124112C6338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4.8493437801101313</c:v>
                      </c:pt>
                      <c:pt idx="2" formatCode="_-* #,##0.00_-;\-* #,##0.00_-;_-* &quot;-&quot;??_-;_-@_-">
                        <c:v>2.752582165532981</c:v>
                      </c:pt>
                      <c:pt idx="3" formatCode="_-* #,##0.00_-;\-* #,##0.00_-;_-* &quot;-&quot;??_-;_-@_-">
                        <c:v>11.541462685548893</c:v>
                      </c:pt>
                      <c:pt idx="4" formatCode="_-* #,##0.00_-;\-* #,##0.00_-;_-* &quot;-&quot;??_-;_-@_-">
                        <c:v>7.4827154052872045</c:v>
                      </c:pt>
                      <c:pt idx="5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E8-42A4-9050-0A6BC45C757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8-42A4-9050-0A6BC45C75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5.3398361607011715</c:v>
                      </c:pt>
                      <c:pt idx="2" formatCode="_-* #,##0.00_-;\-* #,##0.00_-;_-* &quot;-&quot;??_-;_-@_-">
                        <c:v>3.3092582103253045</c:v>
                      </c:pt>
                      <c:pt idx="3" formatCode="_-* #,##0.00_-;\-* #,##0.00_-;_-* &quot;-&quot;??_-;_-@_-">
                        <c:v>11.768180141086832</c:v>
                      </c:pt>
                      <c:pt idx="4" formatCode="_-* #,##0.00_-;\-* #,##0.00_-;_-* &quot;-&quot;??_-;_-@_-">
                        <c:v>4.6235608704935398</c:v>
                      </c:pt>
                      <c:pt idx="5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8-42A4-9050-0A6BC45C757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0.79551472711011761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0.14798791386902146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8-42A4-9050-0A6BC45C757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8-42A4-9050-0A6BC45C757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-2.7833481733868872</c:v>
                      </c:pt>
                      <c:pt idx="2" formatCode="_-* #,##0.00_-;\-* #,##0.00_-;_-* &quot;-&quot;??_-;_-@_-">
                        <c:v>1.6451199116816886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E8-42A4-9050-0A6BC45C757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E8-42A4-9050-0A6BC45C757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1.3326489070654797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1.6301151809640242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E8-42A4-9050-0A6BC45C757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7.2718696728906496</c:v>
                      </c:pt>
                      <c:pt idx="2" formatCode="_-* #,##0.00_-;\-* #,##0.00_-;_-* &quot;-&quot;??_-;_-@_-">
                        <c:v>6.8201178170753618</c:v>
                      </c:pt>
                      <c:pt idx="3" formatCode="_-* #,##0.00_-;\-* #,##0.00_-;_-* &quot;-&quot;??_-;_-@_-">
                        <c:v>9.6719346012925325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E8-42A4-9050-0A6BC45C757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E8-42A4-9050-0A6BC45C757A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MSF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6C1-4209-9357-F66D3724EC4F}"/>
              </c:ext>
            </c:extLst>
          </c:dPt>
          <c:dLbls>
            <c:dLbl>
              <c:idx val="0"/>
              <c:layout>
                <c:manualLayout>
                  <c:x val="5.4495912806539468E-2"/>
                  <c:y val="-0.203646392893221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C1-4209-9357-F66D3724EC4F}"/>
                </c:ext>
              </c:extLst>
            </c:dLbl>
            <c:dLbl>
              <c:idx val="1"/>
              <c:layout>
                <c:manualLayout>
                  <c:x val="0.12643051771117167"/>
                  <c:y val="-2.321976258444997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1-4209-9357-F66D3724EC4F}"/>
                </c:ext>
              </c:extLst>
            </c:dLbl>
            <c:dLbl>
              <c:idx val="2"/>
              <c:layout>
                <c:manualLayout>
                  <c:x val="-3.8974358974358976E-2"/>
                  <c:y val="-4.16666666666666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C1-4209-9357-F66D3724EC4F}"/>
                </c:ext>
              </c:extLst>
            </c:dLbl>
            <c:dLbl>
              <c:idx val="3"/>
              <c:layout>
                <c:manualLayout>
                  <c:x val="-0.19182561307901907"/>
                  <c:y val="8.53113267525659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C1-4209-9357-F66D3724EC4F}"/>
                </c:ext>
              </c:extLst>
            </c:dLbl>
            <c:dLbl>
              <c:idx val="4"/>
              <c:layout>
                <c:manualLayout>
                  <c:x val="-0.14309785663713018"/>
                  <c:y val="-0.1436274800849949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1-4209-9357-F66D3724EC4F}"/>
                </c:ext>
              </c:extLst>
            </c:dLbl>
            <c:dLbl>
              <c:idx val="5"/>
              <c:layout>
                <c:manualLayout>
                  <c:x val="5.3429080220558089E-2"/>
                  <c:y val="-6.630555799935078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38265141925377"/>
                      <c:h val="7.48919469314575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16C1-4209-9357-F66D3724EC4F}"/>
                </c:ext>
              </c:extLst>
            </c:dLbl>
            <c:dLbl>
              <c:idx val="6"/>
              <c:layout>
                <c:manualLayout>
                  <c:x val="1.8461538461538387E-2"/>
                  <c:y val="3.8888888888888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C1-4209-9357-F66D3724EC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Card'!$C$4:$J$4</c:f>
              <c:numCache>
                <c:formatCode>_-"$"* #,##0_-;\-"$"* #,##0_-;_-"$"* "-"??_-;_-@_-</c:formatCode>
                <c:ptCount val="8"/>
                <c:pt idx="0">
                  <c:v>54878.336363636379</c:v>
                </c:pt>
                <c:pt idx="1">
                  <c:v>313667.54545454535</c:v>
                </c:pt>
                <c:pt idx="2">
                  <c:v>37106.963636363631</c:v>
                </c:pt>
                <c:pt idx="3">
                  <c:v>216052.08181818179</c:v>
                </c:pt>
                <c:pt idx="4">
                  <c:v>253741.6363636365</c:v>
                </c:pt>
                <c:pt idx="5">
                  <c:v>52110.663636363621</c:v>
                </c:pt>
                <c:pt idx="6">
                  <c:v>27299.318181818173</c:v>
                </c:pt>
                <c:pt idx="7">
                  <c:v>25640.481818181815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284-AF77-B566A058790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Card'!$C$5:$J$5</c:f>
              <c:numCache>
                <c:formatCode>0.00%</c:formatCode>
                <c:ptCount val="8"/>
                <c:pt idx="0">
                  <c:v>5.5969729293949604E-2</c:v>
                </c:pt>
                <c:pt idx="1">
                  <c:v>0.31990560885554581</c:v>
                </c:pt>
                <c:pt idx="2">
                  <c:v>3.7844928386420312E-2</c:v>
                </c:pt>
                <c:pt idx="3">
                  <c:v>0.22034881765786485</c:v>
                </c:pt>
                <c:pt idx="4">
                  <c:v>0.25878792323024941</c:v>
                </c:pt>
                <c:pt idx="5">
                  <c:v>5.3147014474512262E-2</c:v>
                </c:pt>
                <c:pt idx="6">
                  <c:v>2.7842233380059315E-2</c:v>
                </c:pt>
                <c:pt idx="7">
                  <c:v>2.6150406907761083E-2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7-4284-AF77-B566A058790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Card'!$C$6:$J$6</c:f>
              <c:numCache>
                <c:formatCode>_-"$"* #,##0_-;\-"$"* #,##0_-;_-"$"* "-"??_-;_-@_-</c:formatCode>
                <c:ptCount val="8"/>
                <c:pt idx="0">
                  <c:v>427.90909090909099</c:v>
                </c:pt>
                <c:pt idx="1">
                  <c:v>14657.545454545449</c:v>
                </c:pt>
                <c:pt idx="2">
                  <c:v>1474.3545454545454</c:v>
                </c:pt>
                <c:pt idx="3">
                  <c:v>8538.3454545454515</c:v>
                </c:pt>
                <c:pt idx="4">
                  <c:v>5103.2000000000016</c:v>
                </c:pt>
                <c:pt idx="5">
                  <c:v>1896.1727272727271</c:v>
                </c:pt>
                <c:pt idx="6">
                  <c:v>139.3545454545455</c:v>
                </c:pt>
                <c:pt idx="7">
                  <c:v>227.03636363636366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7-4284-AF77-B566A058790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Card'!$C$7:$J$7</c:f>
              <c:numCache>
                <c:formatCode>0.00%</c:formatCode>
                <c:ptCount val="8"/>
                <c:pt idx="0">
                  <c:v>1.3181067316413671E-2</c:v>
                </c:pt>
                <c:pt idx="1">
                  <c:v>0.45150266127625321</c:v>
                </c:pt>
                <c:pt idx="2">
                  <c:v>4.5415175617349736E-2</c:v>
                </c:pt>
                <c:pt idx="3">
                  <c:v>0.26301031830863408</c:v>
                </c:pt>
                <c:pt idx="4">
                  <c:v>0.15719605906529524</c:v>
                </c:pt>
                <c:pt idx="5">
                  <c:v>5.8408622047806377E-2</c:v>
                </c:pt>
                <c:pt idx="6">
                  <c:v>4.2925978519928864E-3</c:v>
                </c:pt>
                <c:pt idx="7">
                  <c:v>6.9934985162548322E-3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7-4284-AF77-B566A058790B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Card'!$C$8:$J$8</c:f>
              <c:numCache>
                <c:formatCode>_-"$"* #,##0_-;\-"$"* #,##0_-;_-"$"* "-"??_-;_-@_-</c:formatCode>
                <c:ptCount val="8"/>
                <c:pt idx="0">
                  <c:v>52869.518181818159</c:v>
                </c:pt>
                <c:pt idx="1">
                  <c:v>205803.26363636358</c:v>
                </c:pt>
                <c:pt idx="2">
                  <c:v>29898.272727272717</c:v>
                </c:pt>
                <c:pt idx="3">
                  <c:v>149555.40000000002</c:v>
                </c:pt>
                <c:pt idx="4">
                  <c:v>205522.40000000005</c:v>
                </c:pt>
                <c:pt idx="5">
                  <c:v>47205.909090909074</c:v>
                </c:pt>
                <c:pt idx="6">
                  <c:v>18329.754545454529</c:v>
                </c:pt>
                <c:pt idx="7">
                  <c:v>15291.854545454538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7-4284-AF77-B566A058790B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Card'!$C$9:$J$9</c:f>
              <c:numCache>
                <c:formatCode>0.00%</c:formatCode>
                <c:ptCount val="8"/>
                <c:pt idx="0">
                  <c:v>7.2976135129488404E-2</c:v>
                </c:pt>
                <c:pt idx="1">
                  <c:v>0.28407156512317033</c:v>
                </c:pt>
                <c:pt idx="2">
                  <c:v>4.1268777657105522E-2</c:v>
                </c:pt>
                <c:pt idx="3">
                  <c:v>0.20643227808907874</c:v>
                </c:pt>
                <c:pt idx="4">
                  <c:v>0.28368388724402382</c:v>
                </c:pt>
                <c:pt idx="5">
                  <c:v>6.5158619166558421E-2</c:v>
                </c:pt>
                <c:pt idx="6">
                  <c:v>2.530067779319118E-2</c:v>
                </c:pt>
                <c:pt idx="7">
                  <c:v>2.1107444933616666E-2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7-4284-AF77-B566A058790B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Card'!$C$10:$J$10</c:f>
              <c:numCache>
                <c:formatCode>_-"$"* #,##0_-;\-"$"* #,##0_-;_-"$"* "-"??_-;_-@_-</c:formatCode>
                <c:ptCount val="8"/>
                <c:pt idx="0">
                  <c:v>3346.9545454545455</c:v>
                </c:pt>
                <c:pt idx="1">
                  <c:v>33475.19999999999</c:v>
                </c:pt>
                <c:pt idx="2">
                  <c:v>4094.1909090909126</c:v>
                </c:pt>
                <c:pt idx="3">
                  <c:v>28557.309090909093</c:v>
                </c:pt>
                <c:pt idx="4">
                  <c:v>26903.490909090906</c:v>
                </c:pt>
                <c:pt idx="5">
                  <c:v>5678.2363636363643</c:v>
                </c:pt>
                <c:pt idx="6">
                  <c:v>2190.763636363632</c:v>
                </c:pt>
                <c:pt idx="7">
                  <c:v>2307.2636363636352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7-4284-AF77-B566A058790B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Card'!$C$11:$J$11</c:f>
              <c:numCache>
                <c:formatCode>0.00%</c:formatCode>
                <c:ptCount val="8"/>
                <c:pt idx="0">
                  <c:v>3.1411037396509481E-2</c:v>
                </c:pt>
                <c:pt idx="1">
                  <c:v>0.3141634416528451</c:v>
                </c:pt>
                <c:pt idx="2">
                  <c:v>3.8423821419552147E-2</c:v>
                </c:pt>
                <c:pt idx="3">
                  <c:v>0.26800922797605642</c:v>
                </c:pt>
                <c:pt idx="4">
                  <c:v>0.25248820907645159</c:v>
                </c:pt>
                <c:pt idx="5">
                  <c:v>5.3290026004873363E-2</c:v>
                </c:pt>
                <c:pt idx="6">
                  <c:v>2.0560230972418412E-2</c:v>
                </c:pt>
                <c:pt idx="7">
                  <c:v>2.165357891216358E-2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D7-4284-AF77-B566A058790B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Card'!$C$12:$J$12</c:f>
              <c:numCache>
                <c:formatCode>_-"$"* #,##0_-;\-"$"* #,##0_-;_-"$"* "-"??_-;_-@_-</c:formatCode>
                <c:ptCount val="8"/>
                <c:pt idx="0">
                  <c:v>134.00909090909087</c:v>
                </c:pt>
                <c:pt idx="1">
                  <c:v>2159.4818181818182</c:v>
                </c:pt>
                <c:pt idx="2">
                  <c:v>302.66363636363627</c:v>
                </c:pt>
                <c:pt idx="3">
                  <c:v>1091.8727272727274</c:v>
                </c:pt>
                <c:pt idx="4">
                  <c:v>1707.7363636363632</c:v>
                </c:pt>
                <c:pt idx="5">
                  <c:v>325.10000000000008</c:v>
                </c:pt>
                <c:pt idx="6">
                  <c:v>42.427272727272722</c:v>
                </c:pt>
                <c:pt idx="7">
                  <c:v>43.418181818181807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D7-4284-AF77-B566A058790B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Card'!$C$13:$J$13</c:f>
              <c:numCache>
                <c:formatCode>0.00%</c:formatCode>
                <c:ptCount val="8"/>
                <c:pt idx="0">
                  <c:v>2.3078320062372985E-2</c:v>
                </c:pt>
                <c:pt idx="1">
                  <c:v>0.37189426650676805</c:v>
                </c:pt>
                <c:pt idx="2">
                  <c:v>5.2123092723464062E-2</c:v>
                </c:pt>
                <c:pt idx="3">
                  <c:v>0.18803640929457777</c:v>
                </c:pt>
                <c:pt idx="4">
                  <c:v>0.29409711023925295</c:v>
                </c:pt>
                <c:pt idx="5">
                  <c:v>5.5986961790280218E-2</c:v>
                </c:pt>
                <c:pt idx="6">
                  <c:v>7.3065951923950026E-3</c:v>
                </c:pt>
                <c:pt idx="7">
                  <c:v>7.4772441908889072E-3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D7-4284-AF77-B566A058790B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Card'!$C$14:$J$14</c:f>
              <c:numCache>
                <c:formatCode>_-"$"* #,##0_-;\-"$"* #,##0_-;_-"$"* "-"??_-;_-@_-</c:formatCode>
                <c:ptCount val="8"/>
                <c:pt idx="0">
                  <c:v>2323.318181818182</c:v>
                </c:pt>
                <c:pt idx="1">
                  <c:v>36658.018181818174</c:v>
                </c:pt>
                <c:pt idx="2">
                  <c:v>3841.1727272727271</c:v>
                </c:pt>
                <c:pt idx="3">
                  <c:v>19450.454545454555</c:v>
                </c:pt>
                <c:pt idx="4">
                  <c:v>20250.890909090904</c:v>
                </c:pt>
                <c:pt idx="5">
                  <c:v>5264.8818181818142</c:v>
                </c:pt>
                <c:pt idx="6">
                  <c:v>1045.6181818181819</c:v>
                </c:pt>
                <c:pt idx="7">
                  <c:v>1162.1999999999996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D7-4284-AF77-B566A058790B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Card'!$C$15:$J$15</c:f>
              <c:numCache>
                <c:formatCode>0.00%</c:formatCode>
                <c:ptCount val="8"/>
                <c:pt idx="0">
                  <c:v>2.5815634760159009E-2</c:v>
                </c:pt>
                <c:pt idx="1">
                  <c:v>0.40732690675733951</c:v>
                </c:pt>
                <c:pt idx="2">
                  <c:v>4.2681330931759923E-2</c:v>
                </c:pt>
                <c:pt idx="3">
                  <c:v>0.21612443547081264</c:v>
                </c:pt>
                <c:pt idx="4">
                  <c:v>0.22501851333500544</c:v>
                </c:pt>
                <c:pt idx="5">
                  <c:v>5.8500926449608498E-2</c:v>
                </c:pt>
                <c:pt idx="6">
                  <c:v>1.1618424584133074E-2</c:v>
                </c:pt>
                <c:pt idx="7">
                  <c:v>1.2913827711182074E-2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D7-4284-AF77-B566A058790B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Card'!$C$16:$J$16</c:f>
              <c:numCache>
                <c:formatCode>_-"$"* #,##0_-;\-"$"* #,##0_-;_-"$"* "-"??_-;_-@_-</c:formatCode>
                <c:ptCount val="8"/>
                <c:pt idx="0">
                  <c:v>1060.4272727272726</c:v>
                </c:pt>
                <c:pt idx="1">
                  <c:v>10445.127272727272</c:v>
                </c:pt>
                <c:pt idx="2">
                  <c:v>1230.9272727272726</c:v>
                </c:pt>
                <c:pt idx="3">
                  <c:v>6442.0545454545454</c:v>
                </c:pt>
                <c:pt idx="4">
                  <c:v>8646.6181818181813</c:v>
                </c:pt>
                <c:pt idx="5">
                  <c:v>1821.3727272727274</c:v>
                </c:pt>
                <c:pt idx="6">
                  <c:v>565.55454545454506</c:v>
                </c:pt>
                <c:pt idx="7">
                  <c:v>585.65454545454543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D7-4284-AF77-B566A058790B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Card'!$C$17:$J$17</c:f>
              <c:numCache>
                <c:formatCode>0.00%</c:formatCode>
                <c:ptCount val="8"/>
                <c:pt idx="0">
                  <c:v>3.4431987474876399E-2</c:v>
                </c:pt>
                <c:pt idx="1">
                  <c:v>0.33915243475686374</c:v>
                </c:pt>
                <c:pt idx="2">
                  <c:v>3.9968108636083348E-2</c:v>
                </c:pt>
                <c:pt idx="3">
                  <c:v>0.20917298821548574</c:v>
                </c:pt>
                <c:pt idx="4">
                  <c:v>0.28075499055272951</c:v>
                </c:pt>
                <c:pt idx="5">
                  <c:v>5.9139824621112953E-2</c:v>
                </c:pt>
                <c:pt idx="6">
                  <c:v>1.836351018714184E-2</c:v>
                </c:pt>
                <c:pt idx="7">
                  <c:v>1.9016155555706425E-2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D7-4284-AF77-B566A058790B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Card'!$C$18:$J$18</c:f>
              <c:numCache>
                <c:formatCode>_-"$"* #,##0_-;\-"$"* #,##0_-;_-"$"* "-"??_-;_-@_-</c:formatCode>
                <c:ptCount val="8"/>
                <c:pt idx="0">
                  <c:v>3100.6090909090922</c:v>
                </c:pt>
                <c:pt idx="1">
                  <c:v>44542.145454545469</c:v>
                </c:pt>
                <c:pt idx="2">
                  <c:v>5266.8090909090888</c:v>
                </c:pt>
                <c:pt idx="3">
                  <c:v>33480.83636363635</c:v>
                </c:pt>
                <c:pt idx="4">
                  <c:v>27416.699999999993</c:v>
                </c:pt>
                <c:pt idx="5">
                  <c:v>7882.1545454545458</c:v>
                </c:pt>
                <c:pt idx="6">
                  <c:v>1597.5636363636356</c:v>
                </c:pt>
                <c:pt idx="7">
                  <c:v>1700.100000000001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D7-4284-AF77-B566A058790B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Card'!$C$19:$J$19</c:f>
              <c:numCache>
                <c:formatCode>0.00%</c:formatCode>
                <c:ptCount val="8"/>
                <c:pt idx="0">
                  <c:v>2.4807898388770771E-2</c:v>
                </c:pt>
                <c:pt idx="1">
                  <c:v>0.35638062911382001</c:v>
                </c:pt>
                <c:pt idx="2">
                  <c:v>4.2139612227614941E-2</c:v>
                </c:pt>
                <c:pt idx="3">
                  <c:v>0.26787936245024202</c:v>
                </c:pt>
                <c:pt idx="4">
                  <c:v>0.21936035398644615</c:v>
                </c:pt>
                <c:pt idx="5">
                  <c:v>6.3064927991581227E-2</c:v>
                </c:pt>
                <c:pt idx="6">
                  <c:v>1.2782068038407297E-2</c:v>
                </c:pt>
                <c:pt idx="7">
                  <c:v>1.360245900536379E-2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D7-4284-AF77-B566A058790B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Card'!$C$20:$J$20</c:f>
              <c:numCache>
                <c:formatCode>_-"$"* #,##0_-;\-"$"* #,##0_-;_-"$"* "-"??_-;_-@_-</c:formatCode>
                <c:ptCount val="8"/>
                <c:pt idx="0">
                  <c:v>68.572727272727263</c:v>
                </c:pt>
                <c:pt idx="1">
                  <c:v>2587.2090909090907</c:v>
                </c:pt>
                <c:pt idx="2">
                  <c:v>276.0545454545454</c:v>
                </c:pt>
                <c:pt idx="3">
                  <c:v>1277.6181818181817</c:v>
                </c:pt>
                <c:pt idx="4">
                  <c:v>1154.8999999999994</c:v>
                </c:pt>
                <c:pt idx="5">
                  <c:v>331.32727272727266</c:v>
                </c:pt>
                <c:pt idx="6">
                  <c:v>15.745454545454544</c:v>
                </c:pt>
                <c:pt idx="7">
                  <c:v>7.9545454545454541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D7-4284-AF77-B566A058790B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Card'!$C$21:$J$21</c:f>
              <c:numCache>
                <c:formatCode>0.00%</c:formatCode>
                <c:ptCount val="8"/>
                <c:pt idx="0">
                  <c:v>1.1989534787612138E-2</c:v>
                </c:pt>
                <c:pt idx="1">
                  <c:v>0.45235816966868636</c:v>
                </c:pt>
                <c:pt idx="2">
                  <c:v>4.8266500511816274E-2</c:v>
                </c:pt>
                <c:pt idx="3">
                  <c:v>0.22338396393761564</c:v>
                </c:pt>
                <c:pt idx="4">
                  <c:v>0.20192741745770354</c:v>
                </c:pt>
                <c:pt idx="5">
                  <c:v>5.7930609156742932E-2</c:v>
                </c:pt>
                <c:pt idx="6">
                  <c:v>2.752999370561345E-3</c:v>
                </c:pt>
                <c:pt idx="7">
                  <c:v>1.3908051092616494E-3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D7-4284-AF77-B566A058790B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Card'!$C$22:$J$22</c:f>
              <c:numCache>
                <c:formatCode>_-"$"* #,##0_-;\-"$"* #,##0_-;_-"$"* "-"??_-;_-@_-</c:formatCode>
                <c:ptCount val="8"/>
                <c:pt idx="0">
                  <c:v>2236.1272727272726</c:v>
                </c:pt>
                <c:pt idx="1">
                  <c:v>0</c:v>
                </c:pt>
                <c:pt idx="2">
                  <c:v>369.08181818181822</c:v>
                </c:pt>
                <c:pt idx="3">
                  <c:v>4186.7363636363643</c:v>
                </c:pt>
                <c:pt idx="4">
                  <c:v>1265.9000000000001</c:v>
                </c:pt>
                <c:pt idx="5">
                  <c:v>712.52727272727259</c:v>
                </c:pt>
                <c:pt idx="6">
                  <c:v>1479.6090909090904</c:v>
                </c:pt>
                <c:pt idx="7">
                  <c:v>1767.4454545454539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D7-4284-AF77-B566A058790B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Card'!$C$23:$J$23</c:f>
              <c:numCache>
                <c:formatCode>0.00%</c:formatCode>
                <c:ptCount val="8"/>
                <c:pt idx="0">
                  <c:v>0.18604851690043689</c:v>
                </c:pt>
                <c:pt idx="1">
                  <c:v>0</c:v>
                </c:pt>
                <c:pt idx="2">
                  <c:v>3.0708057508683186E-2</c:v>
                </c:pt>
                <c:pt idx="3">
                  <c:v>0.34834157277535072</c:v>
                </c:pt>
                <c:pt idx="4">
                  <c:v>0.10532442424755843</c:v>
                </c:pt>
                <c:pt idx="5">
                  <c:v>5.9283138289503934E-2</c:v>
                </c:pt>
                <c:pt idx="6">
                  <c:v>0.12310528131088813</c:v>
                </c:pt>
                <c:pt idx="7">
                  <c:v>0.14705361789159027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D7-4284-AF77-B566A058790B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Card'!$C$24:$J$24</c:f>
              <c:numCache>
                <c:formatCode>_-"$"* #,##0_-;\-"$"* #,##0_-;_-"$"* "-"??_-;_-@_-</c:formatCode>
                <c:ptCount val="8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D7-4284-AF77-B566A058790B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B9D7-4284-AF77-B566A0587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B9D7-4284-AF77-B566A05879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9D7-4284-AF77-B566A05879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9D7-4284-AF77-B566A05879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9D7-4284-AF77-B566A05879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9D7-4284-AF77-B566A05879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B9D7-4284-AF77-B566A05879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B9D7-4284-AF77-B566A058790B}"/>
              </c:ext>
            </c:extLst>
          </c:dPt>
          <c:dLbls>
            <c:dLbl>
              <c:idx val="0"/>
              <c:layout>
                <c:manualLayout>
                  <c:x val="0.11076923076923077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9D7-4284-AF77-B566A058790B}"/>
                </c:ext>
              </c:extLst>
            </c:dLbl>
            <c:dLbl>
              <c:idx val="5"/>
              <c:layout>
                <c:manualLayout>
                  <c:x val="-6.7692307692307718E-2"/>
                  <c:y val="1.9444444444444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9D7-4284-AF77-B566A058790B}"/>
                </c:ext>
              </c:extLst>
            </c:dLbl>
            <c:dLbl>
              <c:idx val="6"/>
              <c:layout>
                <c:manualLayout>
                  <c:x val="2.4615384615384615E-2"/>
                  <c:y val="-1.6666666666666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9D7-4284-AF77-B566A058790B}"/>
                </c:ext>
              </c:extLst>
            </c:dLbl>
            <c:dLbl>
              <c:idx val="7"/>
              <c:layout>
                <c:manualLayout>
                  <c:x val="0.10666666666666667"/>
                  <c:y val="-2.5000000000000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9D7-4284-AF77-B566A05879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Card'!$C$25:$J$25</c:f>
              <c:numCache>
                <c:formatCode>0.00%</c:formatCode>
                <c:ptCount val="8"/>
                <c:pt idx="0">
                  <c:v>5.6993667284745239E-2</c:v>
                </c:pt>
                <c:pt idx="1">
                  <c:v>0.31419564975045394</c:v>
                </c:pt>
                <c:pt idx="2">
                  <c:v>3.9681895414345171E-2</c:v>
                </c:pt>
                <c:pt idx="3">
                  <c:v>0.22175203064391766</c:v>
                </c:pt>
                <c:pt idx="4">
                  <c:v>0.26106496737757007</c:v>
                </c:pt>
                <c:pt idx="5">
                  <c:v>5.831034690353782E-2</c:v>
                </c:pt>
                <c:pt idx="6">
                  <c:v>2.4939782884786703E-2</c:v>
                </c:pt>
                <c:pt idx="7">
                  <c:v>2.3060132629396705E-2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D7-4284-AF77-B566A0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 Contribution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2"/>
          <c:order val="32"/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111-445C-BD08-BBE477D9E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111-445C-BD08-BBE477D9E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111-445C-BD08-BBE477D9E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111-445C-BD08-BBE477D9E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111-445C-BD08-BBE477D9E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111-445C-BD08-BBE477D9E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111-445C-BD08-BBE477D9E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111-445C-BD08-BBE477D9EA5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2CA0CA59-A407-42D1-9762-CC3B22C47253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5B6DAA73-F7D2-4FAD-A7C3-7D1C965C63A6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3111-445C-BD08-BBE477D9EA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4F76AC-6CB2-42A1-93B6-956E65D65314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9520A69D-0E65-45B8-9F31-2815B664A068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3111-445C-BD08-BBE477D9EA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B601C1-128B-46DF-B89D-55FC8C829AE2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01900080-89C6-4661-A4F0-9545478156AC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3111-445C-BD08-BBE477D9EA58}"/>
                </c:ext>
              </c:extLst>
            </c:dLbl>
            <c:dLbl>
              <c:idx val="6"/>
              <c:layout>
                <c:manualLayout>
                  <c:x val="3.6989465283784925E-2"/>
                  <c:y val="9.91116783807262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3005897279315"/>
                      <c:h val="3.72542296425028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3111-445C-BD08-BBE477D9EA58}"/>
                </c:ext>
              </c:extLst>
            </c:dLbl>
            <c:dLbl>
              <c:idx val="7"/>
              <c:layout>
                <c:manualLayout>
                  <c:x val="2.905388196833145E-2"/>
                  <c:y val="7.23107965343244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111-445C-BD08-BBE477D9E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'GP by Card Type'!$C$2:$J$2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'GP by Card Type'!$C$36:$J$36</c:f>
              <c:numCache>
                <c:formatCode>0.00%</c:formatCode>
                <c:ptCount val="8"/>
                <c:pt idx="0">
                  <c:v>-1.1842473450968893E-2</c:v>
                </c:pt>
                <c:pt idx="1">
                  <c:v>0.5472595907488651</c:v>
                </c:pt>
                <c:pt idx="2">
                  <c:v>5.0147097540803744E-2</c:v>
                </c:pt>
                <c:pt idx="3">
                  <c:v>0.26069468183342986</c:v>
                </c:pt>
                <c:pt idx="4">
                  <c:v>0.18291099492920829</c:v>
                </c:pt>
                <c:pt idx="5">
                  <c:v>7.8245092488626183E-2</c:v>
                </c:pt>
                <c:pt idx="6">
                  <c:v>-5.4965944217578187E-2</c:v>
                </c:pt>
                <c:pt idx="7">
                  <c:v>-5.2449686464868701E-2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11-445C-BD08-BBE477D9EA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B441-4419-BD2D-F7AADA128C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B441-4419-BD2D-F7AADA128C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B441-4419-BD2D-F7AADA128C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B441-4419-BD2D-F7AADA128C7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B441-4419-BD2D-F7AADA128C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B441-4419-BD2D-F7AADA128C7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1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'GP by Card Type'!$C$4:$J$4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11-445C-BD08-BBE477D9EA58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-8.511398023098006E-2</c:v>
                      </c:pt>
                      <c:pt idx="1">
                        <c:v>0.79269002820878964</c:v>
                      </c:pt>
                      <c:pt idx="2">
                        <c:v>0.56518269298142021</c:v>
                      </c:pt>
                      <c:pt idx="3">
                        <c:v>0.52178322407025679</c:v>
                      </c:pt>
                      <c:pt idx="4">
                        <c:v>0.33266765980284924</c:v>
                      </c:pt>
                      <c:pt idx="5">
                        <c:v>0.60006266384493268</c:v>
                      </c:pt>
                      <c:pt idx="6">
                        <c:v>-1.0242827909454955</c:v>
                      </c:pt>
                      <c:pt idx="7">
                        <c:v>-1.1430537222212178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11-445C-BD08-BBE477D9EA58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-1.071099822635169E-2</c:v>
                      </c:pt>
                      <c:pt idx="1">
                        <c:v>0.57016570379687948</c:v>
                      </c:pt>
                      <c:pt idx="2">
                        <c:v>4.8091949573411542E-2</c:v>
                      </c:pt>
                      <c:pt idx="3">
                        <c:v>0.25850960098612291</c:v>
                      </c:pt>
                      <c:pt idx="4">
                        <c:v>0.1935666034018638</c:v>
                      </c:pt>
                      <c:pt idx="5">
                        <c:v>7.1705310314504639E-2</c:v>
                      </c:pt>
                      <c:pt idx="6">
                        <c:v>-6.4120926143384258E-2</c:v>
                      </c:pt>
                      <c:pt idx="7">
                        <c:v>-6.7207994180977573E-2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11-445C-BD08-BBE477D9EA58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11-445C-BD08-BBE477D9EA58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-0.17181431909921371</c:v>
                      </c:pt>
                      <c:pt idx="1">
                        <c:v>0.8160442341208064</c:v>
                      </c:pt>
                      <c:pt idx="2">
                        <c:v>0.56007189586814565</c:v>
                      </c:pt>
                      <c:pt idx="3">
                        <c:v>0.55782533980396432</c:v>
                      </c:pt>
                      <c:pt idx="4">
                        <c:v>0.29158763129017107</c:v>
                      </c:pt>
                      <c:pt idx="5">
                        <c:v>0.62470718528710945</c:v>
                      </c:pt>
                      <c:pt idx="6">
                        <c:v>-1.2876899993476409</c:v>
                      </c:pt>
                      <c:pt idx="7">
                        <c:v>-1.1298790742372065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11-445C-BD08-BBE477D9EA58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-3.729574511777974E-3</c:v>
                      </c:pt>
                      <c:pt idx="1">
                        <c:v>0.60676897966878529</c:v>
                      </c:pt>
                      <c:pt idx="2">
                        <c:v>4.1888434841834243E-2</c:v>
                      </c:pt>
                      <c:pt idx="3">
                        <c:v>0.24161304593386074</c:v>
                      </c:pt>
                      <c:pt idx="4">
                        <c:v>7.5484903946151233E-2</c:v>
                      </c:pt>
                      <c:pt idx="5">
                        <c:v>6.0090084768004141E-2</c:v>
                      </c:pt>
                      <c:pt idx="6">
                        <c:v>-9.1029232609134685E-3</c:v>
                      </c:pt>
                      <c:pt idx="7">
                        <c:v>-1.3012951385944167E-2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11-445C-BD08-BBE477D9EA58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11-445C-BD08-BBE477D9EA58}"/>
                  </c:ext>
                </c:extLst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-0.10283376896844029</c:v>
                      </c:pt>
                      <c:pt idx="1">
                        <c:v>0.8392202367671614</c:v>
                      </c:pt>
                      <c:pt idx="2">
                        <c:v>0.62104834271362575</c:v>
                      </c:pt>
                      <c:pt idx="3">
                        <c:v>0.59930567535508583</c:v>
                      </c:pt>
                      <c:pt idx="4">
                        <c:v>0.31746125969723998</c:v>
                      </c:pt>
                      <c:pt idx="5">
                        <c:v>0.6616737118812166</c:v>
                      </c:pt>
                      <c:pt idx="6">
                        <c:v>-1.0278503952589773</c:v>
                      </c:pt>
                      <c:pt idx="7">
                        <c:v>-1.0088472532019432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11-445C-BD08-BBE477D9EA58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-1.6099980002795607E-2</c:v>
                      </c:pt>
                      <c:pt idx="1">
                        <c:v>0.511460896968992</c:v>
                      </c:pt>
                      <c:pt idx="2">
                        <c:v>5.4986456962528886E-2</c:v>
                      </c:pt>
                      <c:pt idx="3">
                        <c:v>0.26542065694880418</c:v>
                      </c:pt>
                      <c:pt idx="4">
                        <c:v>0.19321201448283171</c:v>
                      </c:pt>
                      <c:pt idx="5">
                        <c:v>9.249632476224609E-2</c:v>
                      </c:pt>
                      <c:pt idx="6">
                        <c:v>-5.5791853182350644E-2</c:v>
                      </c:pt>
                      <c:pt idx="7">
                        <c:v>-4.5684597703322942E-2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11-445C-BD08-BBE477D9EA58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11-445C-BD08-BBE477D9EA58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-6.1170670759034672E-2</c:v>
                      </c:pt>
                      <c:pt idx="1">
                        <c:v>0.76299260347959086</c:v>
                      </c:pt>
                      <c:pt idx="2">
                        <c:v>0.58003423919922048</c:v>
                      </c:pt>
                      <c:pt idx="3">
                        <c:v>0.54368949964728031</c:v>
                      </c:pt>
                      <c:pt idx="4">
                        <c:v>0.36733117432546764</c:v>
                      </c:pt>
                      <c:pt idx="5">
                        <c:v>0.61597583116396581</c:v>
                      </c:pt>
                      <c:pt idx="6">
                        <c:v>-1.1312659761643971</c:v>
                      </c:pt>
                      <c:pt idx="7">
                        <c:v>-1.0067060941926496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11-445C-BD08-BBE477D9EA58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-3.951140174184283E-3</c:v>
                      </c:pt>
                      <c:pt idx="1">
                        <c:v>0.49291596948438127</c:v>
                      </c:pt>
                      <c:pt idx="2">
                        <c:v>4.5830131201384308E-2</c:v>
                      </c:pt>
                      <c:pt idx="3">
                        <c:v>0.29963849564841066</c:v>
                      </c:pt>
                      <c:pt idx="4">
                        <c:v>0.19071980931984084</c:v>
                      </c:pt>
                      <c:pt idx="5">
                        <c:v>6.7500426853458098E-2</c:v>
                      </c:pt>
                      <c:pt idx="6">
                        <c:v>-4.7828815938332776E-2</c:v>
                      </c:pt>
                      <c:pt idx="7">
                        <c:v>-4.4825929054534183E-2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11-445C-BD08-BBE477D9EA58}"/>
                  </c:ext>
                </c:extLst>
              </c15:ser>
            </c15:filteredPieSeries>
            <c15:filteredPieSeries>
              <c15:ser>
                <c:idx val="12"/>
                <c:order val="1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11-445C-BD08-BBE477D9EA58}"/>
                  </c:ext>
                </c:extLst>
              </c15:ser>
            </c15:filteredPieSeries>
            <c15:filteredPieSeries>
              <c15:ser>
                <c:idx val="13"/>
                <c:order val="1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-0.3722949596363887</c:v>
                      </c:pt>
                      <c:pt idx="1">
                        <c:v>0.80116989345086997</c:v>
                      </c:pt>
                      <c:pt idx="2">
                        <c:v>0.47119514612681324</c:v>
                      </c:pt>
                      <c:pt idx="3">
                        <c:v>0.49756048823539212</c:v>
                      </c:pt>
                      <c:pt idx="4">
                        <c:v>0.10937072467008402</c:v>
                      </c:pt>
                      <c:pt idx="5">
                        <c:v>0.52845278375884353</c:v>
                      </c:pt>
                      <c:pt idx="6">
                        <c:v>-1.5766445253910437</c:v>
                      </c:pt>
                      <c:pt idx="7">
                        <c:v>-1.3114740368509219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11-445C-BD08-BBE477D9EA58}"/>
                  </c:ext>
                </c:extLst>
              </c15:ser>
            </c15:filteredPieSeries>
            <c15:filteredPieSeries>
              <c15:ser>
                <c:idx val="14"/>
                <c:order val="1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-1.9182546678811908E-2</c:v>
                      </c:pt>
                      <c:pt idx="1">
                        <c:v>0.66521038234366847</c:v>
                      </c:pt>
                      <c:pt idx="2">
                        <c:v>5.4833491440207965E-2</c:v>
                      </c:pt>
                      <c:pt idx="3">
                        <c:v>0.20888283336840358</c:v>
                      </c:pt>
                      <c:pt idx="4">
                        <c:v>7.1813610520200577E-2</c:v>
                      </c:pt>
                      <c:pt idx="5">
                        <c:v>6.6055351154553063E-2</c:v>
                      </c:pt>
                      <c:pt idx="6">
                        <c:v>-2.5719572698985723E-2</c:v>
                      </c:pt>
                      <c:pt idx="7">
                        <c:v>-2.189354944923582E-2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11-445C-BD08-BBE477D9EA58}"/>
                  </c:ext>
                </c:extLst>
              </c15:ser>
            </c15:filteredPieSeries>
            <c15:filteredPieSeries>
              <c15:ser>
                <c:idx val="15"/>
                <c:order val="1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11-445C-BD08-BBE477D9EA58}"/>
                  </c:ext>
                </c:extLst>
              </c15:ser>
            </c15:filteredPieSeries>
            <c15:filteredPieSeries>
              <c15:ser>
                <c:idx val="16"/>
                <c:order val="1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-0.1513317551307885</c:v>
                      </c:pt>
                      <c:pt idx="1">
                        <c:v>0.80561196831054194</c:v>
                      </c:pt>
                      <c:pt idx="2">
                        <c:v>0.58293986921607743</c:v>
                      </c:pt>
                      <c:pt idx="3">
                        <c:v>0.55779953728587806</c:v>
                      </c:pt>
                      <c:pt idx="4">
                        <c:v>0.31849911878175485</c:v>
                      </c:pt>
                      <c:pt idx="5">
                        <c:v>0.6248728711859195</c:v>
                      </c:pt>
                      <c:pt idx="6">
                        <c:v>-1.0418543184545026</c:v>
                      </c:pt>
                      <c:pt idx="7">
                        <c:v>-0.99965582515918161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111-445C-BD08-BBE477D9EA58}"/>
                  </c:ext>
                </c:extLst>
              </c15:ser>
            </c15:filteredPieSeries>
            <c15:filteredPieSeries>
              <c15:ser>
                <c:idx val="17"/>
                <c:order val="1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-7.0660694143651285E-3</c:v>
                      </c:pt>
                      <c:pt idx="1">
                        <c:v>0.59351818659055877</c:v>
                      </c:pt>
                      <c:pt idx="2">
                        <c:v>4.5001473593678148E-2</c:v>
                      </c:pt>
                      <c:pt idx="3">
                        <c:v>0.21804545772034031</c:v>
                      </c:pt>
                      <c:pt idx="4">
                        <c:v>0.12962581755856059</c:v>
                      </c:pt>
                      <c:pt idx="5">
                        <c:v>6.6117958638926652E-2</c:v>
                      </c:pt>
                      <c:pt idx="6">
                        <c:v>-2.1893704995260586E-2</c:v>
                      </c:pt>
                      <c:pt idx="7">
                        <c:v>-2.3349119692438695E-2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11-445C-BD08-BBE477D9EA58}"/>
                  </c:ext>
                </c:extLst>
              </c15:ser>
            </c15:filteredPieSeries>
            <c15:filteredPieSeries>
              <c15:ser>
                <c:idx val="18"/>
                <c:order val="1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11-445C-BD08-BBE477D9EA58}"/>
                  </c:ext>
                </c:extLst>
              </c15:ser>
            </c15:filteredPieSeries>
            <c15:filteredPieSeries>
              <c15:ser>
                <c:idx val="19"/>
                <c:order val="1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-0.21439728411360789</c:v>
                      </c:pt>
                      <c:pt idx="1">
                        <c:v>0.80047251262876817</c:v>
                      </c:pt>
                      <c:pt idx="2">
                        <c:v>0.58944771864521939</c:v>
                      </c:pt>
                      <c:pt idx="3">
                        <c:v>0.54143511527942811</c:v>
                      </c:pt>
                      <c:pt idx="4">
                        <c:v>0.39661959273620373</c:v>
                      </c:pt>
                      <c:pt idx="5">
                        <c:v>0.64867707173909794</c:v>
                      </c:pt>
                      <c:pt idx="6">
                        <c:v>-1.0310684605616385</c:v>
                      </c:pt>
                      <c:pt idx="7">
                        <c:v>-1.0668669088199685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11-445C-BD08-BBE477D9EA58}"/>
                  </c:ext>
                </c:extLst>
              </c15:ser>
            </c15:filteredPieSeries>
            <c15:filteredPieSeries>
              <c15:ser>
                <c:idx val="20"/>
                <c:order val="2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-1.4434941322120535E-2</c:v>
                      </c:pt>
                      <c:pt idx="1">
                        <c:v>0.53085390209153926</c:v>
                      </c:pt>
                      <c:pt idx="2">
                        <c:v>4.6067276749688593E-2</c:v>
                      </c:pt>
                      <c:pt idx="3">
                        <c:v>0.22145509227810184</c:v>
                      </c:pt>
                      <c:pt idx="4">
                        <c:v>0.21773853701862778</c:v>
                      </c:pt>
                      <c:pt idx="5">
                        <c:v>7.5013983979274598E-2</c:v>
                      </c:pt>
                      <c:pt idx="6">
                        <c:v>-3.7023447313659009E-2</c:v>
                      </c:pt>
                      <c:pt idx="7">
                        <c:v>-3.967040348145242E-2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11-445C-BD08-BBE477D9EA58}"/>
                  </c:ext>
                </c:extLst>
              </c15:ser>
            </c15:filteredPieSeries>
            <c15:filteredPieSeries>
              <c15:ser>
                <c:idx val="21"/>
                <c:order val="2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11-445C-BD08-BBE477D9EA58}"/>
                  </c:ext>
                </c:extLst>
              </c15:ser>
            </c15:filteredPieSeries>
            <c15:filteredPieSeries>
              <c15:ser>
                <c:idx val="22"/>
                <c:order val="2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-0.17889740139034224</c:v>
                      </c:pt>
                      <c:pt idx="1">
                        <c:v>0.68075740728494949</c:v>
                      </c:pt>
                      <c:pt idx="2">
                        <c:v>0.47802930530647314</c:v>
                      </c:pt>
                      <c:pt idx="3">
                        <c:v>0.40121567507274153</c:v>
                      </c:pt>
                      <c:pt idx="4">
                        <c:v>0.21963620712923126</c:v>
                      </c:pt>
                      <c:pt idx="5">
                        <c:v>0.4819335276349222</c:v>
                      </c:pt>
                      <c:pt idx="6">
                        <c:v>-1.2829012359729597</c:v>
                      </c:pt>
                      <c:pt idx="7">
                        <c:v>-1.256173166284335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11-445C-BD08-BBE477D9EA58}"/>
                  </c:ext>
                </c:extLst>
              </c15:ser>
            </c15:filteredPieSeries>
            <c15:filteredPieSeries>
              <c15:ser>
                <c:idx val="23"/>
                <c:order val="2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-1.0801342378708152E-2</c:v>
                      </c:pt>
                      <c:pt idx="1">
                        <c:v>0.59045960494270855</c:v>
                      </c:pt>
                      <c:pt idx="2">
                        <c:v>4.9026262064790146E-2</c:v>
                      </c:pt>
                      <c:pt idx="3">
                        <c:v>0.26157779507702994</c:v>
                      </c:pt>
                      <c:pt idx="4">
                        <c:v>0.11725889560451952</c:v>
                      </c:pt>
                      <c:pt idx="5">
                        <c:v>7.3970536885099011E-2</c:v>
                      </c:pt>
                      <c:pt idx="6">
                        <c:v>-3.9909664268128787E-2</c:v>
                      </c:pt>
                      <c:pt idx="7">
                        <c:v>-4.1586336521401618E-2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11-445C-BD08-BBE477D9EA58}"/>
                  </c:ext>
                </c:extLst>
              </c15:ser>
            </c15:filteredPieSeries>
            <c15:filteredPieSeries>
              <c15:ser>
                <c:idx val="24"/>
                <c:order val="2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11-445C-BD08-BBE477D9EA58}"/>
                  </c:ext>
                </c:extLst>
              </c15:ser>
            </c15:filteredPieSeries>
            <c15:filteredPieSeries>
              <c15:ser>
                <c:idx val="25"/>
                <c:order val="2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-0.18545671483494655</c:v>
                      </c:pt>
                      <c:pt idx="1">
                        <c:v>0.81331620946404148</c:v>
                      </c:pt>
                      <c:pt idx="2">
                        <c:v>0.59685503523677785</c:v>
                      </c:pt>
                      <c:pt idx="3">
                        <c:v>0.57987448234641159</c:v>
                      </c:pt>
                      <c:pt idx="4">
                        <c:v>0.31452939648454381</c:v>
                      </c:pt>
                      <c:pt idx="5">
                        <c:v>0.57027382977555829</c:v>
                      </c:pt>
                      <c:pt idx="6">
                        <c:v>-0.83608545034642046</c:v>
                      </c:pt>
                      <c:pt idx="7">
                        <c:v>-1.1384000000000005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11-445C-BD08-BBE477D9EA58}"/>
                  </c:ext>
                </c:extLst>
              </c15:ser>
            </c15:filteredPieSeries>
            <c15:filteredPieSeries>
              <c15:ser>
                <c:idx val="26"/>
                <c:order val="2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-3.6055870748376521E-3</c:v>
                      </c:pt>
                      <c:pt idx="1">
                        <c:v>0.59658586550069959</c:v>
                      </c:pt>
                      <c:pt idx="2">
                        <c:v>4.6713861393283998E-2</c:v>
                      </c:pt>
                      <c:pt idx="3">
                        <c:v>0.21004729095121108</c:v>
                      </c:pt>
                      <c:pt idx="4">
                        <c:v>0.1029882375743978</c:v>
                      </c:pt>
                      <c:pt idx="5">
                        <c:v>5.3570121438873838E-2</c:v>
                      </c:pt>
                      <c:pt idx="6">
                        <c:v>-3.7323973429640419E-3</c:v>
                      </c:pt>
                      <c:pt idx="7">
                        <c:v>-2.5673924406646523E-3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11-445C-BD08-BBE477D9EA58}"/>
                  </c:ext>
                </c:extLst>
              </c15:ser>
            </c15:filteredPieSeries>
            <c15:filteredPieSeries>
              <c15:ser>
                <c:idx val="27"/>
                <c:order val="2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11-445C-BD08-BBE477D9EA58}"/>
                  </c:ext>
                </c:extLst>
              </c15:ser>
            </c15:filteredPieSeries>
            <c15:filteredPieSeries>
              <c15:ser>
                <c:idx val="28"/>
                <c:order val="2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4.183897485100059E-2</c:v>
                      </c:pt>
                      <c:pt idx="1">
                        <c:v>0</c:v>
                      </c:pt>
                      <c:pt idx="2">
                        <c:v>0.31951279588167203</c:v>
                      </c:pt>
                      <c:pt idx="3">
                        <c:v>0.28656080566116809</c:v>
                      </c:pt>
                      <c:pt idx="4">
                        <c:v>-2.5955662159153667E-2</c:v>
                      </c:pt>
                      <c:pt idx="5">
                        <c:v>0.12576743473933999</c:v>
                      </c:pt>
                      <c:pt idx="6">
                        <c:v>-4.1408357244235736E-2</c:v>
                      </c:pt>
                      <c:pt idx="7">
                        <c:v>0.23794896589325085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11-445C-BD08-BBE477D9EA58}"/>
                  </c:ext>
                </c:extLst>
              </c15:ser>
            </c15:filteredPieSeries>
            <c15:filteredPieSeries>
              <c15:ser>
                <c:idx val="29"/>
                <c:order val="2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5.1200089949532859E-2</c:v>
                      </c:pt>
                      <c:pt idx="1">
                        <c:v>0</c:v>
                      </c:pt>
                      <c:pt idx="2">
                        <c:v>6.4536302198589524E-2</c:v>
                      </c:pt>
                      <c:pt idx="3">
                        <c:v>0.65657686306974716</c:v>
                      </c:pt>
                      <c:pt idx="4">
                        <c:v>-1.7981448903889276E-2</c:v>
                      </c:pt>
                      <c:pt idx="5">
                        <c:v>4.9041400665467312E-2</c:v>
                      </c:pt>
                      <c:pt idx="6">
                        <c:v>-3.3529583844109083E-2</c:v>
                      </c:pt>
                      <c:pt idx="7">
                        <c:v>0.23015637686466148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11-445C-BD08-BBE477D9EA58}"/>
                  </c:ext>
                </c:extLst>
              </c15:ser>
            </c15:filteredPieSeries>
            <c15:filteredPieSeries>
              <c15:ser>
                <c:idx val="30"/>
                <c:order val="3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-11488.628181818189</c:v>
                      </c:pt>
                      <c:pt idx="1">
                        <c:v>530907.83636363631</c:v>
                      </c:pt>
                      <c:pt idx="2">
                        <c:v>48648.735454545444</c:v>
                      </c:pt>
                      <c:pt idx="3">
                        <c:v>252905.2972727273</c:v>
                      </c:pt>
                      <c:pt idx="4">
                        <c:v>177445.73545454562</c:v>
                      </c:pt>
                      <c:pt idx="5">
                        <c:v>75907.180909090879</c:v>
                      </c:pt>
                      <c:pt idx="6">
                        <c:v>-53323.598181818212</c:v>
                      </c:pt>
                      <c:pt idx="7">
                        <c:v>-50882.524545454551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11-445C-BD08-BBE477D9EA58}"/>
                  </c:ext>
                </c:extLst>
              </c15:ser>
            </c15:filteredPieSeries>
            <c15:filteredPieSeries>
              <c15:ser>
                <c:idx val="31"/>
                <c:order val="3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328-40BF-8338-73B2A57B93C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328-40BF-8338-73B2A57B93C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328-40BF-8338-73B2A57B93C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328-40BF-8338-73B2A57B93C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328-40BF-8338-73B2A57B93C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328-40BF-8338-73B2A57B93C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328-40BF-8338-73B2A57B93C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328-40BF-8338-73B2A57B93C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-9.5384230218711827E-2</c:v>
                      </c:pt>
                      <c:pt idx="1">
                        <c:v>0.79956536947694978</c:v>
                      </c:pt>
                      <c:pt idx="2">
                        <c:v>0.58011508073907181</c:v>
                      </c:pt>
                      <c:pt idx="3">
                        <c:v>0.53966633648627116</c:v>
                      </c:pt>
                      <c:pt idx="4">
                        <c:v>0.32162661277307963</c:v>
                      </c:pt>
                      <c:pt idx="5">
                        <c:v>0.61598799066153453</c:v>
                      </c:pt>
                      <c:pt idx="6">
                        <c:v>-1.0117233806653352</c:v>
                      </c:pt>
                      <c:pt idx="7">
                        <c:v>-1.0440994277772859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11-445C-BD08-BBE477D9EA5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</a:t>
            </a:r>
            <a:r>
              <a:rPr lang="en-AU" b="1" baseline="0">
                <a:solidFill>
                  <a:srgbClr val="002060"/>
                </a:solidFill>
              </a:rPr>
              <a:t> of Each Card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 by Card Type'!$C$2</c:f>
              <c:strCache>
                <c:ptCount val="1"/>
                <c:pt idx="0">
                  <c:v>Amex/JCB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407806-794C-49CA-85D3-D956E9716E93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2A8C2340-6135-468D-889F-7DFD136D0ED5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3749286-930A-41B8-84EC-744145905D1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2E-4272-8402-6D5681AEC3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D99959-C315-477C-9ADE-8B07A34245C9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1AD92681-DE81-4D52-BC0F-3FF23A3D7540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3C2012D-32CA-4264-9990-1A2FF021457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2E-4272-8402-6D5681AEC3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980946-8AAB-4994-BA55-5A223AFDF99E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2D34B1E8-38E3-4974-AE39-9BCDD7484B37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12A3E6E-5149-4950-8F83-EB95B4439CB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2E-4272-8402-6D5681AEC3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C0DAD5-3BA5-4933-A1F5-B026C029B983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CD857D24-E5A0-4E62-B923-8760980B769E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AA9FB9D-5AAA-42A1-AD00-D72236A654F1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2E-4272-8402-6D5681AEC3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F6419C-104E-4D3E-B3A9-8EA0087790DA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955B2397-AA85-4CFD-8AE4-27A189B243A5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4D0BDEC8-BB7C-4D50-AD62-F4858E4BB4B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2E-4272-8402-6D5681AEC3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7FC9CE-5205-4C45-86E6-4631DAFC162D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922534F9-64AC-4FA9-AB72-D010EDEA2C92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AAFA6235-68E8-4506-9828-D9A8C0108DA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2E-4272-8402-6D5681AEC3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B108CC-DA3E-47B4-B40C-E836CCC92026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01B017D0-38A8-4769-9CB5-0A017CC19CB9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14F452B-C6CE-4052-8801-6EE08CCF0DD3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2E-4272-8402-6D5681AEC3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67A596-319A-45FD-86B4-3EEE529DDA92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084A0798-B53E-4F2D-A2AE-F47EBC2174DB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03591F8-F03F-4525-95E0-3067637C5FB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2E-4272-8402-6D5681AEC3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E187CB-9A4D-4CB2-9E73-E2A9385157C7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A78BE44-E3AE-4432-8DFC-F84F0CA55A5E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2E-4272-8402-6D5681AEC3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D5540E-995B-4632-9982-FFD49DCB802A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C42B993-FFB9-4F9A-96F4-02925F4B57B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2E-4272-8402-6D5681AEC3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90B4B8-7957-4E17-AB2E-69D549CDC848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359AF7D-DEBA-46D3-93B2-858314321CD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2E-4272-8402-6D5681AEC3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84057B-BA04-4FEE-B9B2-C0AC5F22506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D4470F1B-CB99-4597-B47C-1776562EC8B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2E-4272-8402-6D5681AEC3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55D1AA2-E95F-4608-9C83-0C26572DD0B6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AAFDE5D-142B-44C4-811A-754D90498B3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2E-4272-8402-6D5681AEC3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D6210A-8CEE-4AF0-B3FC-2EF219E9B2A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779C3B1-FB02-4103-9812-4162AAD8486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2E-4272-8402-6D5681AEC3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BEC2B8E-EB35-4765-B9ED-F7775A3A122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26E76BC-E74F-4B8E-A515-FECF0CF33DC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2E-4272-8402-6D5681AEC3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4474A1C-5BFF-4811-846D-37A809C2ACB4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91CE1EE-C6FD-412F-9C7B-ACB9B35D001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A2E-4272-8402-6D5681AEC3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2C174D-5928-49F7-BAA4-CAC3E4181B9A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3E92C82-18D4-4BB8-AD01-100693AF22B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A2E-4272-8402-6D5681AEC3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9F65E1C-8D3A-42E8-B7F4-E155303CC002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722B836-DD2D-4955-8B17-577750ECF8B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A2E-4272-8402-6D5681AEC3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11BA532-EEA7-44CC-8B58-3920F71D28D2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CAB05445-D89C-49E4-BC30-0F756898C7E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A2E-4272-8402-6D5681AEC3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9D698A2-263C-4D85-8EE3-58CBE48B9973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ACAB300-DC4A-4544-923D-8CE75D086AF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A2E-4272-8402-6D5681AEC3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C865DAE-4B0C-4E8F-B45F-5D52D4ECDE6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91A73DA-2E6E-4F30-819F-01089941207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A2E-4272-8402-6D5681AEC35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A117CB-6041-4FF3-8564-E09E268A9720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F21E735-D831-4CA4-9881-E51AF189797E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A2E-4272-8402-6D5681AEC35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707C8A8-5DDD-4272-8B29-4F24DC604B1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F9E09E8-BE2F-4A02-AC21-E9D6CC6473C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A2E-4272-8402-6D5681AEC35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74594C8-AF8F-4FB8-B2DE-460FF61F41DF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9967F79-8885-4C80-A716-64AE38D8BA13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A2E-4272-8402-6D5681AEC35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5A0E0E1-B487-4C4C-8992-CEE8F044E2C8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C574A1C3-FE71-402F-B5BB-150B414A656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A2E-4272-8402-6D5681AEC35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84DE87D-1D22-4BE4-A884-433B65F002EB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D5DDC7B0-FCAC-4BD5-9D5C-6682B1EA423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A2E-4272-8402-6D5681AEC35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E1C7FAB-DD19-44C0-AB5F-341D55239A8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04790D7-9E8F-46B3-B9DC-1EEF15CC8DD0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A2E-4272-8402-6D5681AEC35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F823B9-9A97-4C1A-BD23-2C330124AB63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C31194EA-C52C-40F5-AD46-A571B75CBFFE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A2E-4272-8402-6D5681AEC35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9C098B5-7002-4B1C-8758-7F0149C0CB88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0F5EC67-D541-48E5-BA21-86A1E421681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A2E-4272-8402-6D5681AEC35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44813FB-2638-42DD-B3F9-97D0E23D786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882A6B3-6011-4A2A-BD0A-71E712761C7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A2E-4272-8402-6D5681AEC35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771972D-DF2C-4596-85BA-3BA84CACA55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9F99F88-F171-4663-B697-B735D27005F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A2E-4272-8402-6D5681AEC351}"/>
                </c:ext>
              </c:extLst>
            </c:dLbl>
            <c:dLbl>
              <c:idx val="31"/>
              <c:layout>
                <c:manualLayout>
                  <c:x val="-2.1899810264872168E-2"/>
                  <c:y val="8.1906438517686947E-2"/>
                </c:manualLayout>
              </c:layout>
              <c:tx>
                <c:rich>
                  <a:bodyPr/>
                  <a:lstStyle/>
                  <a:p>
                    <a:fld id="{3B5C66FD-96BA-4948-8A2F-4DE7C8F6963D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E136166B-EB13-4FA8-BBF9-E561F80556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Type'!$C$4:$C$35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-4670.9136363636208</c:v>
                </c:pt>
                <c:pt idx="1">
                  <c:v>-8.511398023098006E-2</c:v>
                </c:pt>
                <c:pt idx="2">
                  <c:v>-1.071099822635169E-2</c:v>
                </c:pt>
                <c:pt idx="3" formatCode="_-&quot;$&quot;* #,##0_-;\-&quot;$&quot;* #,##0_-;_-&quot;$&quot;* &quot;-&quot;??_-;_-@_-">
                  <c:v>-73.520909090909015</c:v>
                </c:pt>
                <c:pt idx="4">
                  <c:v>-0.17181431909921371</c:v>
                </c:pt>
                <c:pt idx="5">
                  <c:v>-3.729574511777974E-3</c:v>
                </c:pt>
                <c:pt idx="6" formatCode="_-&quot;$&quot;* #,##0_-;\-&quot;$&quot;* #,##0_-;_-&quot;$&quot;* &quot;-&quot;??_-;_-@_-">
                  <c:v>-5436.7718181818418</c:v>
                </c:pt>
                <c:pt idx="7">
                  <c:v>-0.10283376896844029</c:v>
                </c:pt>
                <c:pt idx="8">
                  <c:v>-1.6099980002795607E-2</c:v>
                </c:pt>
                <c:pt idx="9" formatCode="_-&quot;$&quot;* #,##0_-;\-&quot;$&quot;* #,##0_-;_-&quot;$&quot;* &quot;-&quot;??_-;_-@_-">
                  <c:v>-204.73545454545456</c:v>
                </c:pt>
                <c:pt idx="10">
                  <c:v>-6.1170670759034672E-2</c:v>
                </c:pt>
                <c:pt idx="11">
                  <c:v>-3.951140174184283E-3</c:v>
                </c:pt>
                <c:pt idx="12" formatCode="_-&quot;$&quot;* #,##0_-;\-&quot;$&quot;* #,##0_-;_-&quot;$&quot;* &quot;-&quot;??_-;_-@_-">
                  <c:v>-49.890909090909133</c:v>
                </c:pt>
                <c:pt idx="13">
                  <c:v>-0.3722949596363887</c:v>
                </c:pt>
                <c:pt idx="14">
                  <c:v>-1.9182546678811908E-2</c:v>
                </c:pt>
                <c:pt idx="15" formatCode="_-&quot;$&quot;* #,##0_-;\-&quot;$&quot;* #,##0_-;_-&quot;$&quot;* &quot;-&quot;??_-;_-@_-">
                  <c:v>-351.59181818181787</c:v>
                </c:pt>
                <c:pt idx="16">
                  <c:v>-0.1513317551307885</c:v>
                </c:pt>
                <c:pt idx="17">
                  <c:v>-7.0660694143651285E-3</c:v>
                </c:pt>
                <c:pt idx="18" formatCode="_-&quot;$&quot;* #,##0_-;\-&quot;$&quot;* #,##0_-;_-&quot;$&quot;* &quot;-&quot;??_-;_-@_-">
                  <c:v>-227.35272727272741</c:v>
                </c:pt>
                <c:pt idx="19">
                  <c:v>-0.21439728411360789</c:v>
                </c:pt>
                <c:pt idx="20">
                  <c:v>-1.4434941322120535E-2</c:v>
                </c:pt>
                <c:pt idx="21" formatCode="_-&quot;$&quot;* #,##0_-;\-&quot;$&quot;* #,##0_-;_-&quot;$&quot;* &quot;-&quot;??_-;_-@_-">
                  <c:v>-554.69090909090801</c:v>
                </c:pt>
                <c:pt idx="22">
                  <c:v>-0.17889740139034224</c:v>
                </c:pt>
                <c:pt idx="23">
                  <c:v>-1.0801342378708152E-2</c:v>
                </c:pt>
                <c:pt idx="24" formatCode="_-&quot;$&quot;* #,##0_-;\-&quot;$&quot;* #,##0_-;_-&quot;$&quot;* &quot;-&quot;??_-;_-@_-">
                  <c:v>-12.717272727272743</c:v>
                </c:pt>
                <c:pt idx="25">
                  <c:v>-0.18545671483494655</c:v>
                </c:pt>
                <c:pt idx="26">
                  <c:v>-3.6055870748376521E-3</c:v>
                </c:pt>
                <c:pt idx="27" formatCode="_-&quot;$&quot;* #,##0_-;\-&quot;$&quot;* #,##0_-;_-&quot;$&quot;* &quot;-&quot;??_-;_-@_-">
                  <c:v>93.557272727272903</c:v>
                </c:pt>
                <c:pt idx="28">
                  <c:v>4.183897485100059E-2</c:v>
                </c:pt>
                <c:pt idx="29">
                  <c:v>5.1200089949532859E-2</c:v>
                </c:pt>
                <c:pt idx="30" formatCode="_-&quot;$&quot;* #,##0_-;\-&quot;$&quot;* #,##0_-;_-&quot;$&quot;* &quot;-&quot;??_-;_-@_-">
                  <c:v>-11488.628181818189</c:v>
                </c:pt>
                <c:pt idx="31">
                  <c:v>-9.5384230218711827E-2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'GP by Card Type'!$C$2:$J$2</c15:f>
                <c15:dlblRangeCache>
                  <c:ptCount val="8"/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538-4F2C-B7E1-333D0D60C107}"/>
            </c:ext>
          </c:extLst>
        </c:ser>
        <c:ser>
          <c:idx val="1"/>
          <c:order val="1"/>
          <c:tx>
            <c:strRef>
              <c:f>'GP by Card Type'!$D$2</c:f>
              <c:strCache>
                <c:ptCount val="1"/>
                <c:pt idx="0">
                  <c:v>EFTPOS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5110869082761799"/>
                  <c:y val="-2.82435994888575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Type'!$D$4:$D$35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248641.13545454535</c:v>
                </c:pt>
                <c:pt idx="1">
                  <c:v>0.79269002820878964</c:v>
                </c:pt>
                <c:pt idx="2">
                  <c:v>0.57016570379687948</c:v>
                </c:pt>
                <c:pt idx="3" formatCode="_-&quot;$&quot;* #,##0_-;\-&quot;$&quot;* #,##0_-;_-&quot;$&quot;* &quot;-&quot;??_-;_-@_-">
                  <c:v>11961.205454545448</c:v>
                </c:pt>
                <c:pt idx="4">
                  <c:v>0.8160442341208064</c:v>
                </c:pt>
                <c:pt idx="5">
                  <c:v>0.60676897966878529</c:v>
                </c:pt>
                <c:pt idx="6" formatCode="_-&quot;$&quot;* #,##0_-;\-&quot;$&quot;* #,##0_-;_-&quot;$&quot;* &quot;-&quot;??_-;_-@_-">
                  <c:v>172714.26363636358</c:v>
                </c:pt>
                <c:pt idx="7">
                  <c:v>0.8392202367671614</c:v>
                </c:pt>
                <c:pt idx="8">
                  <c:v>0.511460896968992</c:v>
                </c:pt>
                <c:pt idx="9" formatCode="_-&quot;$&quot;* #,##0_-;\-&quot;$&quot;* #,##0_-;_-&quot;$&quot;* &quot;-&quot;??_-;_-@_-">
                  <c:v>25541.329999999991</c:v>
                </c:pt>
                <c:pt idx="10">
                  <c:v>0.76299260347959086</c:v>
                </c:pt>
                <c:pt idx="11">
                  <c:v>0.49291596948438127</c:v>
                </c:pt>
                <c:pt idx="12" formatCode="_-&quot;$&quot;* #,##0_-;\-&quot;$&quot;* #,##0_-;_-&quot;$&quot;* &quot;-&quot;??_-;_-@_-">
                  <c:v>1730.1118181818183</c:v>
                </c:pt>
                <c:pt idx="13">
                  <c:v>0.80116989345086997</c:v>
                </c:pt>
                <c:pt idx="14">
                  <c:v>0.66521038234366847</c:v>
                </c:pt>
                <c:pt idx="15" formatCode="_-&quot;$&quot;* #,##0_-;\-&quot;$&quot;* #,##0_-;_-&quot;$&quot;* &quot;-&quot;??_-;_-@_-">
                  <c:v>29532.138181818173</c:v>
                </c:pt>
                <c:pt idx="16">
                  <c:v>0.80561196831054194</c:v>
                </c:pt>
                <c:pt idx="17">
                  <c:v>0.59351818659055877</c:v>
                </c:pt>
                <c:pt idx="18" formatCode="_-&quot;$&quot;* #,##0_-;\-&quot;$&quot;* #,##0_-;_-&quot;$&quot;* &quot;-&quot;??_-;_-@_-">
                  <c:v>8361.0372727272716</c:v>
                </c:pt>
                <c:pt idx="19">
                  <c:v>0.80047251262876817</c:v>
                </c:pt>
                <c:pt idx="20">
                  <c:v>0.53085390209153926</c:v>
                </c:pt>
                <c:pt idx="21" formatCode="_-&quot;$&quot;* #,##0_-;\-&quot;$&quot;* #,##0_-;_-&quot;$&quot;* &quot;-&quot;??_-;_-@_-">
                  <c:v>30322.395454545469</c:v>
                </c:pt>
                <c:pt idx="22">
                  <c:v>0.68075740728494949</c:v>
                </c:pt>
                <c:pt idx="23">
                  <c:v>0.59045960494270855</c:v>
                </c:pt>
                <c:pt idx="24" formatCode="_-&quot;$&quot;* #,##0_-;\-&quot;$&quot;* #,##0_-;_-&quot;$&quot;* &quot;-&quot;??_-;_-@_-">
                  <c:v>2104.2190909090905</c:v>
                </c:pt>
                <c:pt idx="25">
                  <c:v>0.81331620946404148</c:v>
                </c:pt>
                <c:pt idx="26">
                  <c:v>0.59658586550069959</c:v>
                </c:pt>
                <c:pt idx="27" formatCode="_-&quot;$&quot;* #,##0_-;\-&quot;$&quot;* #,##0_-;_-&quot;$&quot;* &quot;-&quot;??_-;_-@_-">
                  <c:v>0</c:v>
                </c:pt>
                <c:pt idx="28">
                  <c:v>0</c:v>
                </c:pt>
                <c:pt idx="29">
                  <c:v>0</c:v>
                </c:pt>
                <c:pt idx="30" formatCode="_-&quot;$&quot;* #,##0_-;\-&quot;$&quot;* #,##0_-;_-&quot;$&quot;* &quot;-&quot;??_-;_-@_-">
                  <c:v>530907.83636363631</c:v>
                </c:pt>
                <c:pt idx="31">
                  <c:v>0.79956536947694978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8-4F2C-B7E1-333D0D60C107}"/>
            </c:ext>
          </c:extLst>
        </c:ser>
        <c:ser>
          <c:idx val="2"/>
          <c:order val="2"/>
          <c:tx>
            <c:strRef>
              <c:f>'GP by Card Type'!$E$2</c:f>
              <c:strCache>
                <c:ptCount val="1"/>
                <c:pt idx="0">
                  <c:v>VC/MC Domestic Credit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3.0659734370821038E-2"/>
                  <c:y val="-9.602823826211572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Type'!$E$4:$E$35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20972.213636363631</c:v>
                </c:pt>
                <c:pt idx="1">
                  <c:v>0.56518269298142021</c:v>
                </c:pt>
                <c:pt idx="2">
                  <c:v>4.8091949573411542E-2</c:v>
                </c:pt>
                <c:pt idx="3" formatCode="_-&quot;$&quot;* #,##0_-;\-&quot;$&quot;* #,##0_-;_-&quot;$&quot;* &quot;-&quot;??_-;_-@_-">
                  <c:v>825.74454545454535</c:v>
                </c:pt>
                <c:pt idx="4">
                  <c:v>0.56007189586814565</c:v>
                </c:pt>
                <c:pt idx="5">
                  <c:v>4.1888434841834243E-2</c:v>
                </c:pt>
                <c:pt idx="6" formatCode="_-&quot;$&quot;* #,##0_-;\-&quot;$&quot;* #,##0_-;_-&quot;$&quot;* &quot;-&quot;??_-;_-@_-">
                  <c:v>18568.272727272717</c:v>
                </c:pt>
                <c:pt idx="7">
                  <c:v>0.62104834271362575</c:v>
                </c:pt>
                <c:pt idx="8">
                  <c:v>5.4986456962528886E-2</c:v>
                </c:pt>
                <c:pt idx="9" formatCode="_-&quot;$&quot;* #,##0_-;\-&quot;$&quot;* #,##0_-;_-&quot;$&quot;* &quot;-&quot;??_-;_-@_-">
                  <c:v>2374.7709090909125</c:v>
                </c:pt>
                <c:pt idx="10">
                  <c:v>0.58003423919922048</c:v>
                </c:pt>
                <c:pt idx="11">
                  <c:v>4.5830131201384308E-2</c:v>
                </c:pt>
                <c:pt idx="12" formatCode="_-&quot;$&quot;* #,##0_-;\-&quot;$&quot;* #,##0_-;_-&quot;$&quot;* &quot;-&quot;??_-;_-@_-">
                  <c:v>142.61363636363626</c:v>
                </c:pt>
                <c:pt idx="13">
                  <c:v>0.47119514612681324</c:v>
                </c:pt>
                <c:pt idx="14">
                  <c:v>5.4833491440207965E-2</c:v>
                </c:pt>
                <c:pt idx="15" formatCode="_-&quot;$&quot;* #,##0_-;\-&quot;$&quot;* #,##0_-;_-&quot;$&quot;* &quot;-&quot;??_-;_-@_-">
                  <c:v>2239.1727272727271</c:v>
                </c:pt>
                <c:pt idx="16">
                  <c:v>0.58293986921607743</c:v>
                </c:pt>
                <c:pt idx="17">
                  <c:v>4.5001473593678148E-2</c:v>
                </c:pt>
                <c:pt idx="18" formatCode="_-&quot;$&quot;* #,##0_-;\-&quot;$&quot;* #,##0_-;_-&quot;$&quot;* &quot;-&quot;??_-;_-@_-">
                  <c:v>725.56727272727255</c:v>
                </c:pt>
                <c:pt idx="19">
                  <c:v>0.58944771864521939</c:v>
                </c:pt>
                <c:pt idx="20">
                  <c:v>4.6067276749688593E-2</c:v>
                </c:pt>
                <c:pt idx="21" formatCode="_-&quot;$&quot;* #,##0_-;\-&quot;$&quot;* #,##0_-;_-&quot;$&quot;* &quot;-&quot;??_-;_-@_-">
                  <c:v>2517.6890909090889</c:v>
                </c:pt>
                <c:pt idx="22">
                  <c:v>0.47802930530647314</c:v>
                </c:pt>
                <c:pt idx="23">
                  <c:v>4.9026262064790146E-2</c:v>
                </c:pt>
                <c:pt idx="24" formatCode="_-&quot;$&quot;* #,##0_-;\-&quot;$&quot;* #,##0_-;_-&quot;$&quot;* &quot;-&quot;??_-;_-@_-">
                  <c:v>164.76454545454538</c:v>
                </c:pt>
                <c:pt idx="25">
                  <c:v>0.59685503523677785</c:v>
                </c:pt>
                <c:pt idx="26">
                  <c:v>4.6713861393283998E-2</c:v>
                </c:pt>
                <c:pt idx="27" formatCode="_-&quot;$&quot;* #,##0_-;\-&quot;$&quot;* #,##0_-;_-&quot;$&quot;* &quot;-&quot;??_-;_-@_-">
                  <c:v>117.92636363636367</c:v>
                </c:pt>
                <c:pt idx="28">
                  <c:v>0.31951279588167203</c:v>
                </c:pt>
                <c:pt idx="29">
                  <c:v>6.4536302198589524E-2</c:v>
                </c:pt>
                <c:pt idx="30" formatCode="_-&quot;$&quot;* #,##0_-;\-&quot;$&quot;* #,##0_-;_-&quot;$&quot;* &quot;-&quot;??_-;_-@_-">
                  <c:v>48648.735454545444</c:v>
                </c:pt>
                <c:pt idx="31">
                  <c:v>0.58011508073907181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8-4F2C-B7E1-333D0D60C107}"/>
            </c:ext>
          </c:extLst>
        </c:ser>
        <c:ser>
          <c:idx val="3"/>
          <c:order val="3"/>
          <c:tx>
            <c:strRef>
              <c:f>'GP by Card Type'!$F$2</c:f>
              <c:strCache>
                <c:ptCount val="1"/>
                <c:pt idx="0">
                  <c:v>VC/MC Domestic Debit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8179582582718775E-2"/>
                  <c:y val="-6.778463877325816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Type'!$F$4:$F$35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112732.35181818179</c:v>
                </c:pt>
                <c:pt idx="1">
                  <c:v>0.52178322407025679</c:v>
                </c:pt>
                <c:pt idx="2">
                  <c:v>0.25850960098612291</c:v>
                </c:pt>
                <c:pt idx="3" formatCode="_-&quot;$&quot;* #,##0_-;\-&quot;$&quot;* #,##0_-;_-&quot;$&quot;* &quot;-&quot;??_-;_-@_-">
                  <c:v>4762.905454545451</c:v>
                </c:pt>
                <c:pt idx="4">
                  <c:v>0.55782533980396432</c:v>
                </c:pt>
                <c:pt idx="5">
                  <c:v>0.24161304593386074</c:v>
                </c:pt>
                <c:pt idx="6" formatCode="_-&quot;$&quot;* #,##0_-;\-&quot;$&quot;* #,##0_-;_-&quot;$&quot;* &quot;-&quot;??_-;_-@_-">
                  <c:v>89629.400000000023</c:v>
                </c:pt>
                <c:pt idx="7">
                  <c:v>0.59930567535508583</c:v>
                </c:pt>
                <c:pt idx="8">
                  <c:v>0.26542065694880418</c:v>
                </c:pt>
                <c:pt idx="9" formatCode="_-&quot;$&quot;* #,##0_-;\-&quot;$&quot;* #,##0_-;_-&quot;$&quot;* &quot;-&quot;??_-;_-@_-">
                  <c:v>15526.309090909093</c:v>
                </c:pt>
                <c:pt idx="10">
                  <c:v>0.54368949964728031</c:v>
                </c:pt>
                <c:pt idx="11">
                  <c:v>0.29963849564841066</c:v>
                </c:pt>
                <c:pt idx="12" formatCode="_-&quot;$&quot;* #,##0_-;\-&quot;$&quot;* #,##0_-;_-&quot;$&quot;* &quot;-&quot;??_-;_-@_-">
                  <c:v>543.27272727272737</c:v>
                </c:pt>
                <c:pt idx="13">
                  <c:v>0.49756048823539212</c:v>
                </c:pt>
                <c:pt idx="14">
                  <c:v>0.20888283336840358</c:v>
                </c:pt>
                <c:pt idx="15" formatCode="_-&quot;$&quot;* #,##0_-;\-&quot;$&quot;* #,##0_-;_-&quot;$&quot;* &quot;-&quot;??_-;_-@_-">
                  <c:v>10849.454545454555</c:v>
                </c:pt>
                <c:pt idx="16">
                  <c:v>0.55779953728587806</c:v>
                </c:pt>
                <c:pt idx="17">
                  <c:v>0.21804545772034031</c:v>
                </c:pt>
                <c:pt idx="18" formatCode="_-&quot;$&quot;* #,##0_-;\-&quot;$&quot;* #,##0_-;_-&quot;$&quot;* &quot;-&quot;??_-;_-@_-">
                  <c:v>3487.9545454545455</c:v>
                </c:pt>
                <c:pt idx="19">
                  <c:v>0.54143511527942811</c:v>
                </c:pt>
                <c:pt idx="20">
                  <c:v>0.22145509227810184</c:v>
                </c:pt>
                <c:pt idx="21" formatCode="_-&quot;$&quot;* #,##0_-;\-&quot;$&quot;* #,##0_-;_-&quot;$&quot;* &quot;-&quot;??_-;_-@_-">
                  <c:v>13433.036363636351</c:v>
                </c:pt>
                <c:pt idx="22">
                  <c:v>0.40121567507274153</c:v>
                </c:pt>
                <c:pt idx="23">
                  <c:v>0.26157779507702994</c:v>
                </c:pt>
                <c:pt idx="24" formatCode="_-&quot;$&quot;* #,##0_-;\-&quot;$&quot;* #,##0_-;_-&quot;$&quot;* &quot;-&quot;??_-;_-@_-">
                  <c:v>740.85818181818172</c:v>
                </c:pt>
                <c:pt idx="25">
                  <c:v>0.57987448234641159</c:v>
                </c:pt>
                <c:pt idx="26">
                  <c:v>0.21004729095121108</c:v>
                </c:pt>
                <c:pt idx="27" formatCode="_-&quot;$&quot;* #,##0_-;\-&quot;$&quot;* #,##0_-;_-&quot;$&quot;* &quot;-&quot;??_-;_-@_-">
                  <c:v>1199.7545454545457</c:v>
                </c:pt>
                <c:pt idx="28">
                  <c:v>0.28656080566116809</c:v>
                </c:pt>
                <c:pt idx="29">
                  <c:v>0.65657686306974716</c:v>
                </c:pt>
                <c:pt idx="30" formatCode="_-&quot;$&quot;* #,##0_-;\-&quot;$&quot;* #,##0_-;_-&quot;$&quot;* &quot;-&quot;??_-;_-@_-">
                  <c:v>252905.2972727273</c:v>
                </c:pt>
                <c:pt idx="31">
                  <c:v>0.53966633648627116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8-4F2C-B7E1-333D0D60C107}"/>
            </c:ext>
          </c:extLst>
        </c:ser>
        <c:ser>
          <c:idx val="4"/>
          <c:order val="4"/>
          <c:tx>
            <c:strRef>
              <c:f>'GP by Card Type'!$G$2</c:f>
              <c:strCache>
                <c:ptCount val="1"/>
                <c:pt idx="0">
                  <c:v>VC/MC Premium Credit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3799620529744341E-3"/>
                  <c:y val="0.27396291504191839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Type'!$G$4:$G$35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84411.636363636499</c:v>
                </c:pt>
                <c:pt idx="1">
                  <c:v>0.33266765980284924</c:v>
                </c:pt>
                <c:pt idx="2">
                  <c:v>0.1935666034018638</c:v>
                </c:pt>
                <c:pt idx="3" formatCode="_-&quot;$&quot;* #,##0_-;\-&quot;$&quot;* #,##0_-;_-&quot;$&quot;* &quot;-&quot;??_-;_-@_-">
                  <c:v>1488.0300000000016</c:v>
                </c:pt>
                <c:pt idx="4">
                  <c:v>0.29158763129017107</c:v>
                </c:pt>
                <c:pt idx="5">
                  <c:v>7.5484903946151233E-2</c:v>
                </c:pt>
                <c:pt idx="6" formatCode="_-&quot;$&quot;* #,##0_-;\-&quot;$&quot;* #,##0_-;_-&quot;$&quot;* &quot;-&quot;??_-;_-@_-">
                  <c:v>65245.400000000052</c:v>
                </c:pt>
                <c:pt idx="7">
                  <c:v>0.31746125969723998</c:v>
                </c:pt>
                <c:pt idx="8">
                  <c:v>0.19321201448283171</c:v>
                </c:pt>
                <c:pt idx="9" formatCode="_-&quot;$&quot;* #,##0_-;\-&quot;$&quot;* #,##0_-;_-&quot;$&quot;* &quot;-&quot;??_-;_-@_-">
                  <c:v>9882.4909090909059</c:v>
                </c:pt>
                <c:pt idx="10">
                  <c:v>0.36733117432546764</c:v>
                </c:pt>
                <c:pt idx="11">
                  <c:v>0.19071980931984084</c:v>
                </c:pt>
                <c:pt idx="12" formatCode="_-&quot;$&quot;* #,##0_-;\-&quot;$&quot;* #,##0_-;_-&quot;$&quot;* &quot;-&quot;??_-;_-@_-">
                  <c:v>186.77636363636316</c:v>
                </c:pt>
                <c:pt idx="13">
                  <c:v>0.10937072467008402</c:v>
                </c:pt>
                <c:pt idx="14">
                  <c:v>7.1813610520200577E-2</c:v>
                </c:pt>
                <c:pt idx="15" formatCode="_-&quot;$&quot;* #,##0_-;\-&quot;$&quot;* #,##0_-;_-&quot;$&quot;* &quot;-&quot;??_-;_-@_-">
                  <c:v>6449.8909090909037</c:v>
                </c:pt>
                <c:pt idx="16">
                  <c:v>0.31849911878175485</c:v>
                </c:pt>
                <c:pt idx="17">
                  <c:v>0.12962581755856059</c:v>
                </c:pt>
                <c:pt idx="18" formatCode="_-&quot;$&quot;* #,##0_-;\-&quot;$&quot;* #,##0_-;_-&quot;$&quot;* &quot;-&quot;??_-;_-@_-">
                  <c:v>3429.4181818181814</c:v>
                </c:pt>
                <c:pt idx="19">
                  <c:v>0.39661959273620373</c:v>
                </c:pt>
                <c:pt idx="20">
                  <c:v>0.21773853701862778</c:v>
                </c:pt>
                <c:pt idx="21" formatCode="_-&quot;$&quot;* #,##0_-;\-&quot;$&quot;* #,##0_-;_-&quot;$&quot;* &quot;-&quot;??_-;_-@_-">
                  <c:v>6021.6999999999935</c:v>
                </c:pt>
                <c:pt idx="22">
                  <c:v>0.21963620712923126</c:v>
                </c:pt>
                <c:pt idx="23">
                  <c:v>0.11725889560451952</c:v>
                </c:pt>
                <c:pt idx="24" formatCode="_-&quot;$&quot;* #,##0_-;\-&quot;$&quot;* #,##0_-;_-&quot;$&quot;* &quot;-&quot;??_-;_-@_-">
                  <c:v>363.24999999999943</c:v>
                </c:pt>
                <c:pt idx="25">
                  <c:v>0.31452939648454381</c:v>
                </c:pt>
                <c:pt idx="26">
                  <c:v>0.1029882375743978</c:v>
                </c:pt>
                <c:pt idx="27" formatCode="_-&quot;$&quot;* #,##0_-;\-&quot;$&quot;* #,##0_-;_-&quot;$&quot;* &quot;-&quot;??_-;_-@_-">
                  <c:v>-32.85727272727263</c:v>
                </c:pt>
                <c:pt idx="28">
                  <c:v>-2.5955662159153667E-2</c:v>
                </c:pt>
                <c:pt idx="29">
                  <c:v>-1.7981448903889276E-2</c:v>
                </c:pt>
                <c:pt idx="30" formatCode="_-&quot;$&quot;* #,##0_-;\-&quot;$&quot;* #,##0_-;_-&quot;$&quot;* &quot;-&quot;??_-;_-@_-">
                  <c:v>177445.73545454562</c:v>
                </c:pt>
                <c:pt idx="31">
                  <c:v>0.32162661277307963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8-4F2C-B7E1-333D0D60C107}"/>
            </c:ext>
          </c:extLst>
        </c:ser>
        <c:ser>
          <c:idx val="5"/>
          <c:order val="5"/>
          <c:tx>
            <c:strRef>
              <c:f>'GP by Card Type'!$H$2</c:f>
              <c:strCache>
                <c:ptCount val="1"/>
                <c:pt idx="0">
                  <c:v>VC/MC Premium Debit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0.12044895645679686"/>
                  <c:y val="-2.5419239539971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Type'!$H$4:$H$35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31269.663636363621</c:v>
                </c:pt>
                <c:pt idx="1">
                  <c:v>0.60006266384493268</c:v>
                </c:pt>
                <c:pt idx="2">
                  <c:v>7.1705310314504639E-2</c:v>
                </c:pt>
                <c:pt idx="3" formatCode="_-&quot;$&quot;* #,##0_-;\-&quot;$&quot;* #,##0_-;_-&quot;$&quot;* &quot;-&quot;??_-;_-@_-">
                  <c:v>1184.5527272727272</c:v>
                </c:pt>
                <c:pt idx="4">
                  <c:v>0.62470718528710945</c:v>
                </c:pt>
                <c:pt idx="5">
                  <c:v>6.0090084768004141E-2</c:v>
                </c:pt>
                <c:pt idx="6" formatCode="_-&quot;$&quot;* #,##0_-;\-&quot;$&quot;* #,##0_-;_-&quot;$&quot;* &quot;-&quot;??_-;_-@_-">
                  <c:v>31234.909090909074</c:v>
                </c:pt>
                <c:pt idx="7">
                  <c:v>0.6616737118812166</c:v>
                </c:pt>
                <c:pt idx="8">
                  <c:v>9.249632476224609E-2</c:v>
                </c:pt>
                <c:pt idx="9" formatCode="_-&quot;$&quot;* #,##0_-;\-&quot;$&quot;* #,##0_-;_-&quot;$&quot;* &quot;-&quot;??_-;_-@_-">
                  <c:v>3497.6563636363644</c:v>
                </c:pt>
                <c:pt idx="10">
                  <c:v>0.61597583116396581</c:v>
                </c:pt>
                <c:pt idx="11">
                  <c:v>6.7500426853458098E-2</c:v>
                </c:pt>
                <c:pt idx="12" formatCode="_-&quot;$&quot;* #,##0_-;\-&quot;$&quot;* #,##0_-;_-&quot;$&quot;* &quot;-&quot;??_-;_-@_-">
                  <c:v>171.80000000000007</c:v>
                </c:pt>
                <c:pt idx="13">
                  <c:v>0.52845278375884353</c:v>
                </c:pt>
                <c:pt idx="14">
                  <c:v>6.6055351154553063E-2</c:v>
                </c:pt>
                <c:pt idx="15" formatCode="_-&quot;$&quot;* #,##0_-;\-&quot;$&quot;* #,##0_-;_-&quot;$&quot;* &quot;-&quot;??_-;_-@_-">
                  <c:v>3289.8818181818142</c:v>
                </c:pt>
                <c:pt idx="16">
                  <c:v>0.6248728711859195</c:v>
                </c:pt>
                <c:pt idx="17">
                  <c:v>6.6117958638926652E-2</c:v>
                </c:pt>
                <c:pt idx="18" formatCode="_-&quot;$&quot;* #,##0_-;\-&quot;$&quot;* #,##0_-;_-&quot;$&quot;* &quot;-&quot;??_-;_-@_-">
                  <c:v>1181.4827272727275</c:v>
                </c:pt>
                <c:pt idx="19">
                  <c:v>0.64867707173909794</c:v>
                </c:pt>
                <c:pt idx="20">
                  <c:v>7.5013983979274598E-2</c:v>
                </c:pt>
                <c:pt idx="21" formatCode="_-&quot;$&quot;* #,##0_-;\-&quot;$&quot;* #,##0_-;_-&quot;$&quot;* &quot;-&quot;??_-;_-@_-">
                  <c:v>3798.6745454545458</c:v>
                </c:pt>
                <c:pt idx="22">
                  <c:v>0.4819335276349222</c:v>
                </c:pt>
                <c:pt idx="23">
                  <c:v>7.3970536885099011E-2</c:v>
                </c:pt>
                <c:pt idx="24" formatCode="_-&quot;$&quot;* #,##0_-;\-&quot;$&quot;* #,##0_-;_-&quot;$&quot;* &quot;-&quot;??_-;_-@_-">
                  <c:v>188.94727272727266</c:v>
                </c:pt>
                <c:pt idx="25">
                  <c:v>0.57027382977555829</c:v>
                </c:pt>
                <c:pt idx="26">
                  <c:v>5.3570121438873838E-2</c:v>
                </c:pt>
                <c:pt idx="27" formatCode="_-&quot;$&quot;* #,##0_-;\-&quot;$&quot;* #,##0_-;_-&quot;$&quot;* &quot;-&quot;??_-;_-@_-">
                  <c:v>89.61272727272717</c:v>
                </c:pt>
                <c:pt idx="28">
                  <c:v>0.12576743473933999</c:v>
                </c:pt>
                <c:pt idx="29">
                  <c:v>4.9041400665467312E-2</c:v>
                </c:pt>
                <c:pt idx="30" formatCode="_-&quot;$&quot;* #,##0_-;\-&quot;$&quot;* #,##0_-;_-&quot;$&quot;* &quot;-&quot;??_-;_-@_-">
                  <c:v>75907.180909090879</c:v>
                </c:pt>
                <c:pt idx="31">
                  <c:v>0.61598799066153453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8-4F2C-B7E1-333D0D60C107}"/>
            </c:ext>
          </c:extLst>
        </c:ser>
        <c:ser>
          <c:idx val="6"/>
          <c:order val="6"/>
          <c:tx>
            <c:strRef>
              <c:f>'GP by Card Type'!$I$2</c:f>
              <c:strCache>
                <c:ptCount val="1"/>
                <c:pt idx="0">
                  <c:v>VC/MC Int. Credit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2263893748328415"/>
                  <c:y val="-2.824359948885653E-3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Type'!$I$4:$I$35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-27962.221818181828</c:v>
                </c:pt>
                <c:pt idx="1">
                  <c:v>-1.0242827909454955</c:v>
                </c:pt>
                <c:pt idx="2">
                  <c:v>-6.4120926143384258E-2</c:v>
                </c:pt>
                <c:pt idx="3" formatCode="_-&quot;$&quot;* #,##0_-;\-&quot;$&quot;* #,##0_-;_-&quot;$&quot;* &quot;-&quot;??_-;_-@_-">
                  <c:v>-179.44545454545451</c:v>
                </c:pt>
                <c:pt idx="4">
                  <c:v>-1.2876899993476409</c:v>
                </c:pt>
                <c:pt idx="5">
                  <c:v>-9.1029232609134685E-3</c:v>
                </c:pt>
                <c:pt idx="6" formatCode="_-&quot;$&quot;* #,##0_-;\-&quot;$&quot;* #,##0_-;_-&quot;$&quot;* &quot;-&quot;??_-;_-@_-">
                  <c:v>-18840.245454545471</c:v>
                </c:pt>
                <c:pt idx="7">
                  <c:v>-1.0278503952589773</c:v>
                </c:pt>
                <c:pt idx="8">
                  <c:v>-5.5791853182350644E-2</c:v>
                </c:pt>
                <c:pt idx="9" formatCode="_-&quot;$&quot;* #,##0_-;\-&quot;$&quot;* #,##0_-;_-&quot;$&quot;* &quot;-&quot;??_-;_-@_-">
                  <c:v>-2478.3363636363683</c:v>
                </c:pt>
                <c:pt idx="10">
                  <c:v>-1.1312659761643971</c:v>
                </c:pt>
                <c:pt idx="11">
                  <c:v>-4.7828815938332776E-2</c:v>
                </c:pt>
                <c:pt idx="12" formatCode="_-&quot;$&quot;* #,##0_-;\-&quot;$&quot;* #,##0_-;_-&quot;$&quot;* &quot;-&quot;??_-;_-@_-">
                  <c:v>-66.892727272727271</c:v>
                </c:pt>
                <c:pt idx="13">
                  <c:v>-1.5766445253910437</c:v>
                </c:pt>
                <c:pt idx="14">
                  <c:v>-2.5719572698985723E-2</c:v>
                </c:pt>
                <c:pt idx="15" formatCode="_-&quot;$&quot;* #,##0_-;\-&quot;$&quot;* #,##0_-;_-&quot;$&quot;* &quot;-&quot;??_-;_-@_-">
                  <c:v>-1089.3818181818181</c:v>
                </c:pt>
                <c:pt idx="16">
                  <c:v>-1.0418543184545026</c:v>
                </c:pt>
                <c:pt idx="17">
                  <c:v>-2.1893704995260586E-2</c:v>
                </c:pt>
                <c:pt idx="18" formatCode="_-&quot;$&quot;* #,##0_-;\-&quot;$&quot;* #,##0_-;_-&quot;$&quot;* &quot;-&quot;??_-;_-@_-">
                  <c:v>-583.125454545455</c:v>
                </c:pt>
                <c:pt idx="19">
                  <c:v>-1.0310684605616385</c:v>
                </c:pt>
                <c:pt idx="20">
                  <c:v>-3.7023447313659009E-2</c:v>
                </c:pt>
                <c:pt idx="21" formatCode="_-&quot;$&quot;* #,##0_-;\-&quot;$&quot;* #,##0_-;_-&quot;$&quot;* &quot;-&quot;??_-;_-@_-">
                  <c:v>-2049.5163636363641</c:v>
                </c:pt>
                <c:pt idx="22">
                  <c:v>-1.2829012359729597</c:v>
                </c:pt>
                <c:pt idx="23">
                  <c:v>-3.9909664268128787E-2</c:v>
                </c:pt>
                <c:pt idx="24" formatCode="_-&quot;$&quot;* #,##0_-;\-&quot;$&quot;* #,##0_-;_-&quot;$&quot;* &quot;-&quot;??_-;_-@_-">
                  <c:v>-13.164545454545456</c:v>
                </c:pt>
                <c:pt idx="25">
                  <c:v>-0.83608545034642046</c:v>
                </c:pt>
                <c:pt idx="26">
                  <c:v>-3.7323973429640419E-3</c:v>
                </c:pt>
                <c:pt idx="27" formatCode="_-&quot;$&quot;* #,##0_-;\-&quot;$&quot;* #,##0_-;_-&quot;$&quot;* &quot;-&quot;??_-;_-@_-">
                  <c:v>-61.268181818182484</c:v>
                </c:pt>
                <c:pt idx="28">
                  <c:v>-4.1408357244235736E-2</c:v>
                </c:pt>
                <c:pt idx="29">
                  <c:v>-3.3529583844109083E-2</c:v>
                </c:pt>
                <c:pt idx="30" formatCode="_-&quot;$&quot;* #,##0_-;\-&quot;$&quot;* #,##0_-;_-&quot;$&quot;* &quot;-&quot;??_-;_-@_-">
                  <c:v>-53323.598181818212</c:v>
                </c:pt>
                <c:pt idx="31">
                  <c:v>-1.0117233806653352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8-4F2C-B7E1-333D0D60C107}"/>
            </c:ext>
          </c:extLst>
        </c:ser>
        <c:ser>
          <c:idx val="7"/>
          <c:order val="7"/>
          <c:tx>
            <c:strRef>
              <c:f>'GP by Card Type'!$J$2</c:f>
              <c:strCache>
                <c:ptCount val="1"/>
                <c:pt idx="0">
                  <c:v>VC/MC Int. Debit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3.7229677450282689E-2"/>
                  <c:y val="-1.41217997444286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Type'!$J$4:$J$35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-29308.448181818185</c:v>
                </c:pt>
                <c:pt idx="1">
                  <c:v>-1.1430537222212178</c:v>
                </c:pt>
                <c:pt idx="2">
                  <c:v>-6.7207994180977573E-2</c:v>
                </c:pt>
                <c:pt idx="3" formatCode="_-&quot;$&quot;* #,##0_-;\-&quot;$&quot;* #,##0_-;_-&quot;$&quot;* &quot;-&quot;??_-;_-@_-">
                  <c:v>-256.52363636363634</c:v>
                </c:pt>
                <c:pt idx="4">
                  <c:v>-1.1298790742372065</c:v>
                </c:pt>
                <c:pt idx="5">
                  <c:v>-1.3012951385944167E-2</c:v>
                </c:pt>
                <c:pt idx="6" formatCode="_-&quot;$&quot;* #,##0_-;\-&quot;$&quot;* #,##0_-;_-&quot;$&quot;* &quot;-&quot;??_-;_-@_-">
                  <c:v>-15427.145454545462</c:v>
                </c:pt>
                <c:pt idx="7">
                  <c:v>-1.0088472532019432</c:v>
                </c:pt>
                <c:pt idx="8">
                  <c:v>-4.5684597703322942E-2</c:v>
                </c:pt>
                <c:pt idx="9" formatCode="_-&quot;$&quot;* #,##0_-;\-&quot;$&quot;* #,##0_-;_-&quot;$&quot;* &quot;-&quot;??_-;_-@_-">
                  <c:v>-2322.7363636363648</c:v>
                </c:pt>
                <c:pt idx="10">
                  <c:v>-1.0067060941926496</c:v>
                </c:pt>
                <c:pt idx="11">
                  <c:v>-4.4825929054534183E-2</c:v>
                </c:pt>
                <c:pt idx="12" formatCode="_-&quot;$&quot;* #,##0_-;\-&quot;$&quot;* #,##0_-;_-&quot;$&quot;* &quot;-&quot;??_-;_-@_-">
                  <c:v>-56.941818181818192</c:v>
                </c:pt>
                <c:pt idx="13">
                  <c:v>-1.3114740368509219</c:v>
                </c:pt>
                <c:pt idx="14">
                  <c:v>-2.189354944923582E-2</c:v>
                </c:pt>
                <c:pt idx="15" formatCode="_-&quot;$&quot;* #,##0_-;\-&quot;$&quot;* #,##0_-;_-&quot;$&quot;* &quot;-&quot;??_-;_-@_-">
                  <c:v>-1161.8000000000004</c:v>
                </c:pt>
                <c:pt idx="16">
                  <c:v>-0.99965582515918161</c:v>
                </c:pt>
                <c:pt idx="17">
                  <c:v>-2.3349119692438695E-2</c:v>
                </c:pt>
                <c:pt idx="18" formatCode="_-&quot;$&quot;* #,##0_-;\-&quot;$&quot;* #,##0_-;_-&quot;$&quot;* &quot;-&quot;??_-;_-@_-">
                  <c:v>-624.8154545454546</c:v>
                </c:pt>
                <c:pt idx="19">
                  <c:v>-1.0668669088199685</c:v>
                </c:pt>
                <c:pt idx="20">
                  <c:v>-3.967040348145242E-2</c:v>
                </c:pt>
                <c:pt idx="21" formatCode="_-&quot;$&quot;* #,##0_-;\-&quot;$&quot;* #,##0_-;_-&quot;$&quot;* &quot;-&quot;??_-;_-@_-">
                  <c:v>-2135.619999999999</c:v>
                </c:pt>
                <c:pt idx="22">
                  <c:v>-1.256173166284335</c:v>
                </c:pt>
                <c:pt idx="23">
                  <c:v>-4.1586336521401618E-2</c:v>
                </c:pt>
                <c:pt idx="24" formatCode="_-&quot;$&quot;* #,##0_-;\-&quot;$&quot;* #,##0_-;_-&quot;$&quot;* &quot;-&quot;??_-;_-@_-">
                  <c:v>-9.0554545454545483</c:v>
                </c:pt>
                <c:pt idx="25">
                  <c:v>-1.1384000000000005</c:v>
                </c:pt>
                <c:pt idx="26">
                  <c:v>-2.5673924406646523E-3</c:v>
                </c:pt>
                <c:pt idx="27" formatCode="_-&quot;$&quot;* #,##0_-;\-&quot;$&quot;* #,##0_-;_-&quot;$&quot;* &quot;-&quot;??_-;_-@_-">
                  <c:v>420.56181818181744</c:v>
                </c:pt>
                <c:pt idx="28">
                  <c:v>0.23794896589325085</c:v>
                </c:pt>
                <c:pt idx="29">
                  <c:v>0.23015637686466148</c:v>
                </c:pt>
                <c:pt idx="30" formatCode="_-&quot;$&quot;* #,##0_-;\-&quot;$&quot;* #,##0_-;_-&quot;$&quot;* &quot;-&quot;??_-;_-@_-">
                  <c:v>-50882.524545454551</c:v>
                </c:pt>
                <c:pt idx="31">
                  <c:v>-1.0440994277772859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8-4F2C-B7E1-333D0D60C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69216"/>
        <c:axId val="191470656"/>
      </c:barChart>
      <c:catAx>
        <c:axId val="19146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1470656"/>
        <c:crossesAt val="0"/>
        <c:auto val="1"/>
        <c:lblAlgn val="ctr"/>
        <c:lblOffset val="100"/>
        <c:noMultiLvlLbl val="0"/>
      </c:catAx>
      <c:valAx>
        <c:axId val="191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2"/>
          <c:order val="32"/>
          <c:tx>
            <c:strRef>
              <c:f>'COA by Card'!$A$36</c:f>
              <c:strCache>
                <c:ptCount val="1"/>
                <c:pt idx="0">
                  <c:v>COGS%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B5-4755-B35A-7D4145F522D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B5-4755-B35A-7D4145F522D9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BB5-4755-B35A-7D4145F522D9}"/>
              </c:ext>
            </c:extLst>
          </c:dPt>
          <c:cat>
            <c:multiLvlStrRef>
              <c:f>'COA by Card'!$B$2:$J$3</c:f>
              <c:multiLvlStrCache>
                <c:ptCount val="8"/>
                <c:lvl>
                  <c:pt idx="0">
                    <c:v>COA Ex GST)</c:v>
                  </c:pt>
                  <c:pt idx="1">
                    <c:v>COA Ex GST)</c:v>
                  </c:pt>
                  <c:pt idx="2">
                    <c:v>COA Ex GST)</c:v>
                  </c:pt>
                  <c:pt idx="3">
                    <c:v>COA Ex GST)</c:v>
                  </c:pt>
                  <c:pt idx="4">
                    <c:v>COA Ex GST)</c:v>
                  </c:pt>
                  <c:pt idx="5">
                    <c:v>COA Ex GST)</c:v>
                  </c:pt>
                  <c:pt idx="6">
                    <c:v>COA Ex GST)</c:v>
                  </c:pt>
                  <c:pt idx="7">
                    <c:v>COA Ex GST)</c:v>
                  </c:pt>
                </c:lvl>
                <c:lvl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:lvl>
              </c:multiLvlStrCache>
            </c:multiLvlStrRef>
          </c:cat>
          <c:val>
            <c:numRef>
              <c:f>'COA by Card'!$B$36:$J$36</c:f>
              <c:numCache>
                <c:formatCode>0.00%</c:formatCode>
                <c:ptCount val="8"/>
                <c:pt idx="0">
                  <c:v>1.0953842302187118</c:v>
                </c:pt>
                <c:pt idx="1">
                  <c:v>0.20043463052305024</c:v>
                </c:pt>
                <c:pt idx="2">
                  <c:v>0.41988491926092864</c:v>
                </c:pt>
                <c:pt idx="3">
                  <c:v>0.46033366351372912</c:v>
                </c:pt>
                <c:pt idx="4">
                  <c:v>0.67837338722692042</c:v>
                </c:pt>
                <c:pt idx="5">
                  <c:v>0.38401200933846552</c:v>
                </c:pt>
                <c:pt idx="6">
                  <c:v>2.0117233806653352</c:v>
                </c:pt>
                <c:pt idx="7">
                  <c:v>2.0440994277772861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B5-4755-B35A-7D4145F5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74404480"/>
        <c:axId val="70646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'COA by Card'!$A$4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'COA by Card'!$B$4:$J$4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B5-4755-B35A-7D4145F522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0.10938277014334798</c:v>
                      </c:pt>
                      <c:pt idx="1">
                        <c:v>0.11944346668139573</c:v>
                      </c:pt>
                      <c:pt idx="2">
                        <c:v>2.9637042457636053E-2</c:v>
                      </c:pt>
                      <c:pt idx="3">
                        <c:v>0.18978237807970333</c:v>
                      </c:pt>
                      <c:pt idx="4">
                        <c:v>0.31103304354585681</c:v>
                      </c:pt>
                      <c:pt idx="5">
                        <c:v>3.8281696453901858E-2</c:v>
                      </c:pt>
                      <c:pt idx="6">
                        <c:v>0.10150690945036973</c:v>
                      </c:pt>
                      <c:pt idx="7">
                        <c:v>0.10093269318778855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B5-4755-B35A-7D4145F522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Card'!$A$6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1.0851139802309802</c:v>
                      </c:pt>
                      <c:pt idx="1">
                        <c:v>0.20730997179121041</c:v>
                      </c:pt>
                      <c:pt idx="2">
                        <c:v>0.43481730701857979</c:v>
                      </c:pt>
                      <c:pt idx="3">
                        <c:v>0.47821677592974327</c:v>
                      </c:pt>
                      <c:pt idx="4">
                        <c:v>0.66733234019715082</c:v>
                      </c:pt>
                      <c:pt idx="5">
                        <c:v>0.39993733615506732</c:v>
                      </c:pt>
                      <c:pt idx="6">
                        <c:v>2.0242827909454957</c:v>
                      </c:pt>
                      <c:pt idx="7">
                        <c:v>2.143053722221218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B5-4755-B35A-7D4145F522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Card'!$A$7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5-4755-B35A-7D4145F522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Card'!$A$8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3.9324851364249153E-2</c:v>
                      </c:pt>
                      <c:pt idx="1">
                        <c:v>0.21146155939508918</c:v>
                      </c:pt>
                      <c:pt idx="2">
                        <c:v>5.086750262921174E-2</c:v>
                      </c:pt>
                      <c:pt idx="3">
                        <c:v>0.29609041508214673</c:v>
                      </c:pt>
                      <c:pt idx="4">
                        <c:v>0.28352117525176518</c:v>
                      </c:pt>
                      <c:pt idx="5">
                        <c:v>5.580908746550263E-2</c:v>
                      </c:pt>
                      <c:pt idx="6">
                        <c:v>2.5002019454206232E-2</c:v>
                      </c:pt>
                      <c:pt idx="7">
                        <c:v>3.7923389357829247E-2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5-4755-B35A-7D4145F522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Card'!$A$9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1.1718143190992136</c:v>
                      </c:pt>
                      <c:pt idx="1">
                        <c:v>0.18395576587919354</c:v>
                      </c:pt>
                      <c:pt idx="2">
                        <c:v>0.43992810413185435</c:v>
                      </c:pt>
                      <c:pt idx="3">
                        <c:v>0.44217466019603557</c:v>
                      </c:pt>
                      <c:pt idx="4">
                        <c:v>0.70841236870982893</c:v>
                      </c:pt>
                      <c:pt idx="5">
                        <c:v>0.37529281471289061</c:v>
                      </c:pt>
                      <c:pt idx="6">
                        <c:v>2.2876899993476409</c:v>
                      </c:pt>
                      <c:pt idx="7">
                        <c:v>2.1298790742372065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5-4755-B35A-7D4145F522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Card'!$A$10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5-4755-B35A-7D4145F522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Card'!$A$11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0.15074471360030056</c:v>
                      </c:pt>
                      <c:pt idx="1">
                        <c:v>8.5548091437825061E-2</c:v>
                      </c:pt>
                      <c:pt idx="2">
                        <c:v>2.9292510380808063E-2</c:v>
                      </c:pt>
                      <c:pt idx="3">
                        <c:v>0.15493230159579027</c:v>
                      </c:pt>
                      <c:pt idx="4">
                        <c:v>0.36267126908107788</c:v>
                      </c:pt>
                      <c:pt idx="5">
                        <c:v>4.1291322444120523E-2</c:v>
                      </c:pt>
                      <c:pt idx="6">
                        <c:v>9.6099083041009323E-2</c:v>
                      </c:pt>
                      <c:pt idx="7">
                        <c:v>7.9420708419068217E-2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5-4755-B35A-7D4145F522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Card'!$A$12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1.1028337689684402</c:v>
                      </c:pt>
                      <c:pt idx="1">
                        <c:v>0.1607797632328386</c:v>
                      </c:pt>
                      <c:pt idx="2">
                        <c:v>0.37895165728637425</c:v>
                      </c:pt>
                      <c:pt idx="3">
                        <c:v>0.40069432464491411</c:v>
                      </c:pt>
                      <c:pt idx="4">
                        <c:v>0.68253874030275996</c:v>
                      </c:pt>
                      <c:pt idx="5">
                        <c:v>0.3383262881187834</c:v>
                      </c:pt>
                      <c:pt idx="6">
                        <c:v>2.027850395258977</c:v>
                      </c:pt>
                      <c:pt idx="7">
                        <c:v>2.0088472532019432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5-4755-B35A-7D4145F522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BB5-4755-B35A-7D4145F522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Card'!$A$14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6.488686010436151E-2</c:v>
                      </c:pt>
                      <c:pt idx="1">
                        <c:v>0.14494618414788188</c:v>
                      </c:pt>
                      <c:pt idx="2">
                        <c:v>3.1412585276485633E-2</c:v>
                      </c:pt>
                      <c:pt idx="3">
                        <c:v>0.23806713818490205</c:v>
                      </c:pt>
                      <c:pt idx="4">
                        <c:v>0.3109616114684382</c:v>
                      </c:pt>
                      <c:pt idx="5">
                        <c:v>3.983765176757223E-2</c:v>
                      </c:pt>
                      <c:pt idx="6">
                        <c:v>8.5301149174977081E-2</c:v>
                      </c:pt>
                      <c:pt idx="7">
                        <c:v>8.4586819875381511E-2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BB5-4755-B35A-7D4145F522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Card'!$A$15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1.0611706707590347</c:v>
                      </c:pt>
                      <c:pt idx="1">
                        <c:v>0.2370073965204092</c:v>
                      </c:pt>
                      <c:pt idx="2">
                        <c:v>0.41996576080077946</c:v>
                      </c:pt>
                      <c:pt idx="3">
                        <c:v>0.45631050035271975</c:v>
                      </c:pt>
                      <c:pt idx="4">
                        <c:v>0.63266882567453231</c:v>
                      </c:pt>
                      <c:pt idx="5">
                        <c:v>0.38402416883603419</c:v>
                      </c:pt>
                      <c:pt idx="6">
                        <c:v>2.1312659761643968</c:v>
                      </c:pt>
                      <c:pt idx="7">
                        <c:v>2.0067060941926496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BB5-4755-B35A-7D4145F522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Card'!$A$16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BB5-4755-B35A-7D4145F522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Card'!$A$17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5.7363702719395102E-2</c:v>
                      </c:pt>
                      <c:pt idx="1">
                        <c:v>0.13393286044930219</c:v>
                      </c:pt>
                      <c:pt idx="2">
                        <c:v>4.9924201306357725E-2</c:v>
                      </c:pt>
                      <c:pt idx="3">
                        <c:v>0.17112412893888065</c:v>
                      </c:pt>
                      <c:pt idx="4">
                        <c:v>0.47443119786890248</c:v>
                      </c:pt>
                      <c:pt idx="5">
                        <c:v>4.7818682038516962E-2</c:v>
                      </c:pt>
                      <c:pt idx="6">
                        <c:v>3.4100054275607784E-2</c:v>
                      </c:pt>
                      <c:pt idx="7">
                        <c:v>3.1305172403036929E-2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BB5-4755-B35A-7D4145F522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Card'!$A$18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1.3722949596363887</c:v>
                      </c:pt>
                      <c:pt idx="1">
                        <c:v>0.19883010654913005</c:v>
                      </c:pt>
                      <c:pt idx="2">
                        <c:v>0.52880485387318676</c:v>
                      </c:pt>
                      <c:pt idx="3">
                        <c:v>0.50243951176460788</c:v>
                      </c:pt>
                      <c:pt idx="4">
                        <c:v>0.89062927532991598</c:v>
                      </c:pt>
                      <c:pt idx="5">
                        <c:v>0.47154721624115647</c:v>
                      </c:pt>
                      <c:pt idx="6">
                        <c:v>2.5766445253910435</c:v>
                      </c:pt>
                      <c:pt idx="7">
                        <c:v>2.3114740368509219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BB5-4755-B35A-7D4145F522D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Card'!$A$19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BB5-4755-B35A-7D4145F522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Card'!$A$20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6.6475905463360102E-2</c:v>
                      </c:pt>
                      <c:pt idx="1">
                        <c:v>0.1770898180586444</c:v>
                      </c:pt>
                      <c:pt idx="2">
                        <c:v>3.9812330340947132E-2</c:v>
                      </c:pt>
                      <c:pt idx="3">
                        <c:v>0.21374897207396146</c:v>
                      </c:pt>
                      <c:pt idx="4">
                        <c:v>0.34297751000962007</c:v>
                      </c:pt>
                      <c:pt idx="5">
                        <c:v>4.9081992773639567E-2</c:v>
                      </c:pt>
                      <c:pt idx="6">
                        <c:v>5.3058255479352133E-2</c:v>
                      </c:pt>
                      <c:pt idx="7">
                        <c:v>5.7755215800475115E-2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BB5-4755-B35A-7D4145F522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Card'!$A$21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1.1513317551307884</c:v>
                      </c:pt>
                      <c:pt idx="1">
                        <c:v>0.19438803168945804</c:v>
                      </c:pt>
                      <c:pt idx="2">
                        <c:v>0.41706013078392257</c:v>
                      </c:pt>
                      <c:pt idx="3">
                        <c:v>0.44220046271412189</c:v>
                      </c:pt>
                      <c:pt idx="4">
                        <c:v>0.68150088121824515</c:v>
                      </c:pt>
                      <c:pt idx="5">
                        <c:v>0.37512712881408056</c:v>
                      </c:pt>
                      <c:pt idx="6">
                        <c:v>2.0418543184545026</c:v>
                      </c:pt>
                      <c:pt idx="7">
                        <c:v>1.9996558251591816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BB5-4755-B35A-7D4145F522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Card'!$A$22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BB5-4755-B35A-7D4145F522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Card'!$A$23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8.5580595405105292E-2</c:v>
                      </c:pt>
                      <c:pt idx="1">
                        <c:v>0.13850010333894447</c:v>
                      </c:pt>
                      <c:pt idx="2">
                        <c:v>3.3584160100268684E-2</c:v>
                      </c:pt>
                      <c:pt idx="3">
                        <c:v>0.1963174120472608</c:v>
                      </c:pt>
                      <c:pt idx="4">
                        <c:v>0.34671378833924682</c:v>
                      </c:pt>
                      <c:pt idx="5">
                        <c:v>4.2524474051292005E-2</c:v>
                      </c:pt>
                      <c:pt idx="6">
                        <c:v>7.6336577932516692E-2</c:v>
                      </c:pt>
                      <c:pt idx="7">
                        <c:v>8.044288878536536E-2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BB5-4755-B35A-7D4145F522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Card'!$A$24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1.2143972841136079</c:v>
                      </c:pt>
                      <c:pt idx="1">
                        <c:v>0.19952748737123185</c:v>
                      </c:pt>
                      <c:pt idx="2">
                        <c:v>0.41055228135478067</c:v>
                      </c:pt>
                      <c:pt idx="3">
                        <c:v>0.45856488472057189</c:v>
                      </c:pt>
                      <c:pt idx="4">
                        <c:v>0.60338040726379627</c:v>
                      </c:pt>
                      <c:pt idx="5">
                        <c:v>0.35132292826090211</c:v>
                      </c:pt>
                      <c:pt idx="6">
                        <c:v>2.0310684605616385</c:v>
                      </c:pt>
                      <c:pt idx="7">
                        <c:v>2.0668669088199683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BB5-4755-B35A-7D4145F522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Card'!$A$25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BB5-4755-B35A-7D4145F522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Card'!$A$26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4.9641975602054779E-2</c:v>
                      </c:pt>
                      <c:pt idx="1">
                        <c:v>0.19311588175179012</c:v>
                      </c:pt>
                      <c:pt idx="2">
                        <c:v>3.7335307079342551E-2</c:v>
                      </c:pt>
                      <c:pt idx="3">
                        <c:v>0.27226558653869004</c:v>
                      </c:pt>
                      <c:pt idx="4">
                        <c:v>0.29056166881130469</c:v>
                      </c:pt>
                      <c:pt idx="5">
                        <c:v>5.5457011608206888E-2</c:v>
                      </c:pt>
                      <c:pt idx="6">
                        <c:v>4.9530341252083804E-2</c:v>
                      </c:pt>
                      <c:pt idx="7">
                        <c:v>5.2092227356527111E-2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BB5-4755-B35A-7D4145F522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Card'!$A$27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BB5-4755-B35A-7D4145F522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Card'!$A$28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BB5-4755-B35A-7D4145F522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Card'!$A$29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3.7080117503238634E-2</c:v>
                      </c:pt>
                      <c:pt idx="1">
                        <c:v>0.22031401098399839</c:v>
                      </c:pt>
                      <c:pt idx="2">
                        <c:v>5.0764500884923458E-2</c:v>
                      </c:pt>
                      <c:pt idx="3">
                        <c:v>0.2448409874651048</c:v>
                      </c:pt>
                      <c:pt idx="4">
                        <c:v>0.36110807013702623</c:v>
                      </c:pt>
                      <c:pt idx="5">
                        <c:v>6.4946083529476159E-2</c:v>
                      </c:pt>
                      <c:pt idx="6">
                        <c:v>1.3187184118816938E-2</c:v>
                      </c:pt>
                      <c:pt idx="7">
                        <c:v>7.7590453774152935E-3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BB5-4755-B35A-7D4145F522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Card'!$A$30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1.1854567148349466</c:v>
                      </c:pt>
                      <c:pt idx="1">
                        <c:v>0.18668379053595838</c:v>
                      </c:pt>
                      <c:pt idx="2">
                        <c:v>0.40314496476322215</c:v>
                      </c:pt>
                      <c:pt idx="3">
                        <c:v>0.42012551765358835</c:v>
                      </c:pt>
                      <c:pt idx="4">
                        <c:v>0.68547060351545619</c:v>
                      </c:pt>
                      <c:pt idx="5">
                        <c:v>0.42972617022444171</c:v>
                      </c:pt>
                      <c:pt idx="6">
                        <c:v>1.8360854503464206</c:v>
                      </c:pt>
                      <c:pt idx="7">
                        <c:v>2.1384000000000003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BB5-4755-B35A-7D4145F522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BB5-4755-B35A-7D4145F522D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Card'!$A$32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0.21025913284802755</c:v>
                      </c:pt>
                      <c:pt idx="1">
                        <c:v>0</c:v>
                      </c:pt>
                      <c:pt idx="2">
                        <c:v>2.4646909124453099E-2</c:v>
                      </c:pt>
                      <c:pt idx="3">
                        <c:v>0.29312470860869611</c:v>
                      </c:pt>
                      <c:pt idx="4">
                        <c:v>0.12745234832173774</c:v>
                      </c:pt>
                      <c:pt idx="5">
                        <c:v>6.112914498275248E-2</c:v>
                      </c:pt>
                      <c:pt idx="6">
                        <c:v>0.15121257143937891</c:v>
                      </c:pt>
                      <c:pt idx="7">
                        <c:v>0.13217518467495407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BB5-4755-B35A-7D4145F522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Card'!$A$33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0.95816102514899937</c:v>
                      </c:pt>
                      <c:pt idx="1">
                        <c:v>0</c:v>
                      </c:pt>
                      <c:pt idx="2">
                        <c:v>0.68048720411832797</c:v>
                      </c:pt>
                      <c:pt idx="3">
                        <c:v>0.71343919433883196</c:v>
                      </c:pt>
                      <c:pt idx="4">
                        <c:v>1.0259556621591537</c:v>
                      </c:pt>
                      <c:pt idx="5">
                        <c:v>0.87423256526065996</c:v>
                      </c:pt>
                      <c:pt idx="6">
                        <c:v>1.0414083572442356</c:v>
                      </c:pt>
                      <c:pt idx="7">
                        <c:v>0.76205103410674913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BB5-4755-B35A-7D4145F522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131934.40999999997</c:v>
                      </c:pt>
                      <c:pt idx="1">
                        <c:v>133087.70000000001</c:v>
                      </c:pt>
                      <c:pt idx="2">
                        <c:v>35211.755454545455</c:v>
                      </c:pt>
                      <c:pt idx="3">
                        <c:v>215727.4118181818</c:v>
                      </c:pt>
                      <c:pt idx="4">
                        <c:v>374267.7372727273</c:v>
                      </c:pt>
                      <c:pt idx="5">
                        <c:v>47321.164545454551</c:v>
                      </c:pt>
                      <c:pt idx="6">
                        <c:v>106029.30727272728</c:v>
                      </c:pt>
                      <c:pt idx="7">
                        <c:v>99615.933636363625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BB5-4755-B35A-7D4145F522D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0.11540844871474379</c:v>
                      </c:pt>
                      <c:pt idx="1">
                        <c:v>0.11641727885858746</c:v>
                      </c:pt>
                      <c:pt idx="2">
                        <c:v>3.080116910768017E-2</c:v>
                      </c:pt>
                      <c:pt idx="3">
                        <c:v>0.18870562988975395</c:v>
                      </c:pt>
                      <c:pt idx="4">
                        <c:v>0.32738736590873269</c:v>
                      </c:pt>
                      <c:pt idx="5">
                        <c:v>4.1393766732773084E-2</c:v>
                      </c:pt>
                      <c:pt idx="6">
                        <c:v>9.2748191094683782E-2</c:v>
                      </c:pt>
                      <c:pt idx="7">
                        <c:v>8.7138149693045161E-2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BB5-4755-B35A-7D4145F522D9}"/>
                  </c:ext>
                </c:extLst>
              </c15:ser>
            </c15:filteredBarSeries>
          </c:ext>
        </c:extLst>
      </c:barChart>
      <c:catAx>
        <c:axId val="19744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61088"/>
        <c:crosses val="autoZero"/>
        <c:auto val="1"/>
        <c:lblAlgn val="ctr"/>
        <c:lblOffset val="100"/>
        <c:noMultiLvlLbl val="0"/>
      </c:catAx>
      <c:valAx>
        <c:axId val="706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4480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</a:t>
            </a:r>
            <a:r>
              <a:rPr lang="en-AU" baseline="0"/>
              <a:t>e to GP Report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1"/>
          <c:order val="41"/>
          <c:tx>
            <c:strRef>
              <c:f>'GP Summary'!$A$45</c:f>
              <c:strCache>
                <c:ptCount val="1"/>
                <c:pt idx="0">
                  <c:v>MSF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Summary'!$B$45:$L$45</c15:sqref>
                  </c15:fullRef>
                </c:ext>
              </c:extLst>
              <c:f>'GP Summary'!$B$45:$K$45</c:f>
              <c:numCache>
                <c:formatCode>_-"$"* #,##0_-;\-"$"* #,##0_-;_-"$"* "-"??_-;_-@_-</c:formatCode>
                <c:ptCount val="9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  <c:pt idx="8">
                  <c:v>2113315.4545454546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8B-4878-A31B-45EF926EBD45}"/>
            </c:ext>
          </c:extLst>
        </c:ser>
        <c:ser>
          <c:idx val="42"/>
          <c:order val="42"/>
          <c:tx>
            <c:strRef>
              <c:f>'GP Summary'!$A$46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Summary'!$B$46:$L$46</c15:sqref>
                  </c15:fullRef>
                </c:ext>
              </c:extLst>
              <c:f>'GP Summary'!$B$46:$K$46</c:f>
              <c:numCache>
                <c:formatCode>_-"$"* #,##0_-;\-"$"* #,##0_-;_-"$"* "-"??_-;_-@_-</c:formatCode>
                <c:ptCount val="9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  <c:pt idx="8">
                  <c:v>1143195.42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8B-4878-A31B-45EF926EBD45}"/>
            </c:ext>
          </c:extLst>
        </c:ser>
        <c:ser>
          <c:idx val="43"/>
          <c:order val="43"/>
          <c:tx>
            <c:strRef>
              <c:f>'GP Summary'!$A$47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Summary'!$B$47:$L$47</c15:sqref>
                  </c15:fullRef>
                </c:ext>
              </c:extLst>
              <c:f>'GP Summary'!$B$47:$K$47</c:f>
              <c:numCache>
                <c:formatCode>_-"$"* #,##0_-;\-"$"* #,##0_-;_-"$"* "-"??_-;_-@_-</c:formatCode>
                <c:ptCount val="9"/>
                <c:pt idx="0">
                  <c:v>-11488.628181818189</c:v>
                </c:pt>
                <c:pt idx="1">
                  <c:v>530907.83636363631</c:v>
                </c:pt>
                <c:pt idx="2">
                  <c:v>48648.735454545444</c:v>
                </c:pt>
                <c:pt idx="3">
                  <c:v>252905.2972727273</c:v>
                </c:pt>
                <c:pt idx="4">
                  <c:v>177445.73545454562</c:v>
                </c:pt>
                <c:pt idx="5">
                  <c:v>75907.180909090879</c:v>
                </c:pt>
                <c:pt idx="6">
                  <c:v>-53323.598181818212</c:v>
                </c:pt>
                <c:pt idx="7">
                  <c:v>-50882.524545454551</c:v>
                </c:pt>
                <c:pt idx="8">
                  <c:v>970120.03454545466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8B-4878-A31B-45EF926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281968"/>
        <c:axId val="12642886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Summary'!$A$4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Summary'!$B$4:$L$4</c15:sqref>
                        </c15:fullRef>
                        <c15:formulaRef>
                          <c15:sqref>'GP Summary'!$B$4:$K$4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3513336.72</c:v>
                      </c:pt>
                      <c:pt idx="1">
                        <c:v>22346622.780000009</c:v>
                      </c:pt>
                      <c:pt idx="2">
                        <c:v>2616131.8100000015</c:v>
                      </c:pt>
                      <c:pt idx="3">
                        <c:v>15284097.470000001</c:v>
                      </c:pt>
                      <c:pt idx="4">
                        <c:v>16780190.190000013</c:v>
                      </c:pt>
                      <c:pt idx="5">
                        <c:v>3679803.4800000009</c:v>
                      </c:pt>
                      <c:pt idx="6">
                        <c:v>1832306.2899999998</c:v>
                      </c:pt>
                      <c:pt idx="7">
                        <c:v>1795722.3000000005</c:v>
                      </c:pt>
                      <c:pt idx="8">
                        <c:v>67848672.600000024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8B-4878-A31B-45EF926EBD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Summary'!$B$5:$L$5</c15:sqref>
                        </c15:fullRef>
                        <c15:formulaRef>
                          <c15:sqref>'GP Summary'!$B$5:$K$5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54878.336363636379</c:v>
                      </c:pt>
                      <c:pt idx="1">
                        <c:v>313667.54545454535</c:v>
                      </c:pt>
                      <c:pt idx="2">
                        <c:v>37106.963636363631</c:v>
                      </c:pt>
                      <c:pt idx="3">
                        <c:v>216052.08181818179</c:v>
                      </c:pt>
                      <c:pt idx="4">
                        <c:v>253741.6363636365</c:v>
                      </c:pt>
                      <c:pt idx="5">
                        <c:v>52110.663636363621</c:v>
                      </c:pt>
                      <c:pt idx="6">
                        <c:v>27299.318181818173</c:v>
                      </c:pt>
                      <c:pt idx="7">
                        <c:v>25640.481818181815</c:v>
                      </c:pt>
                      <c:pt idx="8">
                        <c:v>980497.02727272711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8B-4878-A31B-45EF926EBD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Summary'!$B$6:$L$6</c15:sqref>
                        </c15:fullRef>
                        <c15:formulaRef>
                          <c15:sqref>'GP Summary'!$B$6:$K$6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  <c:pt idx="8">
                        <c:v>544411.61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8B-4878-A31B-45EF926EBD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Summary'!$B$7:$L$7</c15:sqref>
                        </c15:fullRef>
                        <c15:formulaRef>
                          <c15:sqref>'GP Summary'!$B$7:$K$7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  <c:pt idx="8">
                        <c:v>436085.41727272735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8B-4878-A31B-45EF926EBD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Summary'!$B$8:$L$8</c15:sqref>
                        </c15:fullRef>
                        <c15:formulaRef>
                          <c15:sqref>'GP Summary'!$B$8:$K$8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28971.789999999994</c:v>
                      </c:pt>
                      <c:pt idx="1">
                        <c:v>992912.44000000029</c:v>
                      </c:pt>
                      <c:pt idx="2">
                        <c:v>99801.569999999992</c:v>
                      </c:pt>
                      <c:pt idx="3">
                        <c:v>577670.54000000015</c:v>
                      </c:pt>
                      <c:pt idx="4">
                        <c:v>345338.64000000013</c:v>
                      </c:pt>
                      <c:pt idx="5">
                        <c:v>128398</c:v>
                      </c:pt>
                      <c:pt idx="6">
                        <c:v>8759.07</c:v>
                      </c:pt>
                      <c:pt idx="7">
                        <c:v>15389.529999999999</c:v>
                      </c:pt>
                      <c:pt idx="8">
                        <c:v>2197241.58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B-4878-A31B-45EF926EBD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Summary'!$B$9:$L$9</c15:sqref>
                        </c15:fullRef>
                        <c15:formulaRef>
                          <c15:sqref>'GP Summary'!$B$9:$K$9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427.90909090909099</c:v>
                      </c:pt>
                      <c:pt idx="1">
                        <c:v>14657.545454545449</c:v>
                      </c:pt>
                      <c:pt idx="2">
                        <c:v>1474.3545454545454</c:v>
                      </c:pt>
                      <c:pt idx="3">
                        <c:v>8538.3454545454515</c:v>
                      </c:pt>
                      <c:pt idx="4">
                        <c:v>5103.2000000000016</c:v>
                      </c:pt>
                      <c:pt idx="5">
                        <c:v>1896.1727272727271</c:v>
                      </c:pt>
                      <c:pt idx="6">
                        <c:v>139.3545454545455</c:v>
                      </c:pt>
                      <c:pt idx="7">
                        <c:v>227.03636363636366</c:v>
                      </c:pt>
                      <c:pt idx="8">
                        <c:v>32463.918181818175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B-4878-A31B-45EF926EBD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Summary'!$B$10:$L$10</c15:sqref>
                        </c15:fullRef>
                        <c15:formulaRef>
                          <c15:sqref>'GP Summary'!$B$10:$K$10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  <c:pt idx="8">
                        <c:v>12750.97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B-4878-A31B-45EF926EBD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Summary'!$B$11:$L$11</c15:sqref>
                        </c15:fullRef>
                        <c15:formulaRef>
                          <c15:sqref>'GP Summary'!$B$11:$K$11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  <c:pt idx="8">
                        <c:v>19712.948181818174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8B-4878-A31B-45EF926EBD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Summary'!$B$12:$L$12</c15:sqref>
                        </c15:fullRef>
                        <c15:formulaRef>
                          <c15:sqref>'GP Summary'!$B$12:$K$12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3451836.4899999993</c:v>
                      </c:pt>
                      <c:pt idx="1">
                        <c:v>14232255.489999998</c:v>
                      </c:pt>
                      <c:pt idx="2">
                        <c:v>2063144.4300000002</c:v>
                      </c:pt>
                      <c:pt idx="3">
                        <c:v>10380845.669999996</c:v>
                      </c:pt>
                      <c:pt idx="4">
                        <c:v>14191344.989999996</c:v>
                      </c:pt>
                      <c:pt idx="5">
                        <c:v>3283670.7599999988</c:v>
                      </c:pt>
                      <c:pt idx="6">
                        <c:v>1251747</c:v>
                      </c:pt>
                      <c:pt idx="7">
                        <c:v>1056702.6200000001</c:v>
                      </c:pt>
                      <c:pt idx="8">
                        <c:v>49911580.539999984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8B-4878-A31B-45EF926EBD4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Summary'!$B$13:$L$13</c15:sqref>
                        </c15:fullRef>
                        <c15:formulaRef>
                          <c15:sqref>'GP Summary'!$B$13:$K$13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52869.518181818159</c:v>
                      </c:pt>
                      <c:pt idx="1">
                        <c:v>205803.26363636358</c:v>
                      </c:pt>
                      <c:pt idx="2">
                        <c:v>29898.272727272717</c:v>
                      </c:pt>
                      <c:pt idx="3">
                        <c:v>149555.40000000002</c:v>
                      </c:pt>
                      <c:pt idx="4">
                        <c:v>205522.40000000005</c:v>
                      </c:pt>
                      <c:pt idx="5">
                        <c:v>47205.909090909074</c:v>
                      </c:pt>
                      <c:pt idx="6">
                        <c:v>18329.754545454529</c:v>
                      </c:pt>
                      <c:pt idx="7">
                        <c:v>15291.854545454538</c:v>
                      </c:pt>
                      <c:pt idx="8">
                        <c:v>724476.37272727257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8B-4878-A31B-45EF926EBD4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Summary'!$B$14:$L$14</c15:sqref>
                        </c15:fullRef>
                        <c15:formulaRef>
                          <c15:sqref>'GP Summary'!$B$14:$K$14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  <c:pt idx="8">
                        <c:v>386788.29000000004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8B-4878-A31B-45EF926EBD4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Summary'!$B$15:$L$15</c15:sqref>
                        </c15:fullRef>
                        <c15:formulaRef>
                          <c15:sqref>'GP Summary'!$B$15:$K$15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  <c:pt idx="8">
                        <c:v>337688.08272727259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38B-4878-A31B-45EF926EBD4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Summary'!$A$16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Summary'!$B$16:$L$16</c15:sqref>
                        </c15:fullRef>
                        <c15:formulaRef>
                          <c15:sqref>'GP Summary'!$B$16:$K$16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204984.90000000002</c:v>
                      </c:pt>
                      <c:pt idx="1">
                        <c:v>2129764.1300000013</c:v>
                      </c:pt>
                      <c:pt idx="2">
                        <c:v>270174.44999999995</c:v>
                      </c:pt>
                      <c:pt idx="3">
                        <c:v>1703842.1900000004</c:v>
                      </c:pt>
                      <c:pt idx="4">
                        <c:v>1710872.9400000004</c:v>
                      </c:pt>
                      <c:pt idx="5">
                        <c:v>351036.35000000009</c:v>
                      </c:pt>
                      <c:pt idx="6">
                        <c:v>143753.76000000015</c:v>
                      </c:pt>
                      <c:pt idx="7">
                        <c:v>145986.39999999991</c:v>
                      </c:pt>
                      <c:pt idx="8">
                        <c:v>6660419.1700000018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38B-4878-A31B-45EF926EBD4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Summary'!$B$17:$L$17</c15:sqref>
                        </c15:fullRef>
                        <c15:formulaRef>
                          <c15:sqref>'GP Summary'!$B$17:$K$17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3346.9545454545455</c:v>
                      </c:pt>
                      <c:pt idx="1">
                        <c:v>33475.19999999999</c:v>
                      </c:pt>
                      <c:pt idx="2">
                        <c:v>4094.1909090909126</c:v>
                      </c:pt>
                      <c:pt idx="3">
                        <c:v>28557.309090909093</c:v>
                      </c:pt>
                      <c:pt idx="4">
                        <c:v>26903.490909090906</c:v>
                      </c:pt>
                      <c:pt idx="5">
                        <c:v>5678.2363636363643</c:v>
                      </c:pt>
                      <c:pt idx="6">
                        <c:v>2190.763636363632</c:v>
                      </c:pt>
                      <c:pt idx="7">
                        <c:v>2307.2636363636352</c:v>
                      </c:pt>
                      <c:pt idx="8">
                        <c:v>106553.40909090907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38B-4878-A31B-45EF926EBD4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Summary'!$B$18:$L$18</c15:sqref>
                        </c15:fullRef>
                        <c15:formulaRef>
                          <c15:sqref>'GP Summary'!$B$18:$K$18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  <c:pt idx="8">
                        <c:v>54736.659999999996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38B-4878-A31B-45EF926EBD4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Summary'!$B$19:$L$19</c15:sqref>
                        </c15:fullRef>
                        <c15:formulaRef>
                          <c15:sqref>'GP Summary'!$B$19:$K$19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  <c:pt idx="8">
                        <c:v>51816.749090909077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38B-4878-A31B-45EF926EBD4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Summary'!$B$20:$L$20</c15:sqref>
                        </c15:fullRef>
                        <c15:formulaRef>
                          <c15:sqref>'GP Summary'!$B$20:$K$20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10150.43</c:v>
                      </c:pt>
                      <c:pt idx="1">
                        <c:v>163384.25000000003</c:v>
                      </c:pt>
                      <c:pt idx="2">
                        <c:v>22548.799999999996</c:v>
                      </c:pt>
                      <c:pt idx="3">
                        <c:v>79880.649999999994</c:v>
                      </c:pt>
                      <c:pt idx="4">
                        <c:v>124934.34000000003</c:v>
                      </c:pt>
                      <c:pt idx="5">
                        <c:v>24332.050000000003</c:v>
                      </c:pt>
                      <c:pt idx="6">
                        <c:v>2978.54</c:v>
                      </c:pt>
                      <c:pt idx="7">
                        <c:v>3211.2799999999997</c:v>
                      </c:pt>
                      <c:pt idx="8">
                        <c:v>431420.34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38B-4878-A31B-45EF926EBD4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Summary'!$B$21:$L$21</c15:sqref>
                        </c15:fullRef>
                        <c15:formulaRef>
                          <c15:sqref>'GP Summary'!$B$21:$K$21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134.00909090909087</c:v>
                      </c:pt>
                      <c:pt idx="1">
                        <c:v>2159.4818181818182</c:v>
                      </c:pt>
                      <c:pt idx="2">
                        <c:v>302.66363636363627</c:v>
                      </c:pt>
                      <c:pt idx="3">
                        <c:v>1091.8727272727274</c:v>
                      </c:pt>
                      <c:pt idx="4">
                        <c:v>1707.7363636363632</c:v>
                      </c:pt>
                      <c:pt idx="5">
                        <c:v>325.10000000000008</c:v>
                      </c:pt>
                      <c:pt idx="6">
                        <c:v>42.427272727272722</c:v>
                      </c:pt>
                      <c:pt idx="7">
                        <c:v>43.418181818181807</c:v>
                      </c:pt>
                      <c:pt idx="8">
                        <c:v>5806.7090909090903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38B-4878-A31B-45EF926EBD4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Summary'!$B$22:$L$22</c15:sqref>
                        </c15:fullRef>
                        <c15:formulaRef>
                          <c15:sqref>'GP Summary'!$B$22:$K$22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  <c:pt idx="8">
                        <c:v>3205.8600000000006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38B-4878-A31B-45EF926EBD4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Summary'!$B$23:$L$23</c15:sqref>
                        </c15:fullRef>
                        <c15:formulaRef>
                          <c15:sqref>'GP Summary'!$B$23:$K$23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  <c:pt idx="8">
                        <c:v>2600.8490909090901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38B-4878-A31B-45EF926EBD4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Summary'!$B$24:$L$24</c15:sqref>
                        </c15:fullRef>
                        <c15:formulaRef>
                          <c15:sqref>'GP Summary'!$B$24:$K$24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158854.65000000002</c:v>
                      </c:pt>
                      <c:pt idx="1">
                        <c:v>2604721.9599999995</c:v>
                      </c:pt>
                      <c:pt idx="2">
                        <c:v>270902.85000000003</c:v>
                      </c:pt>
                      <c:pt idx="3">
                        <c:v>1362981.5900000005</c:v>
                      </c:pt>
                      <c:pt idx="4">
                        <c:v>1382177.67</c:v>
                      </c:pt>
                      <c:pt idx="5">
                        <c:v>368459.10000000033</c:v>
                      </c:pt>
                      <c:pt idx="6">
                        <c:v>72423.789999999994</c:v>
                      </c:pt>
                      <c:pt idx="7">
                        <c:v>80688.459999999977</c:v>
                      </c:pt>
                      <c:pt idx="8">
                        <c:v>6301210.0700000003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38B-4878-A31B-45EF926EBD4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Summary'!$B$25:$L$25</c15:sqref>
                        </c15:fullRef>
                        <c15:formulaRef>
                          <c15:sqref>'GP Summary'!$B$25:$K$25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2323.318181818182</c:v>
                      </c:pt>
                      <c:pt idx="1">
                        <c:v>36658.018181818174</c:v>
                      </c:pt>
                      <c:pt idx="2">
                        <c:v>3841.1727272727271</c:v>
                      </c:pt>
                      <c:pt idx="3">
                        <c:v>19450.454545454555</c:v>
                      </c:pt>
                      <c:pt idx="4">
                        <c:v>20250.890909090904</c:v>
                      </c:pt>
                      <c:pt idx="5">
                        <c:v>5264.8818181818142</c:v>
                      </c:pt>
                      <c:pt idx="6">
                        <c:v>1045.6181818181819</c:v>
                      </c:pt>
                      <c:pt idx="7">
                        <c:v>1162.1999999999996</c:v>
                      </c:pt>
                      <c:pt idx="8">
                        <c:v>89996.554545454535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38B-4878-A31B-45EF926EBD4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Summary'!$B$26:$L$26</c15:sqref>
                        </c15:fullRef>
                        <c15:formulaRef>
                          <c15:sqref>'GP Summary'!$B$26:$K$26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  <c:pt idx="8">
                        <c:v>40238.79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38B-4878-A31B-45EF926EBD4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Summary'!$B$27:$L$27</c15:sqref>
                        </c15:fullRef>
                        <c15:formulaRef>
                          <c15:sqref>'GP Summary'!$B$27:$K$27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  <c:pt idx="8">
                        <c:v>49757.764545454535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38B-4878-A31B-45EF926EBD4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Summary'!$B$28:$L$28</c15:sqref>
                        </c15:fullRef>
                        <c15:formulaRef>
                          <c15:sqref>'GP Summary'!$B$28:$K$28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74247.37999999999</c:v>
                      </c:pt>
                      <c:pt idx="1">
                        <c:v>740799.37999999989</c:v>
                      </c:pt>
                      <c:pt idx="2">
                        <c:v>84684.25999999998</c:v>
                      </c:pt>
                      <c:pt idx="3">
                        <c:v>442880.75</c:v>
                      </c:pt>
                      <c:pt idx="4">
                        <c:v>535515.33999999973</c:v>
                      </c:pt>
                      <c:pt idx="5">
                        <c:v>126869.26000000002</c:v>
                      </c:pt>
                      <c:pt idx="6">
                        <c:v>39136.29</c:v>
                      </c:pt>
                      <c:pt idx="7">
                        <c:v>42223.59</c:v>
                      </c:pt>
                      <c:pt idx="8">
                        <c:v>2086356.25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38B-4878-A31B-45EF926EBD4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Summary'!$B$29:$L$29</c15:sqref>
                        </c15:fullRef>
                        <c15:formulaRef>
                          <c15:sqref>'GP Summary'!$B$29:$K$29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1060.4272727272726</c:v>
                      </c:pt>
                      <c:pt idx="1">
                        <c:v>10445.127272727272</c:v>
                      </c:pt>
                      <c:pt idx="2">
                        <c:v>1230.9272727272726</c:v>
                      </c:pt>
                      <c:pt idx="3">
                        <c:v>6442.0545454545454</c:v>
                      </c:pt>
                      <c:pt idx="4">
                        <c:v>8646.6181818181813</c:v>
                      </c:pt>
                      <c:pt idx="5">
                        <c:v>1821.3727272727274</c:v>
                      </c:pt>
                      <c:pt idx="6">
                        <c:v>565.55454545454506</c:v>
                      </c:pt>
                      <c:pt idx="7">
                        <c:v>585.65454545454543</c:v>
                      </c:pt>
                      <c:pt idx="8">
                        <c:v>30797.736363636359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38B-4878-A31B-45EF926EBD4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Summary'!$B$30:$L$30</c15:sqref>
                        </c15:fullRef>
                        <c15:formulaRef>
                          <c15:sqref>'GP Summary'!$B$30:$K$30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  <c:pt idx="8">
                        <c:v>15047.569999999998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38B-4878-A31B-45EF926EBD4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Summary'!$B$31:$L$31</c15:sqref>
                        </c15:fullRef>
                        <c15:formulaRef>
                          <c15:sqref>'GP Summary'!$B$31:$K$31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  <c:pt idx="8">
                        <c:v>15750.166363636359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38B-4878-A31B-45EF926EBD4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Summary'!$B$32:$L$32</c15:sqref>
                        </c15:fullRef>
                        <c15:formulaRef>
                          <c15:sqref>'GP Summary'!$B$32:$K$32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206020.00000000009</c:v>
                      </c:pt>
                      <c:pt idx="1">
                        <c:v>3049936.5900000003</c:v>
                      </c:pt>
                      <c:pt idx="2">
                        <c:v>358214.68000000028</c:v>
                      </c:pt>
                      <c:pt idx="3">
                        <c:v>2294382.3500000015</c:v>
                      </c:pt>
                      <c:pt idx="4">
                        <c:v>1813340.4600000007</c:v>
                      </c:pt>
                      <c:pt idx="5">
                        <c:v>538449.53000000014</c:v>
                      </c:pt>
                      <c:pt idx="6">
                        <c:v>111256.40999999999</c:v>
                      </c:pt>
                      <c:pt idx="7">
                        <c:v>118027.94000000002</c:v>
                      </c:pt>
                      <c:pt idx="8">
                        <c:v>8489616.4800000042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38B-4878-A31B-45EF926EBD4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Summary'!$B$33:$L$33</c15:sqref>
                        </c15:fullRef>
                        <c15:formulaRef>
                          <c15:sqref>'GP Summary'!$B$33:$K$33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3100.6090909090922</c:v>
                      </c:pt>
                      <c:pt idx="1">
                        <c:v>44542.145454545469</c:v>
                      </c:pt>
                      <c:pt idx="2">
                        <c:v>5266.8090909090888</c:v>
                      </c:pt>
                      <c:pt idx="3">
                        <c:v>33480.83636363635</c:v>
                      </c:pt>
                      <c:pt idx="4">
                        <c:v>27416.699999999993</c:v>
                      </c:pt>
                      <c:pt idx="5">
                        <c:v>7882.1545454545458</c:v>
                      </c:pt>
                      <c:pt idx="6">
                        <c:v>1597.5636363636356</c:v>
                      </c:pt>
                      <c:pt idx="7">
                        <c:v>1700.100000000001</c:v>
                      </c:pt>
                      <c:pt idx="8">
                        <c:v>124986.91818181817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38B-4878-A31B-45EF926EBD4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Summary'!$B$34:$L$34</c15:sqref>
                        </c15:fullRef>
                        <c15:formulaRef>
                          <c15:sqref>'GP Summary'!$B$34:$K$34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  <c:pt idx="8">
                        <c:v>73633.25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38B-4878-A31B-45EF926EBD4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Summary'!$B$35:$L$35</c15:sqref>
                        </c15:fullRef>
                        <c15:formulaRef>
                          <c15:sqref>'GP Summary'!$B$35:$K$35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  <c:pt idx="8">
                        <c:v>51353.668181818182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38B-4878-A31B-45EF926EBD4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Summary'!$B$36:$L$36</c15:sqref>
                        </c15:fullRef>
                        <c15:formulaRef>
                          <c15:sqref>'GP Summary'!$B$36:$K$36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4644.67</c:v>
                      </c:pt>
                      <c:pt idx="1">
                        <c:v>175277.07000000004</c:v>
                      </c:pt>
                      <c:pt idx="2">
                        <c:v>18714.93</c:v>
                      </c:pt>
                      <c:pt idx="3">
                        <c:v>86946.41</c:v>
                      </c:pt>
                      <c:pt idx="4">
                        <c:v>78192.75999999998</c:v>
                      </c:pt>
                      <c:pt idx="5">
                        <c:v>22509.51</c:v>
                      </c:pt>
                      <c:pt idx="6">
                        <c:v>1067.22</c:v>
                      </c:pt>
                      <c:pt idx="7">
                        <c:v>538.85</c:v>
                      </c:pt>
                      <c:pt idx="8">
                        <c:v>387891.42000000004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38B-4878-A31B-45EF926EBD4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Summary'!$B$37:$L$37</c15:sqref>
                        </c15:fullRef>
                        <c15:formulaRef>
                          <c15:sqref>'GP Summary'!$B$37:$K$37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68.572727272727263</c:v>
                      </c:pt>
                      <c:pt idx="1">
                        <c:v>2587.2090909090907</c:v>
                      </c:pt>
                      <c:pt idx="2">
                        <c:v>276.0545454545454</c:v>
                      </c:pt>
                      <c:pt idx="3">
                        <c:v>1277.6181818181817</c:v>
                      </c:pt>
                      <c:pt idx="4">
                        <c:v>1154.8999999999994</c:v>
                      </c:pt>
                      <c:pt idx="5">
                        <c:v>331.32727272727266</c:v>
                      </c:pt>
                      <c:pt idx="6">
                        <c:v>15.745454545454544</c:v>
                      </c:pt>
                      <c:pt idx="7">
                        <c:v>7.9545454545454541</c:v>
                      </c:pt>
                      <c:pt idx="8">
                        <c:v>5719.3818181818169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38B-4878-A31B-45EF926EBD4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Summary'!$B$38:$L$38</c15:sqref>
                        </c15:fullRef>
                        <c15:formulaRef>
                          <c15:sqref>'GP Summary'!$B$38:$K$38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  <c:pt idx="8">
                        <c:v>2192.2800000000002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38B-4878-A31B-45EF926EBD4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Summary'!$B$39:$L$39</c15:sqref>
                        </c15:fullRef>
                        <c15:formulaRef>
                          <c15:sqref>'GP Summary'!$B$39:$K$39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  <c:pt idx="8">
                        <c:v>3527.1018181818172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38B-4878-A31B-45EF926EBD45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Summary'!$B$40:$L$40</c15:sqref>
                        </c15:fullRef>
                        <c15:formulaRef>
                          <c15:sqref>'GP Summary'!$B$40:$K$40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120700.87000000001</c:v>
                      </c:pt>
                      <c:pt idx="1">
                        <c:v>0</c:v>
                      </c:pt>
                      <c:pt idx="2">
                        <c:v>41308.69</c:v>
                      </c:pt>
                      <c:pt idx="3">
                        <c:v>508165.40999999992</c:v>
                      </c:pt>
                      <c:pt idx="4">
                        <c:v>142675.57</c:v>
                      </c:pt>
                      <c:pt idx="5">
                        <c:v>94535.090000000011</c:v>
                      </c:pt>
                      <c:pt idx="6">
                        <c:v>160029.21</c:v>
                      </c:pt>
                      <c:pt idx="7">
                        <c:v>233001.33000000005</c:v>
                      </c:pt>
                      <c:pt idx="8">
                        <c:v>1300416.1700000002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38B-4878-A31B-45EF926EBD45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Summary'!$B$41:$L$41</c15:sqref>
                        </c15:fullRef>
                        <c15:formulaRef>
                          <c15:sqref>'GP Summary'!$B$41:$K$41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2236.1272727272726</c:v>
                      </c:pt>
                      <c:pt idx="1">
                        <c:v>0</c:v>
                      </c:pt>
                      <c:pt idx="2">
                        <c:v>369.08181818181822</c:v>
                      </c:pt>
                      <c:pt idx="3">
                        <c:v>4186.7363636363643</c:v>
                      </c:pt>
                      <c:pt idx="4">
                        <c:v>1265.9000000000001</c:v>
                      </c:pt>
                      <c:pt idx="5">
                        <c:v>712.52727272727259</c:v>
                      </c:pt>
                      <c:pt idx="6">
                        <c:v>1479.6090909090904</c:v>
                      </c:pt>
                      <c:pt idx="7">
                        <c:v>1767.4454545454539</c:v>
                      </c:pt>
                      <c:pt idx="8">
                        <c:v>12017.427272727273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38B-4878-A31B-45EF926EBD45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Summary'!$B$42:$L$42</c15:sqref>
                        </c15:fullRef>
                        <c15:formulaRef>
                          <c15:sqref>'GP Summary'!$B$42:$K$42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  <c:pt idx="8">
                        <c:v>10190.140000000001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538B-4878-A31B-45EF926EBD4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Summary'!$B$43:$L$43</c15:sqref>
                        </c15:fullRef>
                        <c15:formulaRef>
                          <c15:sqref>'GP Summary'!$B$43:$K$43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  <c:pt idx="8">
                        <c:v>1827.2872727272718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538B-4878-A31B-45EF926EBD45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Summary'!$A$44</c15:sqref>
                        </c15:formulaRef>
                      </c:ext>
                    </c:extLst>
                    <c:strCache>
                      <c:ptCount val="1"/>
                      <c:pt idx="0">
                        <c:v>Total TTV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Summary'!$B$44:$L$44</c15:sqref>
                        </c15:fullRef>
                        <c15:formulaRef>
                          <c15:sqref>'GP Summary'!$B$44:$K$44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7773747.9000000004</c:v>
                      </c:pt>
                      <c:pt idx="1">
                        <c:v>46435674.090000018</c:v>
                      </c:pt>
                      <c:pt idx="2">
                        <c:v>5845626.4700000016</c:v>
                      </c:pt>
                      <c:pt idx="3">
                        <c:v>32721693.030000001</c:v>
                      </c:pt>
                      <c:pt idx="4">
                        <c:v>37104582.900000006</c:v>
                      </c:pt>
                      <c:pt idx="5">
                        <c:v>8618063.129999999</c:v>
                      </c:pt>
                      <c:pt idx="6">
                        <c:v>3623457.5800000005</c:v>
                      </c:pt>
                      <c:pt idx="7">
                        <c:v>3491492.3000000003</c:v>
                      </c:pt>
                      <c:pt idx="8">
                        <c:v>145615141.97000006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538B-4878-A31B-45EF926EBD45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Summary'!$B$48:$L$48</c15:sqref>
                        </c15:fullRef>
                        <c15:formulaRef>
                          <c15:sqref>'GP Summary'!$B$48:$K$48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-1.1842481108228152E-2</c:v>
                      </c:pt>
                      <c:pt idx="1">
                        <c:v>0.54725994460303129</c:v>
                      </c:pt>
                      <c:pt idx="2">
                        <c:v>5.0147129965561005E-2</c:v>
                      </c:pt>
                      <c:pt idx="3">
                        <c:v>0.26069485039676038</c:v>
                      </c:pt>
                      <c:pt idx="4">
                        <c:v>0.18291111319815903</c:v>
                      </c:pt>
                      <c:pt idx="5">
                        <c:v>7.8245143081347501E-2</c:v>
                      </c:pt>
                      <c:pt idx="6">
                        <c:v>-5.4965979758167492E-2</c:v>
                      </c:pt>
                      <c:pt idx="7">
                        <c:v>-5.2449720378463606E-2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920-453A-A6F6-587FC9050EC9}"/>
                  </c:ext>
                </c:extLst>
              </c15:ser>
            </c15:filteredBarSeries>
          </c:ext>
        </c:extLst>
      </c:bar3DChart>
      <c:catAx>
        <c:axId val="1264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8688"/>
        <c:crosses val="autoZero"/>
        <c:auto val="1"/>
        <c:lblAlgn val="ctr"/>
        <c:lblOffset val="100"/>
        <c:noMultiLvlLbl val="0"/>
      </c:catAx>
      <c:valAx>
        <c:axId val="1264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GP % by Card</a:t>
            </a:r>
            <a:r>
              <a:rPr lang="en-US" sz="1400" b="1" baseline="0"/>
              <a:t> Type Group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4"/>
          <c:order val="44"/>
          <c:tx>
            <c:strRef>
              <c:f>'GP Summary'!$O$48</c:f>
              <c:strCache>
                <c:ptCount val="1"/>
                <c:pt idx="0">
                  <c:v>GP%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14-41D1-BAFB-58BBD9013796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14-41D1-BAFB-58BBD90137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14-41D1-BAFB-58BBD90137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14-41D1-BAFB-58BBD90137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D1-4320-B26E-E96FDDF58797}"/>
              </c:ext>
            </c:extLst>
          </c:dPt>
          <c:dLbls>
            <c:dLbl>
              <c:idx val="0"/>
              <c:layout>
                <c:manualLayout>
                  <c:x val="-9.7116843702579669E-2"/>
                  <c:y val="-2.25035161744023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14-41D1-BAFB-58BBD9013796}"/>
                </c:ext>
              </c:extLst>
            </c:dLbl>
            <c:dLbl>
              <c:idx val="3"/>
              <c:layout>
                <c:manualLayout>
                  <c:x val="5.8674759736975217E-2"/>
                  <c:y val="1.96905766526017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14-41D1-BAFB-58BBD90137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Summary'!$P$2:$U$2</c15:sqref>
                  </c15:fullRef>
                </c:ext>
              </c:extLst>
              <c:f>'GP Summary'!$P$2:$T$2</c:f>
              <c:strCache>
                <c:ptCount val="5"/>
                <c:pt idx="1">
                  <c:v>Amex/JCB</c:v>
                </c:pt>
                <c:pt idx="2">
                  <c:v>EFTPOS &amp; Debit</c:v>
                </c:pt>
                <c:pt idx="3">
                  <c:v>Credit Cards</c:v>
                </c:pt>
                <c:pt idx="4">
                  <c:v>VC/MC Int.Credit &amp; Debit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Summary'!$P$48:$U$48</c15:sqref>
                  </c15:fullRef>
                </c:ext>
              </c:extLst>
              <c:f>'GP Summary'!$P$48:$T$48</c:f>
              <c:numCache>
                <c:formatCode>0.00%</c:formatCode>
                <c:ptCount val="5"/>
                <c:pt idx="1">
                  <c:v>-1.1842481108228154E-2</c:v>
                </c:pt>
                <c:pt idx="2">
                  <c:v>0.88619993808113928</c:v>
                </c:pt>
                <c:pt idx="3">
                  <c:v>0.23305824316372009</c:v>
                </c:pt>
                <c:pt idx="4">
                  <c:v>-0.10741570013663114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714-41D1-BAFB-58BBD901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Summary'!$O$4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Summary'!$P$4:$U$4</c15:sqref>
                        </c15:fullRef>
                        <c15:formulaRef>
                          <c15:sqref>'GP Summary'!$P$4:$T$4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3513336.72</c:v>
                      </c:pt>
                      <c:pt idx="2">
                        <c:v>41310523.730000012</c:v>
                      </c:pt>
                      <c:pt idx="3">
                        <c:v>19396322.000000015</c:v>
                      </c:pt>
                      <c:pt idx="4">
                        <c:v>3628028.5900000003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D714-41D1-BAFB-58BBD901379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Summary'!$P$5:$U$5</c15:sqref>
                        </c15:fullRef>
                        <c15:formulaRef>
                          <c15:sqref>'GP Summary'!$P$5:$T$5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54878.336363636379</c:v>
                      </c:pt>
                      <c:pt idx="2">
                        <c:v>581830.29090909078</c:v>
                      </c:pt>
                      <c:pt idx="3">
                        <c:v>290848.60000000015</c:v>
                      </c:pt>
                      <c:pt idx="4">
                        <c:v>52939.799999999988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D714-41D1-BAFB-58BBD901379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Summary'!$P$6:$U$6</c15:sqref>
                        </c15:fullRef>
                        <c15:formulaRef>
                          <c15:sqref>'GP Summary'!$P$6:$T$6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59549.25</c:v>
                      </c:pt>
                      <c:pt idx="2">
                        <c:v>189187.14</c:v>
                      </c:pt>
                      <c:pt idx="3">
                        <c:v>185464.75</c:v>
                      </c:pt>
                      <c:pt idx="4">
                        <c:v>110210.47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D714-41D1-BAFB-58BBD901379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Summary'!$P$7:$U$7</c15:sqref>
                        </c15:fullRef>
                        <c15:formulaRef>
                          <c15:sqref>'GP Summary'!$P$7:$T$7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-4670.9136363636208</c:v>
                      </c:pt>
                      <c:pt idx="2">
                        <c:v>392643.15090909076</c:v>
                      </c:pt>
                      <c:pt idx="3">
                        <c:v>105383.85000000012</c:v>
                      </c:pt>
                      <c:pt idx="4">
                        <c:v>-57270.670000000013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D714-41D1-BAFB-58BBD901379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Summary'!$P$8:$U$8</c15:sqref>
                        </c15:fullRef>
                        <c15:formulaRef>
                          <c15:sqref>'GP Summary'!$P$8:$T$8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28971.789999999994</c:v>
                      </c:pt>
                      <c:pt idx="2">
                        <c:v>1698980.9800000004</c:v>
                      </c:pt>
                      <c:pt idx="3">
                        <c:v>445140.21000000014</c:v>
                      </c:pt>
                      <c:pt idx="4">
                        <c:v>24148.6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5-D714-41D1-BAFB-58BBD901379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Summary'!$P$9:$U$9</c15:sqref>
                        </c15:fullRef>
                        <c15:formulaRef>
                          <c15:sqref>'GP Summary'!$P$9:$T$9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427.90909090909099</c:v>
                      </c:pt>
                      <c:pt idx="2">
                        <c:v>25092.063636363626</c:v>
                      </c:pt>
                      <c:pt idx="3">
                        <c:v>6577.5545454545472</c:v>
                      </c:pt>
                      <c:pt idx="4">
                        <c:v>366.39090909090919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E-D714-41D1-BAFB-58BBD901379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Summary'!$P$10:$U$10</c15:sqref>
                        </c15:fullRef>
                        <c15:formulaRef>
                          <c15:sqref>'GP Summary'!$P$10:$T$10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501.43</c:v>
                      </c:pt>
                      <c:pt idx="2">
                        <c:v>7183.4000000000005</c:v>
                      </c:pt>
                      <c:pt idx="3">
                        <c:v>4263.78</c:v>
                      </c:pt>
                      <c:pt idx="4">
                        <c:v>802.36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7-D714-41D1-BAFB-58BBD901379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Summary'!$P$11:$U$11</c15:sqref>
                        </c15:fullRef>
                        <c15:formulaRef>
                          <c15:sqref>'GP Summary'!$P$11:$T$11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-73.520909090909015</c:v>
                      </c:pt>
                      <c:pt idx="2">
                        <c:v>17908.663636363628</c:v>
                      </c:pt>
                      <c:pt idx="3">
                        <c:v>2313.774545454547</c:v>
                      </c:pt>
                      <c:pt idx="4">
                        <c:v>-435.96909090909082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0-D714-41D1-BAFB-58BBD901379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Summary'!$P$12:$U$12</c15:sqref>
                        </c15:fullRef>
                        <c15:formulaRef>
                          <c15:sqref>'GP Summary'!$P$12:$T$12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3451836.4899999993</c:v>
                      </c:pt>
                      <c:pt idx="2">
                        <c:v>27896771.919999994</c:v>
                      </c:pt>
                      <c:pt idx="3">
                        <c:v>16254489.419999996</c:v>
                      </c:pt>
                      <c:pt idx="4">
                        <c:v>2308449.62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D714-41D1-BAFB-58BBD901379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Summary'!$P$13:$U$13</c15:sqref>
                        </c15:fullRef>
                        <c15:formulaRef>
                          <c15:sqref>'GP Summary'!$P$13:$T$13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52869.518181818159</c:v>
                      </c:pt>
                      <c:pt idx="2">
                        <c:v>402564.57272727264</c:v>
                      </c:pt>
                      <c:pt idx="3">
                        <c:v>235420.67272727276</c:v>
                      </c:pt>
                      <c:pt idx="4">
                        <c:v>33621.609090909071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2-D714-41D1-BAFB-58BBD9013796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Summary'!$P$14:$U$14</c15:sqref>
                        </c15:fullRef>
                        <c15:formulaRef>
                          <c15:sqref>'GP Summary'!$P$14:$T$14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58306.29</c:v>
                      </c:pt>
                      <c:pt idx="2">
                        <c:v>108986</c:v>
                      </c:pt>
                      <c:pt idx="3">
                        <c:v>151607</c:v>
                      </c:pt>
                      <c:pt idx="4">
                        <c:v>67889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B-D714-41D1-BAFB-58BBD9013796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Summary'!$P$15:$U$15</c15:sqref>
                        </c15:fullRef>
                        <c15:formulaRef>
                          <c15:sqref>'GP Summary'!$P$15:$T$15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-5436.7718181818418</c:v>
                      </c:pt>
                      <c:pt idx="2">
                        <c:v>293578.57272727264</c:v>
                      </c:pt>
                      <c:pt idx="3">
                        <c:v>83813.672727272773</c:v>
                      </c:pt>
                      <c:pt idx="4">
                        <c:v>-34267.390909090929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4-D714-41D1-BAFB-58BBD9013796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Summary'!$O$16</c15:sqref>
                        </c15:formulaRef>
                      </c:ext>
                    </c:extLst>
                    <c:strCache>
                      <c:ptCount val="1"/>
                      <c:pt idx="0">
                        <c:v>SwiftPOS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Summary'!$P$16:$U$16</c15:sqref>
                        </c15:fullRef>
                        <c15:formulaRef>
                          <c15:sqref>'GP Summary'!$P$16:$T$16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204984.90000000002</c:v>
                      </c:pt>
                      <c:pt idx="2">
                        <c:v>4184642.6700000018</c:v>
                      </c:pt>
                      <c:pt idx="3">
                        <c:v>1981047.3900000004</c:v>
                      </c:pt>
                      <c:pt idx="4">
                        <c:v>289740.16000000003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D-D714-41D1-BAFB-58BBD9013796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Summary'!$P$17:$U$17</c15:sqref>
                        </c15:fullRef>
                        <c15:formulaRef>
                          <c15:sqref>'GP Summary'!$P$17:$T$17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3346.9545454545455</c:v>
                      </c:pt>
                      <c:pt idx="2">
                        <c:v>67710.745454545438</c:v>
                      </c:pt>
                      <c:pt idx="3">
                        <c:v>30997.68181818182</c:v>
                      </c:pt>
                      <c:pt idx="4">
                        <c:v>4498.0272727272677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6-D714-41D1-BAFB-58BBD9013796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Summary'!$P$18:$U$18</c15:sqref>
                        </c15:fullRef>
                        <c15:formulaRef>
                          <c15:sqref>'GP Summary'!$P$18:$T$18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3551.69</c:v>
                      </c:pt>
                      <c:pt idx="2">
                        <c:v>23145.449999999997</c:v>
                      </c:pt>
                      <c:pt idx="3">
                        <c:v>18740.419999999998</c:v>
                      </c:pt>
                      <c:pt idx="4">
                        <c:v>9299.1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F-D714-41D1-BAFB-58BBD9013796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Summary'!$P$19:$U$19</c15:sqref>
                        </c15:fullRef>
                        <c15:formulaRef>
                          <c15:sqref>'GP Summary'!$P$19:$T$19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-204.73545454545456</c:v>
                      </c:pt>
                      <c:pt idx="2">
                        <c:v>44565.295454545449</c:v>
                      </c:pt>
                      <c:pt idx="3">
                        <c:v>12257.261818181818</c:v>
                      </c:pt>
                      <c:pt idx="4">
                        <c:v>-4801.0727272727327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8-D714-41D1-BAFB-58BBD9013796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Summary'!$P$20:$U$20</c15:sqref>
                        </c15:fullRef>
                        <c15:formulaRef>
                          <c15:sqref>'GP Summary'!$P$20:$T$20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10150.43</c:v>
                      </c:pt>
                      <c:pt idx="2">
                        <c:v>267596.95</c:v>
                      </c:pt>
                      <c:pt idx="3">
                        <c:v>147483.14000000001</c:v>
                      </c:pt>
                      <c:pt idx="4">
                        <c:v>6189.82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1-D714-41D1-BAFB-58BBD9013796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Summary'!$P$21:$U$21</c15:sqref>
                        </c15:fullRef>
                        <c15:formulaRef>
                          <c15:sqref>'GP Summary'!$P$21:$T$21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134.00909090909087</c:v>
                      </c:pt>
                      <c:pt idx="2">
                        <c:v>3576.4545454545455</c:v>
                      </c:pt>
                      <c:pt idx="3">
                        <c:v>2010.3999999999994</c:v>
                      </c:pt>
                      <c:pt idx="4">
                        <c:v>85.84545454545453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A-D714-41D1-BAFB-58BBD9013796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Summary'!$P$22:$U$22</c15:sqref>
                        </c15:fullRef>
                        <c15:formulaRef>
                          <c15:sqref>'GP Summary'!$P$22:$T$22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183.9</c:v>
                      </c:pt>
                      <c:pt idx="2">
                        <c:v>1131.27</c:v>
                      </c:pt>
                      <c:pt idx="3">
                        <c:v>1681.01</c:v>
                      </c:pt>
                      <c:pt idx="4">
                        <c:v>209.68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3-D714-41D1-BAFB-58BBD9013796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Summary'!$P$23:$U$23</c15:sqref>
                        </c15:fullRef>
                        <c15:formulaRef>
                          <c15:sqref>'GP Summary'!$P$23:$T$23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-49.890909090909133</c:v>
                      </c:pt>
                      <c:pt idx="2">
                        <c:v>2445.184545454546</c:v>
                      </c:pt>
                      <c:pt idx="3">
                        <c:v>329.38999999999942</c:v>
                      </c:pt>
                      <c:pt idx="4">
                        <c:v>-123.83454545454546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C-D714-41D1-BAFB-58BBD9013796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Summary'!$P$24:$U$24</c15:sqref>
                        </c15:fullRef>
                        <c15:formulaRef>
                          <c15:sqref>'GP Summary'!$P$24:$T$24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158854.65000000002</c:v>
                      </c:pt>
                      <c:pt idx="2">
                        <c:v>4336162.6500000004</c:v>
                      </c:pt>
                      <c:pt idx="3">
                        <c:v>1653080.52</c:v>
                      </c:pt>
                      <c:pt idx="4">
                        <c:v>153112.24999999997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5-D714-41D1-BAFB-58BBD9013796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Summary'!$P$25:$U$25</c15:sqref>
                        </c15:fullRef>
                        <c15:formulaRef>
                          <c15:sqref>'GP Summary'!$P$25:$T$25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2323.318181818182</c:v>
                      </c:pt>
                      <c:pt idx="2">
                        <c:v>61373.354545454546</c:v>
                      </c:pt>
                      <c:pt idx="3">
                        <c:v>24092.063636363629</c:v>
                      </c:pt>
                      <c:pt idx="4">
                        <c:v>2207.8181818181815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E-D714-41D1-BAFB-58BBD9013796}"/>
                  </c:ext>
                </c:extLst>
              </c15:ser>
            </c15:filteredPieSeries>
            <c15:filteredPi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Summary'!$P$26:$U$26</c15:sqref>
                        </c15:fullRef>
                        <c15:formulaRef>
                          <c15:sqref>'GP Summary'!$P$26:$T$26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2674.91</c:v>
                      </c:pt>
                      <c:pt idx="2">
                        <c:v>17701.88</c:v>
                      </c:pt>
                      <c:pt idx="3">
                        <c:v>15403</c:v>
                      </c:pt>
                      <c:pt idx="4">
                        <c:v>4459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D7-D714-41D1-BAFB-58BBD9013796}"/>
                  </c:ext>
                </c:extLst>
              </c15:ser>
            </c15:filteredPieSeries>
            <c15:filteredPi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Summary'!$P$27:$U$27</c15:sqref>
                        </c15:fullRef>
                        <c15:formulaRef>
                          <c15:sqref>'GP Summary'!$P$27:$T$27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-351.59181818181787</c:v>
                      </c:pt>
                      <c:pt idx="2">
                        <c:v>43671.474545454541</c:v>
                      </c:pt>
                      <c:pt idx="3">
                        <c:v>8689.0636363636313</c:v>
                      </c:pt>
                      <c:pt idx="4">
                        <c:v>-2251.1818181818185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0-D714-41D1-BAFB-58BBD9013796}"/>
                  </c:ext>
                </c:extLst>
              </c15:ser>
            </c15:filteredPieSeries>
            <c15:filteredPi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Summary'!$P$28:$U$28</c15:sqref>
                        </c15:fullRef>
                        <c15:formulaRef>
                          <c15:sqref>'GP Summary'!$P$28:$T$28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74247.37999999999</c:v>
                      </c:pt>
                      <c:pt idx="2">
                        <c:v>1310549.3899999999</c:v>
                      </c:pt>
                      <c:pt idx="3">
                        <c:v>620199.59999999974</c:v>
                      </c:pt>
                      <c:pt idx="4">
                        <c:v>81359.88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9-D714-41D1-BAFB-58BBD9013796}"/>
                  </c:ext>
                </c:extLst>
              </c15:ser>
            </c15:filteredPieSeries>
            <c15:filteredPi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Summary'!$P$29:$U$29</c15:sqref>
                        </c15:fullRef>
                        <c15:formulaRef>
                          <c15:sqref>'GP Summary'!$P$29:$T$29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1060.4272727272726</c:v>
                      </c:pt>
                      <c:pt idx="2">
                        <c:v>18708.554545454543</c:v>
                      </c:pt>
                      <c:pt idx="3">
                        <c:v>9877.545454545454</c:v>
                      </c:pt>
                      <c:pt idx="4">
                        <c:v>1151.2090909090905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2-D714-41D1-BAFB-58BBD9013796}"/>
                  </c:ext>
                </c:extLst>
              </c15:ser>
            </c15:filteredPieSeries>
            <c15:filteredPi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Summary'!$P$30:$U$30</c15:sqref>
                        </c15:fullRef>
                        <c15:formulaRef>
                          <c15:sqref>'GP Summary'!$P$30:$T$30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1287.78</c:v>
                      </c:pt>
                      <c:pt idx="2">
                        <c:v>5678.0800000000008</c:v>
                      </c:pt>
                      <c:pt idx="3">
                        <c:v>5722.5599999999995</c:v>
                      </c:pt>
                      <c:pt idx="4">
                        <c:v>2359.15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B-D714-41D1-BAFB-58BBD9013796}"/>
                  </c:ext>
                </c:extLst>
              </c15:ser>
            </c15:filteredPieSeries>
            <c15:filteredPi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Summary'!$P$31:$U$31</c15:sqref>
                        </c15:fullRef>
                        <c15:formulaRef>
                          <c15:sqref>'GP Summary'!$P$31:$T$31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-227.35272727272741</c:v>
                      </c:pt>
                      <c:pt idx="2">
                        <c:v>13030.474545454545</c:v>
                      </c:pt>
                      <c:pt idx="3">
                        <c:v>4154.9854545454536</c:v>
                      </c:pt>
                      <c:pt idx="4">
                        <c:v>-1207.9409090909096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4-D714-41D1-BAFB-58BBD9013796}"/>
                  </c:ext>
                </c:extLst>
              </c15:ser>
            </c15:filteredPieSeries>
            <c15:filteredPi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Summary'!$P$32:$U$32</c15:sqref>
                        </c15:fullRef>
                        <c15:formulaRef>
                          <c15:sqref>'GP Summary'!$P$32:$T$32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206020.00000000009</c:v>
                      </c:pt>
                      <c:pt idx="2">
                        <c:v>5882768.4700000016</c:v>
                      </c:pt>
                      <c:pt idx="3">
                        <c:v>2171555.1400000011</c:v>
                      </c:pt>
                      <c:pt idx="4">
                        <c:v>229284.35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D-D714-41D1-BAFB-58BBD9013796}"/>
                  </c:ext>
                </c:extLst>
              </c15:ser>
            </c15:filteredPieSeries>
            <c15:filteredPi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Summary'!$P$33:$U$33</c15:sqref>
                        </c15:fullRef>
                        <c15:formulaRef>
                          <c15:sqref>'GP Summary'!$P$33:$T$33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3100.6090909090922</c:v>
                      </c:pt>
                      <c:pt idx="2">
                        <c:v>85905.136363636353</c:v>
                      </c:pt>
                      <c:pt idx="3">
                        <c:v>32683.509090909083</c:v>
                      </c:pt>
                      <c:pt idx="4">
                        <c:v>3297.6636363636367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6-D714-41D1-BAFB-58BBD9013796}"/>
                  </c:ext>
                </c:extLst>
              </c15:ser>
            </c15:filteredPieSeries>
            <c15:filteredPi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Summary'!$P$34:$U$34</c15:sqref>
                        </c15:fullRef>
                        <c15:formulaRef>
                          <c15:sqref>'GP Summary'!$P$34:$T$34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3655.3</c:v>
                      </c:pt>
                      <c:pt idx="2">
                        <c:v>38351.030000000006</c:v>
                      </c:pt>
                      <c:pt idx="3">
                        <c:v>24144.12</c:v>
                      </c:pt>
                      <c:pt idx="4">
                        <c:v>7482.7999999999993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F-D714-41D1-BAFB-58BBD9013796}"/>
                  </c:ext>
                </c:extLst>
              </c15:ser>
            </c15:filteredPieSeries>
            <c15:filteredPi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Summary'!$P$35:$U$35</c15:sqref>
                        </c15:fullRef>
                        <c15:formulaRef>
                          <c15:sqref>'GP Summary'!$P$35:$T$35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-554.69090909090801</c:v>
                      </c:pt>
                      <c:pt idx="2">
                        <c:v>47554.106363636369</c:v>
                      </c:pt>
                      <c:pt idx="3">
                        <c:v>8539.3890909090824</c:v>
                      </c:pt>
                      <c:pt idx="4">
                        <c:v>-4185.1363636363631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28-D714-41D1-BAFB-58BBD9013796}"/>
                  </c:ext>
                </c:extLst>
              </c15:ser>
            </c15:filteredPieSeries>
            <c15:filteredPi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Summary'!$P$36:$U$36</c15:sqref>
                        </c15:fullRef>
                        <c15:formulaRef>
                          <c15:sqref>'GP Summary'!$P$36:$T$36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4644.67</c:v>
                      </c:pt>
                      <c:pt idx="2">
                        <c:v>284732.99000000005</c:v>
                      </c:pt>
                      <c:pt idx="3">
                        <c:v>96907.689999999973</c:v>
                      </c:pt>
                      <c:pt idx="4">
                        <c:v>1606.0700000000002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1-D714-41D1-BAFB-58BBD9013796}"/>
                  </c:ext>
                </c:extLst>
              </c15:ser>
            </c15:filteredPieSeries>
            <c15:filteredPi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Summary'!$P$37:$U$37</c15:sqref>
                        </c15:fullRef>
                        <c15:formulaRef>
                          <c15:sqref>'GP Summary'!$P$37:$T$37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68.572727272727263</c:v>
                      </c:pt>
                      <c:pt idx="2">
                        <c:v>4196.1545454545449</c:v>
                      </c:pt>
                      <c:pt idx="3">
                        <c:v>1430.9545454545448</c:v>
                      </c:pt>
                      <c:pt idx="4">
                        <c:v>23.7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A-D714-41D1-BAFB-58BBD9013796}"/>
                  </c:ext>
                </c:extLst>
              </c15:ser>
            </c15:filteredPieSeries>
            <c15:filteredPi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Summary'!$P$38:$U$38</c15:sqref>
                        </c15:fullRef>
                        <c15:formulaRef>
                          <c15:sqref>'GP Summary'!$P$38:$T$38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81.290000000000006</c:v>
                      </c:pt>
                      <c:pt idx="2">
                        <c:v>1162.1300000000001</c:v>
                      </c:pt>
                      <c:pt idx="3">
                        <c:v>902.93999999999994</c:v>
                      </c:pt>
                      <c:pt idx="4">
                        <c:v>45.92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3-D714-41D1-BAFB-58BBD9013796}"/>
                  </c:ext>
                </c:extLst>
              </c15:ser>
            </c15:filteredPieSeries>
            <c15:filteredPi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Summary'!$P$39:$U$39</c15:sqref>
                        </c15:fullRef>
                        <c15:formulaRef>
                          <c15:sqref>'GP Summary'!$P$39:$T$39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-12.717272727272743</c:v>
                      </c:pt>
                      <c:pt idx="2">
                        <c:v>3034.0245454545452</c:v>
                      </c:pt>
                      <c:pt idx="3">
                        <c:v>528.01454545454476</c:v>
                      </c:pt>
                      <c:pt idx="4">
                        <c:v>-22.220000000000006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C-D714-41D1-BAFB-58BBD9013796}"/>
                  </c:ext>
                </c:extLst>
              </c15:ser>
            </c15:filteredPieSeries>
            <c15:filteredPi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Summary'!$P$40:$U$40</c15:sqref>
                        </c15:fullRef>
                        <c15:formulaRef>
                          <c15:sqref>'GP Summary'!$P$40:$T$40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120700.87000000001</c:v>
                      </c:pt>
                      <c:pt idx="2">
                        <c:v>602700.49999999988</c:v>
                      </c:pt>
                      <c:pt idx="3">
                        <c:v>183984.26</c:v>
                      </c:pt>
                      <c:pt idx="4">
                        <c:v>393030.54000000004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5-D714-41D1-BAFB-58BBD9013796}"/>
                  </c:ext>
                </c:extLst>
              </c15:ser>
            </c15:filteredPieSeries>
            <c15:filteredPi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Summary'!$P$41:$U$41</c15:sqref>
                        </c15:fullRef>
                        <c15:formulaRef>
                          <c15:sqref>'GP Summary'!$P$41:$T$41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2236.1272727272726</c:v>
                      </c:pt>
                      <c:pt idx="2">
                        <c:v>4899.2636363636366</c:v>
                      </c:pt>
                      <c:pt idx="3">
                        <c:v>1634.9818181818182</c:v>
                      </c:pt>
                      <c:pt idx="4">
                        <c:v>3247.0545454545445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E-D714-41D1-BAFB-58BBD9013796}"/>
                  </c:ext>
                </c:extLst>
              </c15:ser>
            </c15:filteredPieSeries>
            <c15:filteredPi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Summary'!$P$42:$U$42</c15:sqref>
                        </c15:fullRef>
                        <c15:formulaRef>
                          <c15:sqref>'GP Summary'!$P$42:$T$42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2142.5699999999997</c:v>
                      </c:pt>
                      <c:pt idx="2">
                        <c:v>3609.8963636363642</c:v>
                      </c:pt>
                      <c:pt idx="3">
                        <c:v>1549.9127272727274</c:v>
                      </c:pt>
                      <c:pt idx="4">
                        <c:v>2887.7609090909091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67-D714-41D1-BAFB-58BBD9013796}"/>
                  </c:ext>
                </c:extLst>
              </c15:ser>
            </c15:filteredPieSeries>
            <c15:filteredPi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Summary'!$P$43:$U$43</c15:sqref>
                        </c15:fullRef>
                        <c15:formulaRef>
                          <c15:sqref>'GP Summary'!$P$43:$T$43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93.557272727272903</c:v>
                      </c:pt>
                      <c:pt idx="2">
                        <c:v>1289.3672727272728</c:v>
                      </c:pt>
                      <c:pt idx="3">
                        <c:v>85.069090909091045</c:v>
                      </c:pt>
                      <c:pt idx="4">
                        <c:v>359.29363636363496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0-D714-41D1-BAFB-58BBD9013796}"/>
                  </c:ext>
                </c:extLst>
              </c15:ser>
            </c15:filteredPieSeries>
            <c15:filteredPi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Summary'!$P$44:$U$44</c15:sqref>
                        </c15:fullRef>
                        <c15:formulaRef>
                          <c15:sqref>'GP Summary'!$P$44:$T$44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7773747.9000000004</c:v>
                      </c:pt>
                      <c:pt idx="2">
                        <c:v>87775430.250000015</c:v>
                      </c:pt>
                      <c:pt idx="3">
                        <c:v>42950209.370000005</c:v>
                      </c:pt>
                      <c:pt idx="4">
                        <c:v>7114949.8800000008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9-D714-41D1-BAFB-58BBD9013796}"/>
                  </c:ext>
                </c:extLst>
              </c15:ser>
            </c15:filteredPieSeries>
            <c15:filteredPi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Summary'!$P$45:$U$45</c15:sqref>
                        </c15:fullRef>
                        <c15:formulaRef>
                          <c15:sqref>'GP Summary'!$P$45:$T$45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120445.7818181818</c:v>
                      </c:pt>
                      <c:pt idx="2">
                        <c:v>1255856.5909090906</c:v>
                      </c:pt>
                      <c:pt idx="3">
                        <c:v>635573.96363636374</c:v>
                      </c:pt>
                      <c:pt idx="4">
                        <c:v>101439.11818181814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2-D714-41D1-BAFB-58BBD9013796}"/>
                  </c:ext>
                </c:extLst>
              </c15:ser>
            </c15:filteredPieSeries>
            <c15:filteredPi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Summary'!$P$46:$U$46</c15:sqref>
                        </c15:fullRef>
                        <c15:formulaRef>
                          <c15:sqref>'GP Summary'!$P$46:$T$46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131934.40999999997</c:v>
                      </c:pt>
                      <c:pt idx="2">
                        <c:v>396136.27636363637</c:v>
                      </c:pt>
                      <c:pt idx="3">
                        <c:v>409479.49272727274</c:v>
                      </c:pt>
                      <c:pt idx="4">
                        <c:v>205645.24090909091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B-D714-41D1-BAFB-58BBD9013796}"/>
                  </c:ext>
                </c:extLst>
              </c15:ser>
            </c15:filteredPieSeries>
            <c15:filteredPi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Summary'!$P$47:$U$47</c15:sqref>
                        </c15:fullRef>
                        <c15:formulaRef>
                          <c15:sqref>'GP Summary'!$P$47:$T$47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-11488.628181818189</c:v>
                      </c:pt>
                      <c:pt idx="2">
                        <c:v>859720.31454545446</c:v>
                      </c:pt>
                      <c:pt idx="3">
                        <c:v>226094.47090909106</c:v>
                      </c:pt>
                      <c:pt idx="4">
                        <c:v>-104206.12272727277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94-D714-41D1-BAFB-58BBD901379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$D$16" max="30000" page="10" val="505"/>
</file>

<file path=xl/ctrlProps/ctrlProp10.xml><?xml version="1.0" encoding="utf-8"?>
<formControlPr xmlns="http://schemas.microsoft.com/office/spreadsheetml/2009/9/main" objectType="Spin" dx="39" fmlaLink="$H$17" max="30000" page="10" val="65"/>
</file>

<file path=xl/ctrlProps/ctrlProp100.xml><?xml version="1.0" encoding="utf-8"?>
<formControlPr xmlns="http://schemas.microsoft.com/office/spreadsheetml/2009/9/main" objectType="Spin" dx="39" fmlaLink="$Q$46" max="30000" page="10" val="1065"/>
</file>

<file path=xl/ctrlProps/ctrlProp101.xml><?xml version="1.0" encoding="utf-8"?>
<formControlPr xmlns="http://schemas.microsoft.com/office/spreadsheetml/2009/9/main" objectType="Spin" dx="39" fmlaLink="$Q$47" max="30000" page="10" val="312"/>
</file>

<file path=xl/ctrlProps/ctrlProp102.xml><?xml version="1.0" encoding="utf-8"?>
<formControlPr xmlns="http://schemas.microsoft.com/office/spreadsheetml/2009/9/main" objectType="Spin" dx="39" fmlaLink="$Q$48" max="30000" page="10" val="502"/>
</file>

<file path=xl/ctrlProps/ctrlProp103.xml><?xml version="1.0" encoding="utf-8"?>
<formControlPr xmlns="http://schemas.microsoft.com/office/spreadsheetml/2009/9/main" objectType="Spin" dx="39" fmlaLink="$Q$22" max="30000" page="10" val="100"/>
</file>

<file path=xl/ctrlProps/ctrlProp104.xml><?xml version="1.0" encoding="utf-8"?>
<formControlPr xmlns="http://schemas.microsoft.com/office/spreadsheetml/2009/9/main" objectType="Spin" dx="39" fmlaLink="$Q$44" max="30000" page="10" val="100"/>
</file>

<file path=xl/ctrlProps/ctrlProp105.xml><?xml version="1.0" encoding="utf-8"?>
<formControlPr xmlns="http://schemas.microsoft.com/office/spreadsheetml/2009/9/main" objectType="Spin" dx="39" fmlaLink="$Q$76" max="30000" page="10" val="1068"/>
</file>

<file path=xl/ctrlProps/ctrlProp106.xml><?xml version="1.0" encoding="utf-8"?>
<formControlPr xmlns="http://schemas.microsoft.com/office/spreadsheetml/2009/9/main" objectType="Spin" dx="39" fmlaLink="$Q$77" max="30000" page="10" val="312"/>
</file>

<file path=xl/ctrlProps/ctrlProp107.xml><?xml version="1.0" encoding="utf-8"?>
<formControlPr xmlns="http://schemas.microsoft.com/office/spreadsheetml/2009/9/main" objectType="Spin" dx="39" fmlaLink="$Q$78" max="30000" page="10" val="502"/>
</file>

<file path=xl/ctrlProps/ctrlProp108.xml><?xml version="1.0" encoding="utf-8"?>
<formControlPr xmlns="http://schemas.microsoft.com/office/spreadsheetml/2009/9/main" objectType="Spin" dx="39" fmlaLink="$Q$74" max="30000" page="10" val="100"/>
</file>

<file path=xl/ctrlProps/ctrlProp109.xml><?xml version="1.0" encoding="utf-8"?>
<formControlPr xmlns="http://schemas.microsoft.com/office/spreadsheetml/2009/9/main" objectType="Spin" dx="39" fmlaLink="$Q$106" max="30000" page="10" val="999"/>
</file>

<file path=xl/ctrlProps/ctrlProp11.xml><?xml version="1.0" encoding="utf-8"?>
<formControlPr xmlns="http://schemas.microsoft.com/office/spreadsheetml/2009/9/main" objectType="Spin" dx="39" fmlaLink="$H$18" max="30000" page="10" val="144"/>
</file>

<file path=xl/ctrlProps/ctrlProp110.xml><?xml version="1.0" encoding="utf-8"?>
<formControlPr xmlns="http://schemas.microsoft.com/office/spreadsheetml/2009/9/main" objectType="Spin" dx="39" fmlaLink="$Q$107" max="30000" page="10" val="289"/>
</file>

<file path=xl/ctrlProps/ctrlProp111.xml><?xml version="1.0" encoding="utf-8"?>
<formControlPr xmlns="http://schemas.microsoft.com/office/spreadsheetml/2009/9/main" objectType="Spin" dx="39" fmlaLink="$Q$108" max="30000" page="10" val="469"/>
</file>

<file path=xl/ctrlProps/ctrlProp112.xml><?xml version="1.0" encoding="utf-8"?>
<formControlPr xmlns="http://schemas.microsoft.com/office/spreadsheetml/2009/9/main" objectType="Spin" dx="39" fmlaLink="$Q$104" max="30000" page="10" val="100"/>
</file>

<file path=xl/ctrlProps/ctrlProp113.xml><?xml version="1.0" encoding="utf-8"?>
<formControlPr xmlns="http://schemas.microsoft.com/office/spreadsheetml/2009/9/main" objectType="Spin" dx="39" fmlaLink="$D$136" max="30000" page="10" val="500"/>
</file>

<file path=xl/ctrlProps/ctrlProp114.xml><?xml version="1.0" encoding="utf-8"?>
<formControlPr xmlns="http://schemas.microsoft.com/office/spreadsheetml/2009/9/main" objectType="Spin" dx="39" fmlaLink="$D$137" max="30000" page="10" val="4000"/>
</file>

<file path=xl/ctrlProps/ctrlProp115.xml><?xml version="1.0" encoding="utf-8"?>
<formControlPr xmlns="http://schemas.microsoft.com/office/spreadsheetml/2009/9/main" objectType="Spin" dx="39" fmlaLink="$D$138" max="30000" page="10" val="400"/>
</file>

<file path=xl/ctrlProps/ctrlProp116.xml><?xml version="1.0" encoding="utf-8"?>
<formControlPr xmlns="http://schemas.microsoft.com/office/spreadsheetml/2009/9/main" objectType="Spin" dx="39" fmlaLink="$D$139" max="30000" page="10" val="2500"/>
</file>

<file path=xl/ctrlProps/ctrlProp117.xml><?xml version="1.0" encoding="utf-8"?>
<formControlPr xmlns="http://schemas.microsoft.com/office/spreadsheetml/2009/9/main" objectType="Spin" dx="39" fmlaLink="$D$140" max="30000" page="10" val="1500"/>
</file>

<file path=xl/ctrlProps/ctrlProp118.xml><?xml version="1.0" encoding="utf-8"?>
<formControlPr xmlns="http://schemas.microsoft.com/office/spreadsheetml/2009/9/main" objectType="Spin" dx="39" fmlaLink="$D$141" max="30000" page="10" val="700"/>
</file>

<file path=xl/ctrlProps/ctrlProp119.xml><?xml version="1.0" encoding="utf-8"?>
<formControlPr xmlns="http://schemas.microsoft.com/office/spreadsheetml/2009/9/main" objectType="Spin" dx="39" fmlaLink="$D$142" max="30000" page="10" val="200"/>
</file>

<file path=xl/ctrlProps/ctrlProp12.xml><?xml version="1.0" encoding="utf-8"?>
<formControlPr xmlns="http://schemas.microsoft.com/office/spreadsheetml/2009/9/main" objectType="Spin" dx="39" fmlaLink="$H$19" max="30000" page="10" val="65"/>
</file>

<file path=xl/ctrlProps/ctrlProp120.xml><?xml version="1.0" encoding="utf-8"?>
<formControlPr xmlns="http://schemas.microsoft.com/office/spreadsheetml/2009/9/main" objectType="Spin" dx="39" fmlaLink="$D$143" max="30000" page="10" val="200"/>
</file>

<file path=xl/ctrlProps/ctrlProp121.xml><?xml version="1.0" encoding="utf-8"?>
<formControlPr xmlns="http://schemas.microsoft.com/office/spreadsheetml/2009/9/main" objectType="Spin" dx="39" fmlaLink="$H$136" max="30000" page="10" val="179"/>
</file>

<file path=xl/ctrlProps/ctrlProp122.xml><?xml version="1.0" encoding="utf-8"?>
<formControlPr xmlns="http://schemas.microsoft.com/office/spreadsheetml/2009/9/main" objectType="Spin" dx="39" fmlaLink="$H$137" max="30000" page="10" val="65"/>
</file>

<file path=xl/ctrlProps/ctrlProp123.xml><?xml version="1.0" encoding="utf-8"?>
<formControlPr xmlns="http://schemas.microsoft.com/office/spreadsheetml/2009/9/main" objectType="Spin" dx="39" fmlaLink="$H$138" max="30000" page="10" val="165"/>
</file>

<file path=xl/ctrlProps/ctrlProp124.xml><?xml version="1.0" encoding="utf-8"?>
<formControlPr xmlns="http://schemas.microsoft.com/office/spreadsheetml/2009/9/main" objectType="Spin" dx="39" fmlaLink="$H$139" max="30000" page="10" val="65"/>
</file>

<file path=xl/ctrlProps/ctrlProp125.xml><?xml version="1.0" encoding="utf-8"?>
<formControlPr xmlns="http://schemas.microsoft.com/office/spreadsheetml/2009/9/main" objectType="Spin" dx="39" fmlaLink="$H$140" max="30000" page="10" val="165"/>
</file>

<file path=xl/ctrlProps/ctrlProp126.xml><?xml version="1.0" encoding="utf-8"?>
<formControlPr xmlns="http://schemas.microsoft.com/office/spreadsheetml/2009/9/main" objectType="Spin" dx="39" fmlaLink="$H$141" max="30000" page="10" val="65"/>
</file>

<file path=xl/ctrlProps/ctrlProp127.xml><?xml version="1.0" encoding="utf-8"?>
<formControlPr xmlns="http://schemas.microsoft.com/office/spreadsheetml/2009/9/main" objectType="Spin" dx="39" fmlaLink="$H$142" max="30000" page="10" val="295"/>
</file>

<file path=xl/ctrlProps/ctrlProp128.xml><?xml version="1.0" encoding="utf-8"?>
<formControlPr xmlns="http://schemas.microsoft.com/office/spreadsheetml/2009/9/main" objectType="Spin" dx="39" fmlaLink="$H$143" max="30000" page="10" val="295"/>
</file>

<file path=xl/ctrlProps/ctrlProp129.xml><?xml version="1.0" encoding="utf-8"?>
<formControlPr xmlns="http://schemas.microsoft.com/office/spreadsheetml/2009/9/main" objectType="Spin" dx="39" fmlaLink="$L$136" max="30000" page="10" val="170"/>
</file>

<file path=xl/ctrlProps/ctrlProp13.xml><?xml version="1.0" encoding="utf-8"?>
<formControlPr xmlns="http://schemas.microsoft.com/office/spreadsheetml/2009/9/main" objectType="Spin" dx="39" fmlaLink="$H$20" max="30000" page="10" val="149"/>
</file>

<file path=xl/ctrlProps/ctrlProp130.xml><?xml version="1.0" encoding="utf-8"?>
<formControlPr xmlns="http://schemas.microsoft.com/office/spreadsheetml/2009/9/main" objectType="Spin" dx="39" fmlaLink="$L$137" max="30000" page="10" val="28"/>
</file>

<file path=xl/ctrlProps/ctrlProp131.xml><?xml version="1.0" encoding="utf-8"?>
<formControlPr xmlns="http://schemas.microsoft.com/office/spreadsheetml/2009/9/main" objectType="Spin" dx="39" fmlaLink="$L$138" max="30000" page="10" val="50"/>
</file>

<file path=xl/ctrlProps/ctrlProp132.xml><?xml version="1.0" encoding="utf-8"?>
<formControlPr xmlns="http://schemas.microsoft.com/office/spreadsheetml/2009/9/main" objectType="Spin" dx="39" fmlaLink="$L$139" max="30000" page="10" val="66"/>
</file>

<file path=xl/ctrlProps/ctrlProp133.xml><?xml version="1.0" encoding="utf-8"?>
<formControlPr xmlns="http://schemas.microsoft.com/office/spreadsheetml/2009/9/main" objectType="Spin" dx="39" fmlaLink="$L$140" max="30000" page="10" val="70"/>
</file>

<file path=xl/ctrlProps/ctrlProp134.xml><?xml version="1.0" encoding="utf-8"?>
<formControlPr xmlns="http://schemas.microsoft.com/office/spreadsheetml/2009/9/main" objectType="Spin" dx="39" fmlaLink="$L$141" max="30000" page="10" val="55"/>
</file>

<file path=xl/ctrlProps/ctrlProp135.xml><?xml version="1.0" encoding="utf-8"?>
<formControlPr xmlns="http://schemas.microsoft.com/office/spreadsheetml/2009/9/main" objectType="Spin" dx="39" fmlaLink="$L$142" max="30000" page="10" val="260"/>
</file>

<file path=xl/ctrlProps/ctrlProp136.xml><?xml version="1.0" encoding="utf-8"?>
<formControlPr xmlns="http://schemas.microsoft.com/office/spreadsheetml/2009/9/main" objectType="Spin" dx="39" fmlaLink="$L$143" max="30000" page="10" val="260"/>
</file>

<file path=xl/ctrlProps/ctrlProp137.xml><?xml version="1.0" encoding="utf-8"?>
<formControlPr xmlns="http://schemas.microsoft.com/office/spreadsheetml/2009/9/main" objectType="Spin" dx="39" fmlaLink="$Q$136" max="30000" page="10" val="1066"/>
</file>

<file path=xl/ctrlProps/ctrlProp138.xml><?xml version="1.0" encoding="utf-8"?>
<formControlPr xmlns="http://schemas.microsoft.com/office/spreadsheetml/2009/9/main" objectType="Spin" dx="39" fmlaLink="$Q$137" max="30000" page="10" val="312"/>
</file>

<file path=xl/ctrlProps/ctrlProp139.xml><?xml version="1.0" encoding="utf-8"?>
<formControlPr xmlns="http://schemas.microsoft.com/office/spreadsheetml/2009/9/main" objectType="Spin" dx="39" fmlaLink="$Q$138" max="30000" page="10" val="502"/>
</file>

<file path=xl/ctrlProps/ctrlProp14.xml><?xml version="1.0" encoding="utf-8"?>
<formControlPr xmlns="http://schemas.microsoft.com/office/spreadsheetml/2009/9/main" objectType="Spin" dx="39" fmlaLink="$H$21" max="30000" page="10" val="65"/>
</file>

<file path=xl/ctrlProps/ctrlProp140.xml><?xml version="1.0" encoding="utf-8"?>
<formControlPr xmlns="http://schemas.microsoft.com/office/spreadsheetml/2009/9/main" objectType="Spin" dx="39" fmlaLink="$Q$134" max="30000" page="10" val="100"/>
</file>

<file path=xl/ctrlProps/ctrlProp141.xml><?xml version="1.0" encoding="utf-8"?>
<formControlPr xmlns="http://schemas.microsoft.com/office/spreadsheetml/2009/9/main" objectType="Spin" dx="39" fmlaLink="$Q$164" max="30000" page="10" val="85"/>
</file>

<file path=xl/ctrlProps/ctrlProp142.xml><?xml version="1.0" encoding="utf-8"?>
<formControlPr xmlns="http://schemas.microsoft.com/office/spreadsheetml/2009/9/main" objectType="Spin" dx="39" fmlaLink="$D$202" max="30000" page="10" val="233"/>
</file>

<file path=xl/ctrlProps/ctrlProp143.xml><?xml version="1.0" encoding="utf-8"?>
<formControlPr xmlns="http://schemas.microsoft.com/office/spreadsheetml/2009/9/main" objectType="Spin" dx="39" fmlaLink="$D$82" max="30000" page="10" val="248"/>
</file>

<file path=xl/ctrlProps/ctrlProp144.xml><?xml version="1.0" encoding="utf-8"?>
<formControlPr xmlns="http://schemas.microsoft.com/office/spreadsheetml/2009/9/main" objectType="Spin" dx="39" fmlaLink="$D$200" max="30000" page="10" val="601"/>
</file>

<file path=xl/ctrlProps/ctrlProp145.xml><?xml version="1.0" encoding="utf-8"?>
<formControlPr xmlns="http://schemas.microsoft.com/office/spreadsheetml/2009/9/main" objectType="Spin" dx="39" fmlaLink="$D$199" max="30000" page="10" val="2545"/>
</file>

<file path=xl/ctrlProps/ctrlProp146.xml><?xml version="1.0" encoding="utf-8"?>
<formControlPr xmlns="http://schemas.microsoft.com/office/spreadsheetml/2009/9/main" objectType="Spin" dx="39" fmlaLink="$D$198" max="30000" page="10" val="2256"/>
</file>

<file path=xl/ctrlProps/ctrlProp147.xml><?xml version="1.0" encoding="utf-8"?>
<formControlPr xmlns="http://schemas.microsoft.com/office/spreadsheetml/2009/9/main" objectType="Spin" dx="39" fmlaLink="$D$197" max="30000" page="10" val="406"/>
</file>

<file path=xl/ctrlProps/ctrlProp148.xml><?xml version="1.0" encoding="utf-8"?>
<formControlPr xmlns="http://schemas.microsoft.com/office/spreadsheetml/2009/9/main" objectType="Spin" dx="39" fmlaLink="$D$196" max="30000" page="10" val="3207"/>
</file>

<file path=xl/ctrlProps/ctrlProp149.xml><?xml version="1.0" encoding="utf-8"?>
<formControlPr xmlns="http://schemas.microsoft.com/office/spreadsheetml/2009/9/main" objectType="Spin" dx="39" fmlaLink="$D$195" max="30000" page="10" val="505"/>
</file>

<file path=xl/ctrlProps/ctrlProp15.xml><?xml version="1.0" encoding="utf-8"?>
<formControlPr xmlns="http://schemas.microsoft.com/office/spreadsheetml/2009/9/main" objectType="Spin" dx="39" fmlaLink="$H$22" max="30000" page="10" val="145"/>
</file>

<file path=xl/ctrlProps/ctrlProp150.xml><?xml version="1.0" encoding="utf-8"?>
<formControlPr xmlns="http://schemas.microsoft.com/office/spreadsheetml/2009/9/main" objectType="Spin" dx="39" fmlaLink="$H$195" max="30000" page="10" val="179"/>
</file>

<file path=xl/ctrlProps/ctrlProp151.xml><?xml version="1.0" encoding="utf-8"?>
<formControlPr xmlns="http://schemas.microsoft.com/office/spreadsheetml/2009/9/main" objectType="Spin" dx="39" fmlaLink="$H$196" max="30000" page="10" val="65"/>
</file>

<file path=xl/ctrlProps/ctrlProp152.xml><?xml version="1.0" encoding="utf-8"?>
<formControlPr xmlns="http://schemas.microsoft.com/office/spreadsheetml/2009/9/main" objectType="Spin" dx="39" fmlaLink="$H$197" max="30000" page="10" val="165"/>
</file>

<file path=xl/ctrlProps/ctrlProp153.xml><?xml version="1.0" encoding="utf-8"?>
<formControlPr xmlns="http://schemas.microsoft.com/office/spreadsheetml/2009/9/main" objectType="Spin" dx="39" fmlaLink="$H$198" max="30000" page="10" val="65"/>
</file>

<file path=xl/ctrlProps/ctrlProp154.xml><?xml version="1.0" encoding="utf-8"?>
<formControlPr xmlns="http://schemas.microsoft.com/office/spreadsheetml/2009/9/main" objectType="Spin" dx="39" fmlaLink="$H$199" max="30000" page="10" val="165"/>
</file>

<file path=xl/ctrlProps/ctrlProp155.xml><?xml version="1.0" encoding="utf-8"?>
<formControlPr xmlns="http://schemas.microsoft.com/office/spreadsheetml/2009/9/main" objectType="Spin" dx="39" fmlaLink="$H$200" max="30000" page="10" val="65"/>
</file>

<file path=xl/ctrlProps/ctrlProp156.xml><?xml version="1.0" encoding="utf-8"?>
<formControlPr xmlns="http://schemas.microsoft.com/office/spreadsheetml/2009/9/main" objectType="Spin" dx="39" fmlaLink="$H$201" max="30000" page="10" val="295"/>
</file>

<file path=xl/ctrlProps/ctrlProp157.xml><?xml version="1.0" encoding="utf-8"?>
<formControlPr xmlns="http://schemas.microsoft.com/office/spreadsheetml/2009/9/main" objectType="Spin" dx="39" fmlaLink="$H$202" max="30000" page="10" val="295"/>
</file>

<file path=xl/ctrlProps/ctrlProp158.xml><?xml version="1.0" encoding="utf-8"?>
<formControlPr xmlns="http://schemas.microsoft.com/office/spreadsheetml/2009/9/main" objectType="Spin" dx="39" fmlaLink="$L$195" max="30000" page="10" val="170"/>
</file>

<file path=xl/ctrlProps/ctrlProp159.xml><?xml version="1.0" encoding="utf-8"?>
<formControlPr xmlns="http://schemas.microsoft.com/office/spreadsheetml/2009/9/main" objectType="Spin" dx="39" fmlaLink="$L$196" max="30000" page="10" val="28"/>
</file>

<file path=xl/ctrlProps/ctrlProp16.xml><?xml version="1.0" encoding="utf-8"?>
<formControlPr xmlns="http://schemas.microsoft.com/office/spreadsheetml/2009/9/main" objectType="Spin" dx="39" fmlaLink="$H$23" max="30000" page="10" val="140"/>
</file>

<file path=xl/ctrlProps/ctrlProp160.xml><?xml version="1.0" encoding="utf-8"?>
<formControlPr xmlns="http://schemas.microsoft.com/office/spreadsheetml/2009/9/main" objectType="Spin" dx="39" fmlaLink="$L$197" max="30000" page="10" val="50"/>
</file>

<file path=xl/ctrlProps/ctrlProp161.xml><?xml version="1.0" encoding="utf-8"?>
<formControlPr xmlns="http://schemas.microsoft.com/office/spreadsheetml/2009/9/main" objectType="Spin" dx="39" fmlaLink="$L$198" max="30000" page="10" val="66"/>
</file>

<file path=xl/ctrlProps/ctrlProp162.xml><?xml version="1.0" encoding="utf-8"?>
<formControlPr xmlns="http://schemas.microsoft.com/office/spreadsheetml/2009/9/main" objectType="Spin" dx="39" fmlaLink="$L$199" max="30000" page="10" val="70"/>
</file>

<file path=xl/ctrlProps/ctrlProp163.xml><?xml version="1.0" encoding="utf-8"?>
<formControlPr xmlns="http://schemas.microsoft.com/office/spreadsheetml/2009/9/main" objectType="Spin" dx="39" fmlaLink="$L$200" max="30000" page="10" val="55"/>
</file>

<file path=xl/ctrlProps/ctrlProp164.xml><?xml version="1.0" encoding="utf-8"?>
<formControlPr xmlns="http://schemas.microsoft.com/office/spreadsheetml/2009/9/main" objectType="Spin" dx="39" fmlaLink="$L$201" max="30000" page="10" val="260"/>
</file>

<file path=xl/ctrlProps/ctrlProp165.xml><?xml version="1.0" encoding="utf-8"?>
<formControlPr xmlns="http://schemas.microsoft.com/office/spreadsheetml/2009/9/main" objectType="Spin" dx="39" fmlaLink="$L$202" max="30000" page="10" val="260"/>
</file>

<file path=xl/ctrlProps/ctrlProp166.xml><?xml version="1.0" encoding="utf-8"?>
<formControlPr xmlns="http://schemas.microsoft.com/office/spreadsheetml/2009/9/main" objectType="Spin" dx="39" fmlaLink="$Q$195" max="30000" page="10" val="500"/>
</file>

<file path=xl/ctrlProps/ctrlProp167.xml><?xml version="1.0" encoding="utf-8"?>
<formControlPr xmlns="http://schemas.microsoft.com/office/spreadsheetml/2009/9/main" objectType="Spin" dx="39" fmlaLink="$Q$196" max="30000" page="10" val="150"/>
</file>

<file path=xl/ctrlProps/ctrlProp168.xml><?xml version="1.0" encoding="utf-8"?>
<formControlPr xmlns="http://schemas.microsoft.com/office/spreadsheetml/2009/9/main" objectType="Spin" dx="39" fmlaLink="$Q$197" max="30000" page="10" val="250"/>
</file>

<file path=xl/ctrlProps/ctrlProp169.xml><?xml version="1.0" encoding="utf-8"?>
<formControlPr xmlns="http://schemas.microsoft.com/office/spreadsheetml/2009/9/main" objectType="Spin" dx="39" fmlaLink="$Q$193" max="30000" page="10" val="100"/>
</file>

<file path=xl/ctrlProps/ctrlProp17.xml><?xml version="1.0" encoding="utf-8"?>
<formControlPr xmlns="http://schemas.microsoft.com/office/spreadsheetml/2009/9/main" objectType="Spin" dx="39" fmlaLink="$L$16" max="30000" page="10" val="170"/>
</file>

<file path=xl/ctrlProps/ctrlProp170.xml><?xml version="1.0" encoding="utf-8"?>
<formControlPr xmlns="http://schemas.microsoft.com/office/spreadsheetml/2009/9/main" objectType="Spin" dx="39" fmlaLink="$X$16" max="30000" page="10" val="140"/>
</file>

<file path=xl/ctrlProps/ctrlProp171.xml><?xml version="1.0" encoding="utf-8"?>
<formControlPr xmlns="http://schemas.microsoft.com/office/spreadsheetml/2009/9/main" objectType="Spin" dx="39" fmlaLink="$X$17" max="30000" page="10" val="3280"/>
</file>

<file path=xl/ctrlProps/ctrlProp172.xml><?xml version="1.0" encoding="utf-8"?>
<formControlPr xmlns="http://schemas.microsoft.com/office/spreadsheetml/2009/9/main" objectType="Spin" dx="39" fmlaLink="$X$18" max="30000" page="10" val="1800"/>
</file>

<file path=xl/ctrlProps/ctrlProp173.xml><?xml version="1.0" encoding="utf-8"?>
<formControlPr xmlns="http://schemas.microsoft.com/office/spreadsheetml/2009/9/main" objectType="Spin" dx="39" fmlaLink="$X$19" max="30000" page="10" val="1780"/>
</file>

<file path=xl/ctrlProps/ctrlProp174.xml><?xml version="1.0" encoding="utf-8"?>
<formControlPr xmlns="http://schemas.microsoft.com/office/spreadsheetml/2009/9/main" objectType="Spin" dx="39" fmlaLink="$X$20" max="30000" page="10" val="1500"/>
</file>

<file path=xl/ctrlProps/ctrlProp175.xml><?xml version="1.0" encoding="utf-8"?>
<formControlPr xmlns="http://schemas.microsoft.com/office/spreadsheetml/2009/9/main" objectType="Spin" dx="39" fmlaLink="$X$21" max="30000" page="10" val="1500"/>
</file>

<file path=xl/ctrlProps/ctrlProp176.xml><?xml version="1.0" encoding="utf-8"?>
<formControlPr xmlns="http://schemas.microsoft.com/office/spreadsheetml/2009/9/main" objectType="Spin" dx="39" fmlaLink="$AB$16" max="30000" page="10" val="133"/>
</file>

<file path=xl/ctrlProps/ctrlProp177.xml><?xml version="1.0" encoding="utf-8"?>
<formControlPr xmlns="http://schemas.microsoft.com/office/spreadsheetml/2009/9/main" objectType="Spin" dx="39" fmlaLink="$AB$17" max="30000" page="10" val="65"/>
</file>

<file path=xl/ctrlProps/ctrlProp178.xml><?xml version="1.0" encoding="utf-8"?>
<formControlPr xmlns="http://schemas.microsoft.com/office/spreadsheetml/2009/9/main" objectType="Spin" dx="39" fmlaLink="$AB$18" max="30000" page="10" val="122"/>
</file>

<file path=xl/ctrlProps/ctrlProp179.xml><?xml version="1.0" encoding="utf-8"?>
<formControlPr xmlns="http://schemas.microsoft.com/office/spreadsheetml/2009/9/main" objectType="Spin" dx="39" fmlaLink="$AB$19" max="30000" page="10" val="122"/>
</file>

<file path=xl/ctrlProps/ctrlProp18.xml><?xml version="1.0" encoding="utf-8"?>
<formControlPr xmlns="http://schemas.microsoft.com/office/spreadsheetml/2009/9/main" objectType="Spin" dx="39" fmlaLink="$L$17" max="30000" page="10" val="28"/>
</file>

<file path=xl/ctrlProps/ctrlProp180.xml><?xml version="1.0" encoding="utf-8"?>
<formControlPr xmlns="http://schemas.microsoft.com/office/spreadsheetml/2009/9/main" objectType="Spin" dx="39" fmlaLink="$AB$20" max="30000" page="10" val="65"/>
</file>

<file path=xl/ctrlProps/ctrlProp181.xml><?xml version="1.0" encoding="utf-8"?>
<formControlPr xmlns="http://schemas.microsoft.com/office/spreadsheetml/2009/9/main" objectType="Spin" dx="39" fmlaLink="$AB$21" max="30000" page="10" val="65"/>
</file>

<file path=xl/ctrlProps/ctrlProp182.xml><?xml version="1.0" encoding="utf-8"?>
<formControlPr xmlns="http://schemas.microsoft.com/office/spreadsheetml/2009/9/main" objectType="Spin" dx="39" fmlaLink="$AK$16" max="30000" page="10" val="476"/>
</file>

<file path=xl/ctrlProps/ctrlProp183.xml><?xml version="1.0" encoding="utf-8"?>
<formControlPr xmlns="http://schemas.microsoft.com/office/spreadsheetml/2009/9/main" objectType="Spin" dx="39" fmlaLink="$AF$16" max="30000" page="10" val="160"/>
</file>

<file path=xl/ctrlProps/ctrlProp184.xml><?xml version="1.0" encoding="utf-8"?>
<formControlPr xmlns="http://schemas.microsoft.com/office/spreadsheetml/2009/9/main" objectType="Spin" dx="39" fmlaLink="$AF$17" max="30000" page="10" val="25"/>
</file>

<file path=xl/ctrlProps/ctrlProp185.xml><?xml version="1.0" encoding="utf-8"?>
<formControlPr xmlns="http://schemas.microsoft.com/office/spreadsheetml/2009/9/main" objectType="Spin" dx="39" fmlaLink="$AF$18" max="30000" page="10" val="72"/>
</file>

<file path=xl/ctrlProps/ctrlProp186.xml><?xml version="1.0" encoding="utf-8"?>
<formControlPr xmlns="http://schemas.microsoft.com/office/spreadsheetml/2009/9/main" objectType="Spin" dx="39" fmlaLink="$AF$19" max="30000" page="10" val="72"/>
</file>

<file path=xl/ctrlProps/ctrlProp187.xml><?xml version="1.0" encoding="utf-8"?>
<formControlPr xmlns="http://schemas.microsoft.com/office/spreadsheetml/2009/9/main" objectType="Spin" dx="39" fmlaLink="$AF$20" max="30000" page="10" val="72"/>
</file>

<file path=xl/ctrlProps/ctrlProp188.xml><?xml version="1.0" encoding="utf-8"?>
<formControlPr xmlns="http://schemas.microsoft.com/office/spreadsheetml/2009/9/main" objectType="Spin" dx="39" fmlaLink="$AF$21" max="30000" page="10" val="72"/>
</file>

<file path=xl/ctrlProps/ctrlProp189.xml><?xml version="1.0" encoding="utf-8"?>
<formControlPr xmlns="http://schemas.microsoft.com/office/spreadsheetml/2009/9/main" objectType="Spin" dx="39" fmlaLink="$AK$46" max="30000" page="10" val="476"/>
</file>

<file path=xl/ctrlProps/ctrlProp19.xml><?xml version="1.0" encoding="utf-8"?>
<formControlPr xmlns="http://schemas.microsoft.com/office/spreadsheetml/2009/9/main" objectType="Spin" dx="39" fmlaLink="$L$18" max="30000" page="10" val="61"/>
</file>

<file path=xl/ctrlProps/ctrlProp190.xml><?xml version="1.0" encoding="utf-8"?>
<formControlPr xmlns="http://schemas.microsoft.com/office/spreadsheetml/2009/9/main" objectType="Spin" dx="39" fmlaLink="$AK$47" max="30000" page="10" val="98"/>
</file>

<file path=xl/ctrlProps/ctrlProp191.xml><?xml version="1.0" encoding="utf-8"?>
<formControlPr xmlns="http://schemas.microsoft.com/office/spreadsheetml/2009/9/main" objectType="Spin" dx="39" fmlaLink="$AK$48" max="30000" page="10" val="949"/>
</file>

<file path=xl/ctrlProps/ctrlProp192.xml><?xml version="1.0" encoding="utf-8"?>
<formControlPr xmlns="http://schemas.microsoft.com/office/spreadsheetml/2009/9/main" objectType="Spin" dx="39" fmlaLink="$X$46" max="30000" page="10" val="140"/>
</file>

<file path=xl/ctrlProps/ctrlProp193.xml><?xml version="1.0" encoding="utf-8"?>
<formControlPr xmlns="http://schemas.microsoft.com/office/spreadsheetml/2009/9/main" objectType="Spin" dx="39" fmlaLink="$X$47" max="30000" page="10" val="3280"/>
</file>

<file path=xl/ctrlProps/ctrlProp194.xml><?xml version="1.0" encoding="utf-8"?>
<formControlPr xmlns="http://schemas.microsoft.com/office/spreadsheetml/2009/9/main" objectType="Spin" dx="39" fmlaLink="$X$48" max="30000" page="10" val="1800"/>
</file>

<file path=xl/ctrlProps/ctrlProp195.xml><?xml version="1.0" encoding="utf-8"?>
<formControlPr xmlns="http://schemas.microsoft.com/office/spreadsheetml/2009/9/main" objectType="Spin" dx="39" fmlaLink="$X$49" max="30000" page="10" val="1780"/>
</file>

<file path=xl/ctrlProps/ctrlProp196.xml><?xml version="1.0" encoding="utf-8"?>
<formControlPr xmlns="http://schemas.microsoft.com/office/spreadsheetml/2009/9/main" objectType="Spin" dx="39" fmlaLink="$X$50" max="30000" page="10" val="1500"/>
</file>

<file path=xl/ctrlProps/ctrlProp197.xml><?xml version="1.0" encoding="utf-8"?>
<formControlPr xmlns="http://schemas.microsoft.com/office/spreadsheetml/2009/9/main" objectType="Spin" dx="39" fmlaLink="$X$51" max="30000" page="10" val="1500"/>
</file>

<file path=xl/ctrlProps/ctrlProp198.xml><?xml version="1.0" encoding="utf-8"?>
<formControlPr xmlns="http://schemas.microsoft.com/office/spreadsheetml/2009/9/main" objectType="Spin" dx="39" fmlaLink="$AB$46" max="30000" page="10" val="150"/>
</file>

<file path=xl/ctrlProps/ctrlProp199.xml><?xml version="1.0" encoding="utf-8"?>
<formControlPr xmlns="http://schemas.microsoft.com/office/spreadsheetml/2009/9/main" objectType="Spin" dx="39" fmlaLink="$AB$47" max="30000" page="10" val="65"/>
</file>

<file path=xl/ctrlProps/ctrlProp2.xml><?xml version="1.0" encoding="utf-8"?>
<formControlPr xmlns="http://schemas.microsoft.com/office/spreadsheetml/2009/9/main" objectType="Spin" dx="39" fmlaLink="$D$17" max="30000" page="10" val="3207"/>
</file>

<file path=xl/ctrlProps/ctrlProp20.xml><?xml version="1.0" encoding="utf-8"?>
<formControlPr xmlns="http://schemas.microsoft.com/office/spreadsheetml/2009/9/main" objectType="Spin" dx="39" fmlaLink="$L$19" max="30000" page="10" val="66"/>
</file>

<file path=xl/ctrlProps/ctrlProp200.xml><?xml version="1.0" encoding="utf-8"?>
<formControlPr xmlns="http://schemas.microsoft.com/office/spreadsheetml/2009/9/main" objectType="Spin" dx="39" fmlaLink="$AB$48" max="30000" page="10" val="150"/>
</file>

<file path=xl/ctrlProps/ctrlProp201.xml><?xml version="1.0" encoding="utf-8"?>
<formControlPr xmlns="http://schemas.microsoft.com/office/spreadsheetml/2009/9/main" objectType="Spin" dx="39" fmlaLink="$AB$49" max="30000" page="10" val="152"/>
</file>

<file path=xl/ctrlProps/ctrlProp202.xml><?xml version="1.0" encoding="utf-8"?>
<formControlPr xmlns="http://schemas.microsoft.com/office/spreadsheetml/2009/9/main" objectType="Spin" dx="39" fmlaLink="$AB$50" max="30000" page="10" val="65"/>
</file>

<file path=xl/ctrlProps/ctrlProp203.xml><?xml version="1.0" encoding="utf-8"?>
<formControlPr xmlns="http://schemas.microsoft.com/office/spreadsheetml/2009/9/main" objectType="Spin" dx="39" fmlaLink="$AB$51" max="30000" page="10" val="65"/>
</file>

<file path=xl/ctrlProps/ctrlProp204.xml><?xml version="1.0" encoding="utf-8"?>
<formControlPr xmlns="http://schemas.microsoft.com/office/spreadsheetml/2009/9/main" objectType="Spin" dx="39" fmlaLink="$AF$46" max="30000" page="10" val="160"/>
</file>

<file path=xl/ctrlProps/ctrlProp205.xml><?xml version="1.0" encoding="utf-8"?>
<formControlPr xmlns="http://schemas.microsoft.com/office/spreadsheetml/2009/9/main" objectType="Spin" dx="39" fmlaLink="$AF$47" max="30000" page="10" val="25"/>
</file>

<file path=xl/ctrlProps/ctrlProp206.xml><?xml version="1.0" encoding="utf-8"?>
<formControlPr xmlns="http://schemas.microsoft.com/office/spreadsheetml/2009/9/main" objectType="Spin" dx="39" fmlaLink="$AF$48" max="30000" page="10" val="72"/>
</file>

<file path=xl/ctrlProps/ctrlProp207.xml><?xml version="1.0" encoding="utf-8"?>
<formControlPr xmlns="http://schemas.microsoft.com/office/spreadsheetml/2009/9/main" objectType="Spin" dx="39" fmlaLink="$AF$49" max="30000" page="10" val="72"/>
</file>

<file path=xl/ctrlProps/ctrlProp208.xml><?xml version="1.0" encoding="utf-8"?>
<formControlPr xmlns="http://schemas.microsoft.com/office/spreadsheetml/2009/9/main" objectType="Spin" dx="39" fmlaLink="$AF$50" max="30000" page="10" val="72"/>
</file>

<file path=xl/ctrlProps/ctrlProp209.xml><?xml version="1.0" encoding="utf-8"?>
<formControlPr xmlns="http://schemas.microsoft.com/office/spreadsheetml/2009/9/main" objectType="Spin" dx="39" fmlaLink="$AF$51" max="30000" page="10" val="73"/>
</file>

<file path=xl/ctrlProps/ctrlProp21.xml><?xml version="1.0" encoding="utf-8"?>
<formControlPr xmlns="http://schemas.microsoft.com/office/spreadsheetml/2009/9/main" objectType="Spin" dx="39" fmlaLink="$L$20" max="30000" page="10" val="101"/>
</file>

<file path=xl/ctrlProps/ctrlProp210.xml><?xml version="1.0" encoding="utf-8"?>
<formControlPr xmlns="http://schemas.microsoft.com/office/spreadsheetml/2009/9/main" objectType="Spin" dx="39" fmlaLink="$X$76" max="30000" page="10" val="140"/>
</file>

<file path=xl/ctrlProps/ctrlProp211.xml><?xml version="1.0" encoding="utf-8"?>
<formControlPr xmlns="http://schemas.microsoft.com/office/spreadsheetml/2009/9/main" objectType="Spin" dx="39" fmlaLink="$X$77" max="30000" page="10" val="3280"/>
</file>

<file path=xl/ctrlProps/ctrlProp212.xml><?xml version="1.0" encoding="utf-8"?>
<formControlPr xmlns="http://schemas.microsoft.com/office/spreadsheetml/2009/9/main" objectType="Spin" dx="39" fmlaLink="$X$78" max="30000" page="10" val="1801"/>
</file>

<file path=xl/ctrlProps/ctrlProp213.xml><?xml version="1.0" encoding="utf-8"?>
<formControlPr xmlns="http://schemas.microsoft.com/office/spreadsheetml/2009/9/main" objectType="Spin" dx="39" fmlaLink="$X$79" max="30000" page="10" val="1780"/>
</file>

<file path=xl/ctrlProps/ctrlProp214.xml><?xml version="1.0" encoding="utf-8"?>
<formControlPr xmlns="http://schemas.microsoft.com/office/spreadsheetml/2009/9/main" objectType="Spin" dx="39" fmlaLink="$X$80" max="30000" page="10" val="1500"/>
</file>

<file path=xl/ctrlProps/ctrlProp215.xml><?xml version="1.0" encoding="utf-8"?>
<formControlPr xmlns="http://schemas.microsoft.com/office/spreadsheetml/2009/9/main" objectType="Spin" dx="39" fmlaLink="$X$81" max="30000" page="10" val="1500"/>
</file>

<file path=xl/ctrlProps/ctrlProp216.xml><?xml version="1.0" encoding="utf-8"?>
<formControlPr xmlns="http://schemas.microsoft.com/office/spreadsheetml/2009/9/main" objectType="Spin" dx="39" fmlaLink="$AB$76" max="30000" page="10" val="150"/>
</file>

<file path=xl/ctrlProps/ctrlProp217.xml><?xml version="1.0" encoding="utf-8"?>
<formControlPr xmlns="http://schemas.microsoft.com/office/spreadsheetml/2009/9/main" objectType="Spin" dx="39" fmlaLink="$AB$77" max="30000" page="10" val="65"/>
</file>

<file path=xl/ctrlProps/ctrlProp218.xml><?xml version="1.0" encoding="utf-8"?>
<formControlPr xmlns="http://schemas.microsoft.com/office/spreadsheetml/2009/9/main" objectType="Spin" dx="39" fmlaLink="$AB$78" max="30000" page="10" val="150"/>
</file>

<file path=xl/ctrlProps/ctrlProp219.xml><?xml version="1.0" encoding="utf-8"?>
<formControlPr xmlns="http://schemas.microsoft.com/office/spreadsheetml/2009/9/main" objectType="Spin" dx="39" fmlaLink="$AB$79" max="30000" page="10" val="152"/>
</file>

<file path=xl/ctrlProps/ctrlProp22.xml><?xml version="1.0" encoding="utf-8"?>
<formControlPr xmlns="http://schemas.microsoft.com/office/spreadsheetml/2009/9/main" objectType="Spin" dx="39" fmlaLink="$L$21" max="30000" page="10" val="55"/>
</file>

<file path=xl/ctrlProps/ctrlProp220.xml><?xml version="1.0" encoding="utf-8"?>
<formControlPr xmlns="http://schemas.microsoft.com/office/spreadsheetml/2009/9/main" objectType="Spin" dx="39" fmlaLink="$AB$80" max="30000" page="10" val="65"/>
</file>

<file path=xl/ctrlProps/ctrlProp221.xml><?xml version="1.0" encoding="utf-8"?>
<formControlPr xmlns="http://schemas.microsoft.com/office/spreadsheetml/2009/9/main" objectType="Spin" dx="39" fmlaLink="$AB$81" max="30000" page="10" val="65"/>
</file>

<file path=xl/ctrlProps/ctrlProp222.xml><?xml version="1.0" encoding="utf-8"?>
<formControlPr xmlns="http://schemas.microsoft.com/office/spreadsheetml/2009/9/main" objectType="Spin" dx="39" fmlaLink="$AF$76" max="30000" page="10" val="160"/>
</file>

<file path=xl/ctrlProps/ctrlProp223.xml><?xml version="1.0" encoding="utf-8"?>
<formControlPr xmlns="http://schemas.microsoft.com/office/spreadsheetml/2009/9/main" objectType="Spin" dx="39" fmlaLink="$AF$77" max="30000" page="10" val="25"/>
</file>

<file path=xl/ctrlProps/ctrlProp224.xml><?xml version="1.0" encoding="utf-8"?>
<formControlPr xmlns="http://schemas.microsoft.com/office/spreadsheetml/2009/9/main" objectType="Spin" dx="39" fmlaLink="$AF$78" max="30000" page="10" val="50"/>
</file>

<file path=xl/ctrlProps/ctrlProp225.xml><?xml version="1.0" encoding="utf-8"?>
<formControlPr xmlns="http://schemas.microsoft.com/office/spreadsheetml/2009/9/main" objectType="Spin" dx="39" fmlaLink="$AF$79" max="30000" page="10" val="50"/>
</file>

<file path=xl/ctrlProps/ctrlProp226.xml><?xml version="1.0" encoding="utf-8"?>
<formControlPr xmlns="http://schemas.microsoft.com/office/spreadsheetml/2009/9/main" objectType="Spin" dx="39" fmlaLink="$AF$80" max="30000" page="10" val="72"/>
</file>

<file path=xl/ctrlProps/ctrlProp227.xml><?xml version="1.0" encoding="utf-8"?>
<formControlPr xmlns="http://schemas.microsoft.com/office/spreadsheetml/2009/9/main" objectType="Spin" dx="39" fmlaLink="$AF$81" max="30000" page="10" val="72"/>
</file>

<file path=xl/ctrlProps/ctrlProp228.xml><?xml version="1.0" encoding="utf-8"?>
<formControlPr xmlns="http://schemas.microsoft.com/office/spreadsheetml/2009/9/main" objectType="Spin" dx="39" fmlaLink="$AK$76" max="30000" page="10" val="477"/>
</file>

<file path=xl/ctrlProps/ctrlProp229.xml><?xml version="1.0" encoding="utf-8"?>
<formControlPr xmlns="http://schemas.microsoft.com/office/spreadsheetml/2009/9/main" objectType="Spin" dx="39" fmlaLink="$AK$77" max="30000" page="10" val="98"/>
</file>

<file path=xl/ctrlProps/ctrlProp23.xml><?xml version="1.0" encoding="utf-8"?>
<formControlPr xmlns="http://schemas.microsoft.com/office/spreadsheetml/2009/9/main" objectType="Spin" dx="39" fmlaLink="$L$22" max="30000" page="10" val="293"/>
</file>

<file path=xl/ctrlProps/ctrlProp230.xml><?xml version="1.0" encoding="utf-8"?>
<formControlPr xmlns="http://schemas.microsoft.com/office/spreadsheetml/2009/9/main" objectType="Spin" dx="39" fmlaLink="$AK$78" max="30000" page="10" val="949"/>
</file>

<file path=xl/ctrlProps/ctrlProp231.xml><?xml version="1.0" encoding="utf-8"?>
<formControlPr xmlns="http://schemas.microsoft.com/office/spreadsheetml/2009/9/main" objectType="Spin" dx="39" fmlaLink="$X$136" max="30000" page="10" val="140"/>
</file>

<file path=xl/ctrlProps/ctrlProp232.xml><?xml version="1.0" encoding="utf-8"?>
<formControlPr xmlns="http://schemas.microsoft.com/office/spreadsheetml/2009/9/main" objectType="Spin" dx="39" fmlaLink="$X$137" max="30000" page="10" val="4000"/>
</file>

<file path=xl/ctrlProps/ctrlProp233.xml><?xml version="1.0" encoding="utf-8"?>
<formControlPr xmlns="http://schemas.microsoft.com/office/spreadsheetml/2009/9/main" objectType="Spin" dx="39" fmlaLink="$X$138" max="30000" page="10" val="1000"/>
</file>

<file path=xl/ctrlProps/ctrlProp234.xml><?xml version="1.0" encoding="utf-8"?>
<formControlPr xmlns="http://schemas.microsoft.com/office/spreadsheetml/2009/9/main" objectType="Spin" dx="39" fmlaLink="$X$139" max="30000" page="10" val="1000"/>
</file>

<file path=xl/ctrlProps/ctrlProp235.xml><?xml version="1.0" encoding="utf-8"?>
<formControlPr xmlns="http://schemas.microsoft.com/office/spreadsheetml/2009/9/main" objectType="Spin" dx="39" fmlaLink="$X$140" max="30000" page="10" val="1900"/>
</file>

<file path=xl/ctrlProps/ctrlProp236.xml><?xml version="1.0" encoding="utf-8"?>
<formControlPr xmlns="http://schemas.microsoft.com/office/spreadsheetml/2009/9/main" objectType="Spin" dx="39" fmlaLink="$X$141" max="30000" page="10" val="1960"/>
</file>

<file path=xl/ctrlProps/ctrlProp237.xml><?xml version="1.0" encoding="utf-8"?>
<formControlPr xmlns="http://schemas.microsoft.com/office/spreadsheetml/2009/9/main" objectType="Spin" dx="39" fmlaLink="$AB$136" max="30000" page="10" val="150"/>
</file>

<file path=xl/ctrlProps/ctrlProp238.xml><?xml version="1.0" encoding="utf-8"?>
<formControlPr xmlns="http://schemas.microsoft.com/office/spreadsheetml/2009/9/main" objectType="Spin" dx="39" fmlaLink="$AB$137" max="30000" page="10" val="65"/>
</file>

<file path=xl/ctrlProps/ctrlProp239.xml><?xml version="1.0" encoding="utf-8"?>
<formControlPr xmlns="http://schemas.microsoft.com/office/spreadsheetml/2009/9/main" objectType="Spin" dx="39" fmlaLink="$AB$138" max="30000" page="10" val="150"/>
</file>

<file path=xl/ctrlProps/ctrlProp24.xml><?xml version="1.0" encoding="utf-8"?>
<formControlPr xmlns="http://schemas.microsoft.com/office/spreadsheetml/2009/9/main" objectType="Spin" dx="39" fmlaLink="$L$23" max="30000" page="10" val="285"/>
</file>

<file path=xl/ctrlProps/ctrlProp240.xml><?xml version="1.0" encoding="utf-8"?>
<formControlPr xmlns="http://schemas.microsoft.com/office/spreadsheetml/2009/9/main" objectType="Spin" dx="39" fmlaLink="$AB$139" max="30000" page="10" val="152"/>
</file>

<file path=xl/ctrlProps/ctrlProp241.xml><?xml version="1.0" encoding="utf-8"?>
<formControlPr xmlns="http://schemas.microsoft.com/office/spreadsheetml/2009/9/main" objectType="Spin" dx="39" fmlaLink="$AB$140" max="30000" page="10" val="65"/>
</file>

<file path=xl/ctrlProps/ctrlProp242.xml><?xml version="1.0" encoding="utf-8"?>
<formControlPr xmlns="http://schemas.microsoft.com/office/spreadsheetml/2009/9/main" objectType="Spin" dx="39" fmlaLink="$AB$141" max="30000" page="10" val="65"/>
</file>

<file path=xl/ctrlProps/ctrlProp243.xml><?xml version="1.0" encoding="utf-8"?>
<formControlPr xmlns="http://schemas.microsoft.com/office/spreadsheetml/2009/9/main" objectType="Spin" dx="39" fmlaLink="$AF$136" max="30000" page="10" val="160"/>
</file>

<file path=xl/ctrlProps/ctrlProp244.xml><?xml version="1.0" encoding="utf-8"?>
<formControlPr xmlns="http://schemas.microsoft.com/office/spreadsheetml/2009/9/main" objectType="Spin" dx="39" fmlaLink="$AF$137" max="30000" page="10" val="25"/>
</file>

<file path=xl/ctrlProps/ctrlProp245.xml><?xml version="1.0" encoding="utf-8"?>
<formControlPr xmlns="http://schemas.microsoft.com/office/spreadsheetml/2009/9/main" objectType="Spin" dx="39" fmlaLink="$AF$138" max="30000" page="10" val="50"/>
</file>

<file path=xl/ctrlProps/ctrlProp246.xml><?xml version="1.0" encoding="utf-8"?>
<formControlPr xmlns="http://schemas.microsoft.com/office/spreadsheetml/2009/9/main" objectType="Spin" dx="39" fmlaLink="$AF$139" max="30000" page="10" val="50"/>
</file>

<file path=xl/ctrlProps/ctrlProp247.xml><?xml version="1.0" encoding="utf-8"?>
<formControlPr xmlns="http://schemas.microsoft.com/office/spreadsheetml/2009/9/main" objectType="Spin" dx="39" fmlaLink="$AF$140" max="30000" page="10" val="72"/>
</file>

<file path=xl/ctrlProps/ctrlProp248.xml><?xml version="1.0" encoding="utf-8"?>
<formControlPr xmlns="http://schemas.microsoft.com/office/spreadsheetml/2009/9/main" objectType="Spin" dx="39" fmlaLink="$AF$141" max="30000" page="10" val="72"/>
</file>

<file path=xl/ctrlProps/ctrlProp249.xml><?xml version="1.0" encoding="utf-8"?>
<formControlPr xmlns="http://schemas.microsoft.com/office/spreadsheetml/2009/9/main" objectType="Spin" dx="39" fmlaLink="$AK$136" max="30000" page="10" val="476"/>
</file>

<file path=xl/ctrlProps/ctrlProp25.xml><?xml version="1.0" encoding="utf-8"?>
<formControlPr xmlns="http://schemas.microsoft.com/office/spreadsheetml/2009/9/main" objectType="Spin" dx="39" fmlaLink="$D$46" max="30000" page="10" val="505"/>
</file>

<file path=xl/ctrlProps/ctrlProp250.xml><?xml version="1.0" encoding="utf-8"?>
<formControlPr xmlns="http://schemas.microsoft.com/office/spreadsheetml/2009/9/main" objectType="Spin" dx="39" fmlaLink="$AK$137" max="30000" page="10" val="99"/>
</file>

<file path=xl/ctrlProps/ctrlProp251.xml><?xml version="1.0" encoding="utf-8"?>
<formControlPr xmlns="http://schemas.microsoft.com/office/spreadsheetml/2009/9/main" objectType="Spin" dx="39" fmlaLink="$AK$138" max="30000" page="10" val="951"/>
</file>

<file path=xl/ctrlProps/ctrlProp252.xml><?xml version="1.0" encoding="utf-8"?>
<formControlPr xmlns="http://schemas.microsoft.com/office/spreadsheetml/2009/9/main" objectType="Spin" dx="39" fmlaLink="$D$166" max="30000" page="10" val="500"/>
</file>

<file path=xl/ctrlProps/ctrlProp253.xml><?xml version="1.0" encoding="utf-8"?>
<formControlPr xmlns="http://schemas.microsoft.com/office/spreadsheetml/2009/9/main" objectType="Spin" dx="39" fmlaLink="$D$168" max="30000" page="10" val="400"/>
</file>

<file path=xl/ctrlProps/ctrlProp254.xml><?xml version="1.0" encoding="utf-8"?>
<formControlPr xmlns="http://schemas.microsoft.com/office/spreadsheetml/2009/9/main" objectType="Spin" dx="39" fmlaLink="$D$169" max="30000" page="10" val="2500"/>
</file>

<file path=xl/ctrlProps/ctrlProp255.xml><?xml version="1.0" encoding="utf-8"?>
<formControlPr xmlns="http://schemas.microsoft.com/office/spreadsheetml/2009/9/main" objectType="Spin" dx="39" fmlaLink="$D$170" max="30000" page="10" val="1500"/>
</file>

<file path=xl/ctrlProps/ctrlProp256.xml><?xml version="1.0" encoding="utf-8"?>
<formControlPr xmlns="http://schemas.microsoft.com/office/spreadsheetml/2009/9/main" objectType="Spin" dx="39" fmlaLink="$D$171" max="30000" page="10" val="700"/>
</file>

<file path=xl/ctrlProps/ctrlProp257.xml><?xml version="1.0" encoding="utf-8"?>
<formControlPr xmlns="http://schemas.microsoft.com/office/spreadsheetml/2009/9/main" objectType="Spin" dx="39" fmlaLink="$D$172" max="30000" page="10" val="200"/>
</file>

<file path=xl/ctrlProps/ctrlProp258.xml><?xml version="1.0" encoding="utf-8"?>
<formControlPr xmlns="http://schemas.microsoft.com/office/spreadsheetml/2009/9/main" objectType="Spin" dx="39" fmlaLink="$D$173" max="30000" page="10" val="200"/>
</file>

<file path=xl/ctrlProps/ctrlProp259.xml><?xml version="1.0" encoding="utf-8"?>
<formControlPr xmlns="http://schemas.microsoft.com/office/spreadsheetml/2009/9/main" objectType="Spin" dx="39" fmlaLink="$D$167" max="30000" page="10" val="4000"/>
</file>

<file path=xl/ctrlProps/ctrlProp26.xml><?xml version="1.0" encoding="utf-8"?>
<formControlPr xmlns="http://schemas.microsoft.com/office/spreadsheetml/2009/9/main" objectType="Spin" dx="39" fmlaLink="$D$47" max="30000" page="10" val="3207"/>
</file>

<file path=xl/ctrlProps/ctrlProp260.xml><?xml version="1.0" encoding="utf-8"?>
<formControlPr xmlns="http://schemas.microsoft.com/office/spreadsheetml/2009/9/main" objectType="Spin" dx="39" fmlaLink="$H$166" max="30000" page="10" val="179"/>
</file>

<file path=xl/ctrlProps/ctrlProp261.xml><?xml version="1.0" encoding="utf-8"?>
<formControlPr xmlns="http://schemas.microsoft.com/office/spreadsheetml/2009/9/main" objectType="Spin" dx="39" fmlaLink="$H$167" max="30000" page="10" val="65"/>
</file>

<file path=xl/ctrlProps/ctrlProp262.xml><?xml version="1.0" encoding="utf-8"?>
<formControlPr xmlns="http://schemas.microsoft.com/office/spreadsheetml/2009/9/main" objectType="Spin" dx="39" fmlaLink="$H$168" max="30000" page="10" val="165"/>
</file>

<file path=xl/ctrlProps/ctrlProp263.xml><?xml version="1.0" encoding="utf-8"?>
<formControlPr xmlns="http://schemas.microsoft.com/office/spreadsheetml/2009/9/main" objectType="Spin" dx="39" fmlaLink="$H$169" max="30000" page="10" val="65"/>
</file>

<file path=xl/ctrlProps/ctrlProp264.xml><?xml version="1.0" encoding="utf-8"?>
<formControlPr xmlns="http://schemas.microsoft.com/office/spreadsheetml/2009/9/main" objectType="Spin" dx="39" fmlaLink="$H$170" max="30000" page="10" val="165"/>
</file>

<file path=xl/ctrlProps/ctrlProp265.xml><?xml version="1.0" encoding="utf-8"?>
<formControlPr xmlns="http://schemas.microsoft.com/office/spreadsheetml/2009/9/main" objectType="Spin" dx="39" fmlaLink="$H$171" max="30000" page="10" val="65"/>
</file>

<file path=xl/ctrlProps/ctrlProp266.xml><?xml version="1.0" encoding="utf-8"?>
<formControlPr xmlns="http://schemas.microsoft.com/office/spreadsheetml/2009/9/main" objectType="Spin" dx="39" fmlaLink="$H$172" max="30000" page="10" val="295"/>
</file>

<file path=xl/ctrlProps/ctrlProp267.xml><?xml version="1.0" encoding="utf-8"?>
<formControlPr xmlns="http://schemas.microsoft.com/office/spreadsheetml/2009/9/main" objectType="Spin" dx="39" fmlaLink="$H$173" max="30000" page="10" val="295"/>
</file>

<file path=xl/ctrlProps/ctrlProp268.xml><?xml version="1.0" encoding="utf-8"?>
<formControlPr xmlns="http://schemas.microsoft.com/office/spreadsheetml/2009/9/main" objectType="Spin" dx="39" fmlaLink="$L$166" max="30000" page="10" val="170"/>
</file>

<file path=xl/ctrlProps/ctrlProp269.xml><?xml version="1.0" encoding="utf-8"?>
<formControlPr xmlns="http://schemas.microsoft.com/office/spreadsheetml/2009/9/main" objectType="Spin" dx="39" fmlaLink="$L$167" max="30000" page="10" val="28"/>
</file>

<file path=xl/ctrlProps/ctrlProp27.xml><?xml version="1.0" encoding="utf-8"?>
<formControlPr xmlns="http://schemas.microsoft.com/office/spreadsheetml/2009/9/main" objectType="Spin" dx="39" fmlaLink="$D$48" max="30000" page="10" val="406"/>
</file>

<file path=xl/ctrlProps/ctrlProp270.xml><?xml version="1.0" encoding="utf-8"?>
<formControlPr xmlns="http://schemas.microsoft.com/office/spreadsheetml/2009/9/main" objectType="Spin" dx="39" fmlaLink="$L$168" max="30000" page="10" val="50"/>
</file>

<file path=xl/ctrlProps/ctrlProp271.xml><?xml version="1.0" encoding="utf-8"?>
<formControlPr xmlns="http://schemas.microsoft.com/office/spreadsheetml/2009/9/main" objectType="Spin" dx="39" fmlaLink="$L$169" max="30000" page="10" val="66"/>
</file>

<file path=xl/ctrlProps/ctrlProp272.xml><?xml version="1.0" encoding="utf-8"?>
<formControlPr xmlns="http://schemas.microsoft.com/office/spreadsheetml/2009/9/main" objectType="Spin" dx="39" fmlaLink="$L$170" max="30000" page="10" val="70"/>
</file>

<file path=xl/ctrlProps/ctrlProp273.xml><?xml version="1.0" encoding="utf-8"?>
<formControlPr xmlns="http://schemas.microsoft.com/office/spreadsheetml/2009/9/main" objectType="Spin" dx="39" fmlaLink="$L$171" max="30000" page="10" val="55"/>
</file>

<file path=xl/ctrlProps/ctrlProp274.xml><?xml version="1.0" encoding="utf-8"?>
<formControlPr xmlns="http://schemas.microsoft.com/office/spreadsheetml/2009/9/main" objectType="Spin" dx="39" fmlaLink="$L$172" max="30000" page="10" val="260"/>
</file>

<file path=xl/ctrlProps/ctrlProp275.xml><?xml version="1.0" encoding="utf-8"?>
<formControlPr xmlns="http://schemas.microsoft.com/office/spreadsheetml/2009/9/main" objectType="Spin" dx="39" fmlaLink="$L$173" max="30000" page="10" val="260"/>
</file>

<file path=xl/ctrlProps/ctrlProp276.xml><?xml version="1.0" encoding="utf-8"?>
<formControlPr xmlns="http://schemas.microsoft.com/office/spreadsheetml/2009/9/main" objectType="Spin" dx="39" fmlaLink="$Q$166" max="30000" page="10" val="1066"/>
</file>

<file path=xl/ctrlProps/ctrlProp277.xml><?xml version="1.0" encoding="utf-8"?>
<formControlPr xmlns="http://schemas.microsoft.com/office/spreadsheetml/2009/9/main" objectType="Spin" dx="39" fmlaLink="$Q$167" max="30000" page="10" val="312"/>
</file>

<file path=xl/ctrlProps/ctrlProp278.xml><?xml version="1.0" encoding="utf-8"?>
<formControlPr xmlns="http://schemas.microsoft.com/office/spreadsheetml/2009/9/main" objectType="Spin" dx="39" fmlaLink="$Q$168" max="30000" page="10" val="502"/>
</file>

<file path=xl/ctrlProps/ctrlProp279.xml><?xml version="1.0" encoding="utf-8"?>
<formControlPr xmlns="http://schemas.microsoft.com/office/spreadsheetml/2009/9/main" objectType="Spin" dx="39" fmlaLink="$X$166" max="30000" page="10" val="140"/>
</file>

<file path=xl/ctrlProps/ctrlProp28.xml><?xml version="1.0" encoding="utf-8"?>
<formControlPr xmlns="http://schemas.microsoft.com/office/spreadsheetml/2009/9/main" objectType="Spin" dx="39" fmlaLink="$D$49" max="30000" page="10" val="2256"/>
</file>

<file path=xl/ctrlProps/ctrlProp280.xml><?xml version="1.0" encoding="utf-8"?>
<formControlPr xmlns="http://schemas.microsoft.com/office/spreadsheetml/2009/9/main" objectType="Spin" dx="39" fmlaLink="$X$167" max="30000" page="10" val="4000"/>
</file>

<file path=xl/ctrlProps/ctrlProp281.xml><?xml version="1.0" encoding="utf-8"?>
<formControlPr xmlns="http://schemas.microsoft.com/office/spreadsheetml/2009/9/main" objectType="Spin" dx="39" fmlaLink="$X$168" max="30000" page="10" val="1000"/>
</file>

<file path=xl/ctrlProps/ctrlProp282.xml><?xml version="1.0" encoding="utf-8"?>
<formControlPr xmlns="http://schemas.microsoft.com/office/spreadsheetml/2009/9/main" objectType="Spin" dx="39" fmlaLink="$X$169" max="30000" page="10" val="1000"/>
</file>

<file path=xl/ctrlProps/ctrlProp283.xml><?xml version="1.0" encoding="utf-8"?>
<formControlPr xmlns="http://schemas.microsoft.com/office/spreadsheetml/2009/9/main" objectType="Spin" dx="39" fmlaLink="$X$170" max="30000" page="10" val="1900"/>
</file>

<file path=xl/ctrlProps/ctrlProp284.xml><?xml version="1.0" encoding="utf-8"?>
<formControlPr xmlns="http://schemas.microsoft.com/office/spreadsheetml/2009/9/main" objectType="Spin" dx="39" fmlaLink="$X$171" max="30000" page="10" val="1960"/>
</file>

<file path=xl/ctrlProps/ctrlProp285.xml><?xml version="1.0" encoding="utf-8"?>
<formControlPr xmlns="http://schemas.microsoft.com/office/spreadsheetml/2009/9/main" objectType="Spin" dx="39" fmlaLink="$AB$166" max="30000" page="10" val="150"/>
</file>

<file path=xl/ctrlProps/ctrlProp286.xml><?xml version="1.0" encoding="utf-8"?>
<formControlPr xmlns="http://schemas.microsoft.com/office/spreadsheetml/2009/9/main" objectType="Spin" dx="39" fmlaLink="$AB$167" max="30000" page="10" val="65"/>
</file>

<file path=xl/ctrlProps/ctrlProp287.xml><?xml version="1.0" encoding="utf-8"?>
<formControlPr xmlns="http://schemas.microsoft.com/office/spreadsheetml/2009/9/main" objectType="Spin" dx="39" fmlaLink="$AB$168" max="30000" page="10" val="150"/>
</file>

<file path=xl/ctrlProps/ctrlProp288.xml><?xml version="1.0" encoding="utf-8"?>
<formControlPr xmlns="http://schemas.microsoft.com/office/spreadsheetml/2009/9/main" objectType="Spin" dx="39" fmlaLink="$AB$169" max="30000" page="10" val="152"/>
</file>

<file path=xl/ctrlProps/ctrlProp289.xml><?xml version="1.0" encoding="utf-8"?>
<formControlPr xmlns="http://schemas.microsoft.com/office/spreadsheetml/2009/9/main" objectType="Spin" dx="39" fmlaLink="$AB$170" max="30000" page="10" val="65"/>
</file>

<file path=xl/ctrlProps/ctrlProp29.xml><?xml version="1.0" encoding="utf-8"?>
<formControlPr xmlns="http://schemas.microsoft.com/office/spreadsheetml/2009/9/main" objectType="Spin" dx="39" fmlaLink="$D$50" max="30000" page="10" val="2545"/>
</file>

<file path=xl/ctrlProps/ctrlProp290.xml><?xml version="1.0" encoding="utf-8"?>
<formControlPr xmlns="http://schemas.microsoft.com/office/spreadsheetml/2009/9/main" objectType="Spin" dx="39" fmlaLink="$AB$171" max="30000" page="10" val="65"/>
</file>

<file path=xl/ctrlProps/ctrlProp291.xml><?xml version="1.0" encoding="utf-8"?>
<formControlPr xmlns="http://schemas.microsoft.com/office/spreadsheetml/2009/9/main" objectType="Spin" dx="39" fmlaLink="$AF$166" max="30000" page="10" val="163"/>
</file>

<file path=xl/ctrlProps/ctrlProp292.xml><?xml version="1.0" encoding="utf-8"?>
<formControlPr xmlns="http://schemas.microsoft.com/office/spreadsheetml/2009/9/main" objectType="Spin" dx="39" fmlaLink="$AF$167" max="30000" page="10" val="25"/>
</file>

<file path=xl/ctrlProps/ctrlProp293.xml><?xml version="1.0" encoding="utf-8"?>
<formControlPr xmlns="http://schemas.microsoft.com/office/spreadsheetml/2009/9/main" objectType="Spin" dx="39" fmlaLink="$AF$168" max="30000" page="10" val="50"/>
</file>

<file path=xl/ctrlProps/ctrlProp294.xml><?xml version="1.0" encoding="utf-8"?>
<formControlPr xmlns="http://schemas.microsoft.com/office/spreadsheetml/2009/9/main" objectType="Spin" dx="39" fmlaLink="$AF$169" max="30000" page="10" val="50"/>
</file>

<file path=xl/ctrlProps/ctrlProp295.xml><?xml version="1.0" encoding="utf-8"?>
<formControlPr xmlns="http://schemas.microsoft.com/office/spreadsheetml/2009/9/main" objectType="Spin" dx="39" fmlaLink="$AF$170" max="30000" page="10" val="72"/>
</file>

<file path=xl/ctrlProps/ctrlProp296.xml><?xml version="1.0" encoding="utf-8"?>
<formControlPr xmlns="http://schemas.microsoft.com/office/spreadsheetml/2009/9/main" objectType="Spin" dx="39" fmlaLink="$AF$171" max="30000" page="10" val="72"/>
</file>

<file path=xl/ctrlProps/ctrlProp297.xml><?xml version="1.0" encoding="utf-8"?>
<formControlPr xmlns="http://schemas.microsoft.com/office/spreadsheetml/2009/9/main" objectType="Spin" dx="39" fmlaLink="$AK$166" max="30000" page="10" val="476"/>
</file>

<file path=xl/ctrlProps/ctrlProp298.xml><?xml version="1.0" encoding="utf-8"?>
<formControlPr xmlns="http://schemas.microsoft.com/office/spreadsheetml/2009/9/main" objectType="Spin" dx="39" fmlaLink="$AK$167" max="30000" page="10" val="98"/>
</file>

<file path=xl/ctrlProps/ctrlProp299.xml><?xml version="1.0" encoding="utf-8"?>
<formControlPr xmlns="http://schemas.microsoft.com/office/spreadsheetml/2009/9/main" objectType="Spin" dx="39" fmlaLink="$AK$138" max="30000" page="10" val="951"/>
</file>

<file path=xl/ctrlProps/ctrlProp3.xml><?xml version="1.0" encoding="utf-8"?>
<formControlPr xmlns="http://schemas.microsoft.com/office/spreadsheetml/2009/9/main" objectType="Spin" dx="39" fmlaLink="$D$18" max="30000" page="10" val="406"/>
</file>

<file path=xl/ctrlProps/ctrlProp30.xml><?xml version="1.0" encoding="utf-8"?>
<formControlPr xmlns="http://schemas.microsoft.com/office/spreadsheetml/2009/9/main" objectType="Spin" dx="39" fmlaLink="$D$51" max="30000" page="10" val="601"/>
</file>

<file path=xl/ctrlProps/ctrlProp300.xml><?xml version="1.0" encoding="utf-8"?>
<formControlPr xmlns="http://schemas.microsoft.com/office/spreadsheetml/2009/9/main" objectType="Spin" dx="39" fmlaLink="$X$195" max="30000" page="10" val="140"/>
</file>

<file path=xl/ctrlProps/ctrlProp301.xml><?xml version="1.0" encoding="utf-8"?>
<formControlPr xmlns="http://schemas.microsoft.com/office/spreadsheetml/2009/9/main" objectType="Spin" dx="39" fmlaLink="$X$196" max="30000" page="10" val="3280"/>
</file>

<file path=xl/ctrlProps/ctrlProp302.xml><?xml version="1.0" encoding="utf-8"?>
<formControlPr xmlns="http://schemas.microsoft.com/office/spreadsheetml/2009/9/main" objectType="Spin" dx="39" fmlaLink="$X$197" max="30000" page="10" val="1800"/>
</file>

<file path=xl/ctrlProps/ctrlProp303.xml><?xml version="1.0" encoding="utf-8"?>
<formControlPr xmlns="http://schemas.microsoft.com/office/spreadsheetml/2009/9/main" objectType="Spin" dx="39" fmlaLink="$X$198" max="30000" page="10" val="1780"/>
</file>

<file path=xl/ctrlProps/ctrlProp304.xml><?xml version="1.0" encoding="utf-8"?>
<formControlPr xmlns="http://schemas.microsoft.com/office/spreadsheetml/2009/9/main" objectType="Spin" dx="39" fmlaLink="$X$199" max="30000" page="10" val="1500"/>
</file>

<file path=xl/ctrlProps/ctrlProp305.xml><?xml version="1.0" encoding="utf-8"?>
<formControlPr xmlns="http://schemas.microsoft.com/office/spreadsheetml/2009/9/main" objectType="Spin" dx="39" fmlaLink="$X$200" max="30000" page="10" val="1500"/>
</file>

<file path=xl/ctrlProps/ctrlProp306.xml><?xml version="1.0" encoding="utf-8"?>
<formControlPr xmlns="http://schemas.microsoft.com/office/spreadsheetml/2009/9/main" objectType="Spin" dx="39" fmlaLink="$AB$195" max="30000" page="10" val="150"/>
</file>

<file path=xl/ctrlProps/ctrlProp307.xml><?xml version="1.0" encoding="utf-8"?>
<formControlPr xmlns="http://schemas.microsoft.com/office/spreadsheetml/2009/9/main" objectType="Spin" dx="39" fmlaLink="$AB$196" max="30000" page="10" val="65"/>
</file>

<file path=xl/ctrlProps/ctrlProp308.xml><?xml version="1.0" encoding="utf-8"?>
<formControlPr xmlns="http://schemas.microsoft.com/office/spreadsheetml/2009/9/main" objectType="Spin" dx="39" fmlaLink="$AB$197" max="30000" page="10" val="150"/>
</file>

<file path=xl/ctrlProps/ctrlProp309.xml><?xml version="1.0" encoding="utf-8"?>
<formControlPr xmlns="http://schemas.microsoft.com/office/spreadsheetml/2009/9/main" objectType="Spin" dx="39" fmlaLink="$AB$198" max="30000" page="10" val="152"/>
</file>

<file path=xl/ctrlProps/ctrlProp31.xml><?xml version="1.0" encoding="utf-8"?>
<formControlPr xmlns="http://schemas.microsoft.com/office/spreadsheetml/2009/9/main" objectType="Spin" dx="39" fmlaLink="$D$52" max="30000" page="10" val="248"/>
</file>

<file path=xl/ctrlProps/ctrlProp310.xml><?xml version="1.0" encoding="utf-8"?>
<formControlPr xmlns="http://schemas.microsoft.com/office/spreadsheetml/2009/9/main" objectType="Spin" dx="39" fmlaLink="$AB$199" max="30000" page="10" val="65"/>
</file>

<file path=xl/ctrlProps/ctrlProp311.xml><?xml version="1.0" encoding="utf-8"?>
<formControlPr xmlns="http://schemas.microsoft.com/office/spreadsheetml/2009/9/main" objectType="Spin" dx="39" fmlaLink="$AB$200" max="30000" page="10" val="65"/>
</file>

<file path=xl/ctrlProps/ctrlProp312.xml><?xml version="1.0" encoding="utf-8"?>
<formControlPr xmlns="http://schemas.microsoft.com/office/spreadsheetml/2009/9/main" objectType="Spin" dx="39" fmlaLink="$AF$195" max="30000" page="10" val="160"/>
</file>

<file path=xl/ctrlProps/ctrlProp313.xml><?xml version="1.0" encoding="utf-8"?>
<formControlPr xmlns="http://schemas.microsoft.com/office/spreadsheetml/2009/9/main" objectType="Spin" dx="39" fmlaLink="$AF$196" max="30000" page="10" val="25"/>
</file>

<file path=xl/ctrlProps/ctrlProp314.xml><?xml version="1.0" encoding="utf-8"?>
<formControlPr xmlns="http://schemas.microsoft.com/office/spreadsheetml/2009/9/main" objectType="Spin" dx="39" fmlaLink="$AF$197" max="30000" page="10" val="50"/>
</file>

<file path=xl/ctrlProps/ctrlProp315.xml><?xml version="1.0" encoding="utf-8"?>
<formControlPr xmlns="http://schemas.microsoft.com/office/spreadsheetml/2009/9/main" objectType="Spin" dx="39" fmlaLink="$AF$198" max="30000" page="10" val="50"/>
</file>

<file path=xl/ctrlProps/ctrlProp316.xml><?xml version="1.0" encoding="utf-8"?>
<formControlPr xmlns="http://schemas.microsoft.com/office/spreadsheetml/2009/9/main" objectType="Spin" dx="39" fmlaLink="$AF$199" max="30000" page="10" val="72"/>
</file>

<file path=xl/ctrlProps/ctrlProp317.xml><?xml version="1.0" encoding="utf-8"?>
<formControlPr xmlns="http://schemas.microsoft.com/office/spreadsheetml/2009/9/main" objectType="Spin" dx="39" fmlaLink="$AF$200" max="30000" page="10" val="72"/>
</file>

<file path=xl/ctrlProps/ctrlProp318.xml><?xml version="1.0" encoding="utf-8"?>
<formControlPr xmlns="http://schemas.microsoft.com/office/spreadsheetml/2009/9/main" objectType="Spin" dx="39" fmlaLink="$AK$195" max="30000" page="10" val="250"/>
</file>

<file path=xl/ctrlProps/ctrlProp319.xml><?xml version="1.0" encoding="utf-8"?>
<formControlPr xmlns="http://schemas.microsoft.com/office/spreadsheetml/2009/9/main" objectType="Spin" dx="39" fmlaLink="$AK$196" max="30000" page="10" val="50"/>
</file>

<file path=xl/ctrlProps/ctrlProp32.xml><?xml version="1.0" encoding="utf-8"?>
<formControlPr xmlns="http://schemas.microsoft.com/office/spreadsheetml/2009/9/main" objectType="Spin" dx="39" fmlaLink="$D$53" max="30000" page="10" val="233"/>
</file>

<file path=xl/ctrlProps/ctrlProp320.xml><?xml version="1.0" encoding="utf-8"?>
<formControlPr xmlns="http://schemas.microsoft.com/office/spreadsheetml/2009/9/main" objectType="Spin" dx="39" fmlaLink="$AK$197" max="30000" page="10" val="500"/>
</file>

<file path=xl/ctrlProps/ctrlProp321.xml><?xml version="1.0" encoding="utf-8"?>
<formControlPr xmlns="http://schemas.microsoft.com/office/spreadsheetml/2009/9/main" objectType="Spin" dx="39" fmlaLink="$D$232" max="30000" page="10" val="233"/>
</file>

<file path=xl/ctrlProps/ctrlProp322.xml><?xml version="1.0" encoding="utf-8"?>
<formControlPr xmlns="http://schemas.microsoft.com/office/spreadsheetml/2009/9/main" objectType="Spin" dx="39" fmlaLink="$D$231" max="30000" page="10" val="248"/>
</file>

<file path=xl/ctrlProps/ctrlProp323.xml><?xml version="1.0" encoding="utf-8"?>
<formControlPr xmlns="http://schemas.microsoft.com/office/spreadsheetml/2009/9/main" objectType="Spin" dx="39" fmlaLink="$D$230" max="30000" page="10" val="601"/>
</file>

<file path=xl/ctrlProps/ctrlProp324.xml><?xml version="1.0" encoding="utf-8"?>
<formControlPr xmlns="http://schemas.microsoft.com/office/spreadsheetml/2009/9/main" objectType="Spin" dx="39" fmlaLink="$D$229" max="30000" page="10" val="2545"/>
</file>

<file path=xl/ctrlProps/ctrlProp325.xml><?xml version="1.0" encoding="utf-8"?>
<formControlPr xmlns="http://schemas.microsoft.com/office/spreadsheetml/2009/9/main" objectType="Spin" dx="39" fmlaLink="$D$228" max="30000" page="10" val="2256"/>
</file>

<file path=xl/ctrlProps/ctrlProp326.xml><?xml version="1.0" encoding="utf-8"?>
<formControlPr xmlns="http://schemas.microsoft.com/office/spreadsheetml/2009/9/main" objectType="Spin" dx="39" fmlaLink="$D$227" max="30000" page="10" val="406"/>
</file>

<file path=xl/ctrlProps/ctrlProp327.xml><?xml version="1.0" encoding="utf-8"?>
<formControlPr xmlns="http://schemas.microsoft.com/office/spreadsheetml/2009/9/main" objectType="Spin" dx="39" fmlaLink="$D$226" max="30000" page="10" val="3207"/>
</file>

<file path=xl/ctrlProps/ctrlProp328.xml><?xml version="1.0" encoding="utf-8"?>
<formControlPr xmlns="http://schemas.microsoft.com/office/spreadsheetml/2009/9/main" objectType="Spin" dx="39" fmlaLink="$D$225" max="30000" page="10" val="505"/>
</file>

<file path=xl/ctrlProps/ctrlProp329.xml><?xml version="1.0" encoding="utf-8"?>
<formControlPr xmlns="http://schemas.microsoft.com/office/spreadsheetml/2009/9/main" objectType="Spin" dx="39" fmlaLink="$H$232" max="30000" page="10" val="295"/>
</file>

<file path=xl/ctrlProps/ctrlProp33.xml><?xml version="1.0" encoding="utf-8"?>
<formControlPr xmlns="http://schemas.microsoft.com/office/spreadsheetml/2009/9/main" objectType="Spin" dx="39" fmlaLink="$H$46" max="30000" page="10" val="179"/>
</file>

<file path=xl/ctrlProps/ctrlProp330.xml><?xml version="1.0" encoding="utf-8"?>
<formControlPr xmlns="http://schemas.microsoft.com/office/spreadsheetml/2009/9/main" objectType="Spin" dx="39" fmlaLink="$H$231" max="30000" page="10" val="295"/>
</file>

<file path=xl/ctrlProps/ctrlProp331.xml><?xml version="1.0" encoding="utf-8"?>
<formControlPr xmlns="http://schemas.microsoft.com/office/spreadsheetml/2009/9/main" objectType="Spin" dx="39" fmlaLink="$H$230" max="30000" page="10" val="65"/>
</file>

<file path=xl/ctrlProps/ctrlProp332.xml><?xml version="1.0" encoding="utf-8"?>
<formControlPr xmlns="http://schemas.microsoft.com/office/spreadsheetml/2009/9/main" objectType="Spin" dx="39" fmlaLink="$H$229" max="30000" page="10" val="165"/>
</file>

<file path=xl/ctrlProps/ctrlProp333.xml><?xml version="1.0" encoding="utf-8"?>
<formControlPr xmlns="http://schemas.microsoft.com/office/spreadsheetml/2009/9/main" objectType="Spin" dx="39" fmlaLink="$H$228" max="30000" page="10" val="65"/>
</file>

<file path=xl/ctrlProps/ctrlProp334.xml><?xml version="1.0" encoding="utf-8"?>
<formControlPr xmlns="http://schemas.microsoft.com/office/spreadsheetml/2009/9/main" objectType="Spin" dx="39" fmlaLink="$H$227" max="30000" page="10" val="165"/>
</file>

<file path=xl/ctrlProps/ctrlProp335.xml><?xml version="1.0" encoding="utf-8"?>
<formControlPr xmlns="http://schemas.microsoft.com/office/spreadsheetml/2009/9/main" objectType="Spin" dx="39" fmlaLink="$H$226" max="30000" page="10" val="65"/>
</file>

<file path=xl/ctrlProps/ctrlProp336.xml><?xml version="1.0" encoding="utf-8"?>
<formControlPr xmlns="http://schemas.microsoft.com/office/spreadsheetml/2009/9/main" objectType="Spin" dx="39" fmlaLink="$H$225" max="30000" page="10" val="175"/>
</file>

<file path=xl/ctrlProps/ctrlProp337.xml><?xml version="1.0" encoding="utf-8"?>
<formControlPr xmlns="http://schemas.microsoft.com/office/spreadsheetml/2009/9/main" objectType="Spin" dx="39" fmlaLink="$L$231" max="30000" page="10" val="260"/>
</file>

<file path=xl/ctrlProps/ctrlProp338.xml><?xml version="1.0" encoding="utf-8"?>
<formControlPr xmlns="http://schemas.microsoft.com/office/spreadsheetml/2009/9/main" objectType="Spin" dx="39" fmlaLink="$L$230" max="30000" page="10" val="28"/>
</file>

<file path=xl/ctrlProps/ctrlProp339.xml><?xml version="1.0" encoding="utf-8"?>
<formControlPr xmlns="http://schemas.microsoft.com/office/spreadsheetml/2009/9/main" objectType="Spin" dx="39" fmlaLink="$L$229" max="30000" page="10" val="70"/>
</file>

<file path=xl/ctrlProps/ctrlProp34.xml><?xml version="1.0" encoding="utf-8"?>
<formControlPr xmlns="http://schemas.microsoft.com/office/spreadsheetml/2009/9/main" objectType="Spin" dx="39" fmlaLink="$L$46" max="30000" page="10" val="170"/>
</file>

<file path=xl/ctrlProps/ctrlProp340.xml><?xml version="1.0" encoding="utf-8"?>
<formControlPr xmlns="http://schemas.microsoft.com/office/spreadsheetml/2009/9/main" objectType="Spin" dx="39" fmlaLink="$L$228" max="30000" page="10" val="28"/>
</file>

<file path=xl/ctrlProps/ctrlProp341.xml><?xml version="1.0" encoding="utf-8"?>
<formControlPr xmlns="http://schemas.microsoft.com/office/spreadsheetml/2009/9/main" objectType="Spin" dx="39" fmlaLink="$L$227" max="30000" page="10" val="50"/>
</file>

<file path=xl/ctrlProps/ctrlProp342.xml><?xml version="1.0" encoding="utf-8"?>
<formControlPr xmlns="http://schemas.microsoft.com/office/spreadsheetml/2009/9/main" objectType="Spin" dx="39" fmlaLink="$L$226" max="30000" page="10" val="28"/>
</file>

<file path=xl/ctrlProps/ctrlProp343.xml><?xml version="1.0" encoding="utf-8"?>
<formControlPr xmlns="http://schemas.microsoft.com/office/spreadsheetml/2009/9/main" objectType="Spin" dx="39" fmlaLink="$L$225" max="30000" page="10" val="170"/>
</file>

<file path=xl/ctrlProps/ctrlProp344.xml><?xml version="1.0" encoding="utf-8"?>
<formControlPr xmlns="http://schemas.microsoft.com/office/spreadsheetml/2009/9/main" objectType="Spin" dx="39" fmlaLink="$Q$225" max="30000" page="10" val="500"/>
</file>

<file path=xl/ctrlProps/ctrlProp345.xml><?xml version="1.0" encoding="utf-8"?>
<formControlPr xmlns="http://schemas.microsoft.com/office/spreadsheetml/2009/9/main" objectType="Spin" dx="39" fmlaLink="$Q$226" max="30000" page="10" val="150"/>
</file>

<file path=xl/ctrlProps/ctrlProp346.xml><?xml version="1.0" encoding="utf-8"?>
<formControlPr xmlns="http://schemas.microsoft.com/office/spreadsheetml/2009/9/main" objectType="Spin" dx="39" fmlaLink="$Q$227" max="30000" page="10" val="250"/>
</file>

<file path=xl/ctrlProps/ctrlProp347.xml><?xml version="1.0" encoding="utf-8"?>
<formControlPr xmlns="http://schemas.microsoft.com/office/spreadsheetml/2009/9/main" objectType="Spin" dx="39" fmlaLink="$Q$223" max="30000" page="10" val="100"/>
</file>

<file path=xl/ctrlProps/ctrlProp348.xml><?xml version="1.0" encoding="utf-8"?>
<formControlPr xmlns="http://schemas.microsoft.com/office/spreadsheetml/2009/9/main" objectType="Spin" dx="39" fmlaLink="$X$225" max="30000" page="10" val="140"/>
</file>

<file path=xl/ctrlProps/ctrlProp349.xml><?xml version="1.0" encoding="utf-8"?>
<formControlPr xmlns="http://schemas.microsoft.com/office/spreadsheetml/2009/9/main" objectType="Spin" dx="39" fmlaLink="$X$226" max="30000" page="10" val="3280"/>
</file>

<file path=xl/ctrlProps/ctrlProp35.xml><?xml version="1.0" encoding="utf-8"?>
<formControlPr xmlns="http://schemas.microsoft.com/office/spreadsheetml/2009/9/main" objectType="Spin" dx="39" fmlaLink="$H$47" max="30000" page="10" val="65"/>
</file>

<file path=xl/ctrlProps/ctrlProp350.xml><?xml version="1.0" encoding="utf-8"?>
<formControlPr xmlns="http://schemas.microsoft.com/office/spreadsheetml/2009/9/main" objectType="Spin" dx="39" fmlaLink="$X$227" max="30000" page="10" val="1800"/>
</file>

<file path=xl/ctrlProps/ctrlProp351.xml><?xml version="1.0" encoding="utf-8"?>
<formControlPr xmlns="http://schemas.microsoft.com/office/spreadsheetml/2009/9/main" objectType="Spin" dx="39" fmlaLink="$X$228" max="30000" page="10" val="1780"/>
</file>

<file path=xl/ctrlProps/ctrlProp352.xml><?xml version="1.0" encoding="utf-8"?>
<formControlPr xmlns="http://schemas.microsoft.com/office/spreadsheetml/2009/9/main" objectType="Spin" dx="39" fmlaLink="$X$229" max="30000" page="10" val="1500"/>
</file>

<file path=xl/ctrlProps/ctrlProp353.xml><?xml version="1.0" encoding="utf-8"?>
<formControlPr xmlns="http://schemas.microsoft.com/office/spreadsheetml/2009/9/main" objectType="Spin" dx="39" fmlaLink="$X$230" max="30000" page="10" val="1500"/>
</file>

<file path=xl/ctrlProps/ctrlProp354.xml><?xml version="1.0" encoding="utf-8"?>
<formControlPr xmlns="http://schemas.microsoft.com/office/spreadsheetml/2009/9/main" objectType="Spin" dx="39" fmlaLink="$AB$225" max="30000" page="10" val="150"/>
</file>

<file path=xl/ctrlProps/ctrlProp355.xml><?xml version="1.0" encoding="utf-8"?>
<formControlPr xmlns="http://schemas.microsoft.com/office/spreadsheetml/2009/9/main" objectType="Spin" dx="39" fmlaLink="$AB$226" max="30000" page="10" val="65"/>
</file>

<file path=xl/ctrlProps/ctrlProp356.xml><?xml version="1.0" encoding="utf-8"?>
<formControlPr xmlns="http://schemas.microsoft.com/office/spreadsheetml/2009/9/main" objectType="Spin" dx="39" fmlaLink="$AB$227" max="30000" page="10" val="150"/>
</file>

<file path=xl/ctrlProps/ctrlProp357.xml><?xml version="1.0" encoding="utf-8"?>
<formControlPr xmlns="http://schemas.microsoft.com/office/spreadsheetml/2009/9/main" objectType="Spin" dx="39" fmlaLink="$AB$228" max="30000" page="10" val="152"/>
</file>

<file path=xl/ctrlProps/ctrlProp358.xml><?xml version="1.0" encoding="utf-8"?>
<formControlPr xmlns="http://schemas.microsoft.com/office/spreadsheetml/2009/9/main" objectType="Spin" dx="39" fmlaLink="$AB$229" max="30000" page="10" val="65"/>
</file>

<file path=xl/ctrlProps/ctrlProp359.xml><?xml version="1.0" encoding="utf-8"?>
<formControlPr xmlns="http://schemas.microsoft.com/office/spreadsheetml/2009/9/main" objectType="Spin" dx="39" fmlaLink="$AB$230" max="30000" page="10" val="65"/>
</file>

<file path=xl/ctrlProps/ctrlProp36.xml><?xml version="1.0" encoding="utf-8"?>
<formControlPr xmlns="http://schemas.microsoft.com/office/spreadsheetml/2009/9/main" objectType="Spin" dx="39" fmlaLink="$L$47" max="30000" page="10" val="28"/>
</file>

<file path=xl/ctrlProps/ctrlProp360.xml><?xml version="1.0" encoding="utf-8"?>
<formControlPr xmlns="http://schemas.microsoft.com/office/spreadsheetml/2009/9/main" objectType="Spin" dx="39" fmlaLink="$AF$225" max="30000" page="10" val="160"/>
</file>

<file path=xl/ctrlProps/ctrlProp361.xml><?xml version="1.0" encoding="utf-8"?>
<formControlPr xmlns="http://schemas.microsoft.com/office/spreadsheetml/2009/9/main" objectType="Spin" dx="39" fmlaLink="$AF$226" max="30000" page="10" val="25"/>
</file>

<file path=xl/ctrlProps/ctrlProp362.xml><?xml version="1.0" encoding="utf-8"?>
<formControlPr xmlns="http://schemas.microsoft.com/office/spreadsheetml/2009/9/main" objectType="Spin" dx="39" fmlaLink="$AF$227" max="30000" page="10" val="50"/>
</file>

<file path=xl/ctrlProps/ctrlProp363.xml><?xml version="1.0" encoding="utf-8"?>
<formControlPr xmlns="http://schemas.microsoft.com/office/spreadsheetml/2009/9/main" objectType="Spin" dx="39" fmlaLink="$AF$228" max="30000" page="10" val="50"/>
</file>

<file path=xl/ctrlProps/ctrlProp364.xml><?xml version="1.0" encoding="utf-8"?>
<formControlPr xmlns="http://schemas.microsoft.com/office/spreadsheetml/2009/9/main" objectType="Spin" dx="39" fmlaLink="$AF$229" max="30000" page="10" val="30"/>
</file>

<file path=xl/ctrlProps/ctrlProp365.xml><?xml version="1.0" encoding="utf-8"?>
<formControlPr xmlns="http://schemas.microsoft.com/office/spreadsheetml/2009/9/main" objectType="Spin" dx="39" fmlaLink="$AF$230" max="30000" page="10" val="30"/>
</file>

<file path=xl/ctrlProps/ctrlProp366.xml><?xml version="1.0" encoding="utf-8"?>
<formControlPr xmlns="http://schemas.microsoft.com/office/spreadsheetml/2009/9/main" objectType="Spin" dx="39" fmlaLink="$AK$225" max="30000" page="10" val="250"/>
</file>

<file path=xl/ctrlProps/ctrlProp367.xml><?xml version="1.0" encoding="utf-8"?>
<formControlPr xmlns="http://schemas.microsoft.com/office/spreadsheetml/2009/9/main" objectType="Spin" dx="39" fmlaLink="$AK$226" max="30000" page="10" val="97"/>
</file>

<file path=xl/ctrlProps/ctrlProp368.xml><?xml version="1.0" encoding="utf-8"?>
<formControlPr xmlns="http://schemas.microsoft.com/office/spreadsheetml/2009/9/main" objectType="Spin" dx="39" fmlaLink="$AK$227" max="30000" page="10" val="500"/>
</file>

<file path=xl/ctrlProps/ctrlProp369.xml><?xml version="1.0" encoding="utf-8"?>
<formControlPr xmlns="http://schemas.microsoft.com/office/spreadsheetml/2009/9/main" objectType="Spin" dx="39" fmlaLink="$L$232" max="30000" page="10" val="260"/>
</file>

<file path=xl/ctrlProps/ctrlProp37.xml><?xml version="1.0" encoding="utf-8"?>
<formControlPr xmlns="http://schemas.microsoft.com/office/spreadsheetml/2009/9/main" objectType="Spin" dx="39" fmlaLink="$H$48" max="30000" page="10" val="165"/>
</file>

<file path=xl/ctrlProps/ctrlProp370.xml><?xml version="1.0" encoding="utf-8"?>
<formControlPr xmlns="http://schemas.microsoft.com/office/spreadsheetml/2009/9/main" objectType="Spin" dx="39" fmlaLink="$D$262" max="30000" page="10" val="233"/>
</file>

<file path=xl/ctrlProps/ctrlProp371.xml><?xml version="1.0" encoding="utf-8"?>
<formControlPr xmlns="http://schemas.microsoft.com/office/spreadsheetml/2009/9/main" objectType="Spin" dx="39" fmlaLink="$D$261" max="30000" page="10" val="248"/>
</file>

<file path=xl/ctrlProps/ctrlProp372.xml><?xml version="1.0" encoding="utf-8"?>
<formControlPr xmlns="http://schemas.microsoft.com/office/spreadsheetml/2009/9/main" objectType="Spin" dx="39" fmlaLink="$D$260" max="30000" page="10" val="601"/>
</file>

<file path=xl/ctrlProps/ctrlProp373.xml><?xml version="1.0" encoding="utf-8"?>
<formControlPr xmlns="http://schemas.microsoft.com/office/spreadsheetml/2009/9/main" objectType="Spin" dx="39" fmlaLink="$D$259" max="30000" page="10" val="2545"/>
</file>

<file path=xl/ctrlProps/ctrlProp374.xml><?xml version="1.0" encoding="utf-8"?>
<formControlPr xmlns="http://schemas.microsoft.com/office/spreadsheetml/2009/9/main" objectType="Spin" dx="39" fmlaLink="$D$258" max="30000" page="10" val="2256"/>
</file>

<file path=xl/ctrlProps/ctrlProp375.xml><?xml version="1.0" encoding="utf-8"?>
<formControlPr xmlns="http://schemas.microsoft.com/office/spreadsheetml/2009/9/main" objectType="Spin" dx="39" fmlaLink="$D$257" max="30000" page="10" val="406"/>
</file>

<file path=xl/ctrlProps/ctrlProp376.xml><?xml version="1.0" encoding="utf-8"?>
<formControlPr xmlns="http://schemas.microsoft.com/office/spreadsheetml/2009/9/main" objectType="Spin" dx="39" fmlaLink="$D$256" max="30000" page="10" val="3207"/>
</file>

<file path=xl/ctrlProps/ctrlProp377.xml><?xml version="1.0" encoding="utf-8"?>
<formControlPr xmlns="http://schemas.microsoft.com/office/spreadsheetml/2009/9/main" objectType="Spin" dx="39" fmlaLink="$D$255" max="30000" page="10" val="505"/>
</file>

<file path=xl/ctrlProps/ctrlProp378.xml><?xml version="1.0" encoding="utf-8"?>
<formControlPr xmlns="http://schemas.microsoft.com/office/spreadsheetml/2009/9/main" objectType="Spin" dx="39" fmlaLink="$H$262" max="30000" page="10" val="300"/>
</file>

<file path=xl/ctrlProps/ctrlProp379.xml><?xml version="1.0" encoding="utf-8"?>
<formControlPr xmlns="http://schemas.microsoft.com/office/spreadsheetml/2009/9/main" objectType="Spin" dx="39" fmlaLink="$H$261" max="30000" page="10" val="300"/>
</file>

<file path=xl/ctrlProps/ctrlProp38.xml><?xml version="1.0" encoding="utf-8"?>
<formControlPr xmlns="http://schemas.microsoft.com/office/spreadsheetml/2009/9/main" objectType="Spin" dx="39" fmlaLink="$H$49" max="30000" page="10" val="65"/>
</file>

<file path=xl/ctrlProps/ctrlProp380.xml><?xml version="1.0" encoding="utf-8"?>
<formControlPr xmlns="http://schemas.microsoft.com/office/spreadsheetml/2009/9/main" objectType="Spin" dx="39" fmlaLink="$H$260" max="30000" page="10" val="65"/>
</file>

<file path=xl/ctrlProps/ctrlProp381.xml><?xml version="1.0" encoding="utf-8"?>
<formControlPr xmlns="http://schemas.microsoft.com/office/spreadsheetml/2009/9/main" objectType="Spin" dx="39" fmlaLink="$H$259" max="30000" page="10" val="165"/>
</file>

<file path=xl/ctrlProps/ctrlProp382.xml><?xml version="1.0" encoding="utf-8"?>
<formControlPr xmlns="http://schemas.microsoft.com/office/spreadsheetml/2009/9/main" objectType="Spin" dx="39" fmlaLink="$H$258" max="30000" page="10" val="65"/>
</file>

<file path=xl/ctrlProps/ctrlProp383.xml><?xml version="1.0" encoding="utf-8"?>
<formControlPr xmlns="http://schemas.microsoft.com/office/spreadsheetml/2009/9/main" objectType="Spin" dx="39" fmlaLink="$H$257" max="30000" page="10" val="165"/>
</file>

<file path=xl/ctrlProps/ctrlProp384.xml><?xml version="1.0" encoding="utf-8"?>
<formControlPr xmlns="http://schemas.microsoft.com/office/spreadsheetml/2009/9/main" objectType="Spin" dx="39" fmlaLink="$H$256" max="30000" page="10" val="65"/>
</file>

<file path=xl/ctrlProps/ctrlProp385.xml><?xml version="1.0" encoding="utf-8"?>
<formControlPr xmlns="http://schemas.microsoft.com/office/spreadsheetml/2009/9/main" objectType="Spin" dx="39" fmlaLink="$H$255" max="30000" page="10" val="179"/>
</file>

<file path=xl/ctrlProps/ctrlProp386.xml><?xml version="1.0" encoding="utf-8"?>
<formControlPr xmlns="http://schemas.microsoft.com/office/spreadsheetml/2009/9/main" objectType="Spin" dx="39" fmlaLink="$L$261" max="30000" page="10" val="292"/>
</file>

<file path=xl/ctrlProps/ctrlProp387.xml><?xml version="1.0" encoding="utf-8"?>
<formControlPr xmlns="http://schemas.microsoft.com/office/spreadsheetml/2009/9/main" objectType="Spin" dx="39" fmlaLink="$L$260" max="30000" page="10" val="30"/>
</file>

<file path=xl/ctrlProps/ctrlProp388.xml><?xml version="1.0" encoding="utf-8"?>
<formControlPr xmlns="http://schemas.microsoft.com/office/spreadsheetml/2009/9/main" objectType="Spin" dx="39" fmlaLink="$L$259" max="30000" page="10" val="100"/>
</file>

<file path=xl/ctrlProps/ctrlProp389.xml><?xml version="1.0" encoding="utf-8"?>
<formControlPr xmlns="http://schemas.microsoft.com/office/spreadsheetml/2009/9/main" objectType="Spin" dx="39" fmlaLink="$L$258" max="30000" page="10" val="30"/>
</file>

<file path=xl/ctrlProps/ctrlProp39.xml><?xml version="1.0" encoding="utf-8"?>
<formControlPr xmlns="http://schemas.microsoft.com/office/spreadsheetml/2009/9/main" objectType="Spin" dx="39" fmlaLink="$H$50" max="30000" page="10" val="165"/>
</file>

<file path=xl/ctrlProps/ctrlProp390.xml><?xml version="1.0" encoding="utf-8"?>
<formControlPr xmlns="http://schemas.microsoft.com/office/spreadsheetml/2009/9/main" objectType="Spin" dx="39" fmlaLink="$L$257" max="30000" page="10" val="60"/>
</file>

<file path=xl/ctrlProps/ctrlProp391.xml><?xml version="1.0" encoding="utf-8"?>
<formControlPr xmlns="http://schemas.microsoft.com/office/spreadsheetml/2009/9/main" objectType="Spin" dx="39" fmlaLink="$L$256" max="30000" page="10" val="28"/>
</file>

<file path=xl/ctrlProps/ctrlProp392.xml><?xml version="1.0" encoding="utf-8"?>
<formControlPr xmlns="http://schemas.microsoft.com/office/spreadsheetml/2009/9/main" objectType="Spin" dx="39" fmlaLink="$L$255" max="30000" page="10" val="169"/>
</file>

<file path=xl/ctrlProps/ctrlProp393.xml><?xml version="1.0" encoding="utf-8"?>
<formControlPr xmlns="http://schemas.microsoft.com/office/spreadsheetml/2009/9/main" objectType="Spin" dx="39" fmlaLink="$Q$255" max="30000" page="10" val="500"/>
</file>

<file path=xl/ctrlProps/ctrlProp394.xml><?xml version="1.0" encoding="utf-8"?>
<formControlPr xmlns="http://schemas.microsoft.com/office/spreadsheetml/2009/9/main" objectType="Spin" dx="39" fmlaLink="$Q$256" max="30000" page="10" val="150"/>
</file>

<file path=xl/ctrlProps/ctrlProp395.xml><?xml version="1.0" encoding="utf-8"?>
<formControlPr xmlns="http://schemas.microsoft.com/office/spreadsheetml/2009/9/main" objectType="Spin" dx="39" fmlaLink="$Q$257" max="30000" page="10" val="250"/>
</file>

<file path=xl/ctrlProps/ctrlProp396.xml><?xml version="1.0" encoding="utf-8"?>
<formControlPr xmlns="http://schemas.microsoft.com/office/spreadsheetml/2009/9/main" objectType="Spin" dx="39" fmlaLink="$Q$253" max="30000" page="10" val="100"/>
</file>

<file path=xl/ctrlProps/ctrlProp397.xml><?xml version="1.0" encoding="utf-8"?>
<formControlPr xmlns="http://schemas.microsoft.com/office/spreadsheetml/2009/9/main" objectType="Spin" dx="39" fmlaLink="$X$255" max="30000" page="10" val="140"/>
</file>

<file path=xl/ctrlProps/ctrlProp398.xml><?xml version="1.0" encoding="utf-8"?>
<formControlPr xmlns="http://schemas.microsoft.com/office/spreadsheetml/2009/9/main" objectType="Spin" dx="39" fmlaLink="$X$256" max="30000" page="10" val="3280"/>
</file>

<file path=xl/ctrlProps/ctrlProp399.xml><?xml version="1.0" encoding="utf-8"?>
<formControlPr xmlns="http://schemas.microsoft.com/office/spreadsheetml/2009/9/main" objectType="Spin" dx="39" fmlaLink="$X$257" max="30000" page="10" val="1800"/>
</file>

<file path=xl/ctrlProps/ctrlProp4.xml><?xml version="1.0" encoding="utf-8"?>
<formControlPr xmlns="http://schemas.microsoft.com/office/spreadsheetml/2009/9/main" objectType="Spin" dx="39" fmlaLink="$D$19" max="30000" page="10" val="2256"/>
</file>

<file path=xl/ctrlProps/ctrlProp40.xml><?xml version="1.0" encoding="utf-8"?>
<formControlPr xmlns="http://schemas.microsoft.com/office/spreadsheetml/2009/9/main" objectType="Spin" dx="39" fmlaLink="$L$48" max="30000" page="10" val="61"/>
</file>

<file path=xl/ctrlProps/ctrlProp400.xml><?xml version="1.0" encoding="utf-8"?>
<formControlPr xmlns="http://schemas.microsoft.com/office/spreadsheetml/2009/9/main" objectType="Spin" dx="39" fmlaLink="$X$258" max="30000" page="10" val="1780"/>
</file>

<file path=xl/ctrlProps/ctrlProp401.xml><?xml version="1.0" encoding="utf-8"?>
<formControlPr xmlns="http://schemas.microsoft.com/office/spreadsheetml/2009/9/main" objectType="Spin" dx="39" fmlaLink="$X$259" max="30000" page="10" val="1500"/>
</file>

<file path=xl/ctrlProps/ctrlProp402.xml><?xml version="1.0" encoding="utf-8"?>
<formControlPr xmlns="http://schemas.microsoft.com/office/spreadsheetml/2009/9/main" objectType="Spin" dx="39" fmlaLink="$X$260" max="30000" page="10" val="1500"/>
</file>

<file path=xl/ctrlProps/ctrlProp403.xml><?xml version="1.0" encoding="utf-8"?>
<formControlPr xmlns="http://schemas.microsoft.com/office/spreadsheetml/2009/9/main" objectType="Spin" dx="39" fmlaLink="$AB$255" max="30000" page="10" val="179"/>
</file>

<file path=xl/ctrlProps/ctrlProp404.xml><?xml version="1.0" encoding="utf-8"?>
<formControlPr xmlns="http://schemas.microsoft.com/office/spreadsheetml/2009/9/main" objectType="Spin" dx="39" fmlaLink="$AB$256" max="30000" page="10" val="65"/>
</file>

<file path=xl/ctrlProps/ctrlProp405.xml><?xml version="1.0" encoding="utf-8"?>
<formControlPr xmlns="http://schemas.microsoft.com/office/spreadsheetml/2009/9/main" objectType="Spin" dx="39" fmlaLink="$AB$257" max="30000" page="10" val="179"/>
</file>

<file path=xl/ctrlProps/ctrlProp406.xml><?xml version="1.0" encoding="utf-8"?>
<formControlPr xmlns="http://schemas.microsoft.com/office/spreadsheetml/2009/9/main" objectType="Spin" dx="39" fmlaLink="$AB$258" max="30000" page="10" val="179"/>
</file>

<file path=xl/ctrlProps/ctrlProp407.xml><?xml version="1.0" encoding="utf-8"?>
<formControlPr xmlns="http://schemas.microsoft.com/office/spreadsheetml/2009/9/main" objectType="Spin" dx="39" fmlaLink="$AB$259" max="30000" page="10" val="65"/>
</file>

<file path=xl/ctrlProps/ctrlProp408.xml><?xml version="1.0" encoding="utf-8"?>
<formControlPr xmlns="http://schemas.microsoft.com/office/spreadsheetml/2009/9/main" objectType="Spin" dx="39" fmlaLink="$AB$260" max="30000" page="10" val="65"/>
</file>

<file path=xl/ctrlProps/ctrlProp409.xml><?xml version="1.0" encoding="utf-8"?>
<formControlPr xmlns="http://schemas.microsoft.com/office/spreadsheetml/2009/9/main" objectType="Spin" dx="39" fmlaLink="$AF$255" max="30000" page="10" val="160"/>
</file>

<file path=xl/ctrlProps/ctrlProp41.xml><?xml version="1.0" encoding="utf-8"?>
<formControlPr xmlns="http://schemas.microsoft.com/office/spreadsheetml/2009/9/main" objectType="Spin" dx="39" fmlaLink="$L$49" max="30000" page="10" val="66"/>
</file>

<file path=xl/ctrlProps/ctrlProp410.xml><?xml version="1.0" encoding="utf-8"?>
<formControlPr xmlns="http://schemas.microsoft.com/office/spreadsheetml/2009/9/main" objectType="Spin" dx="39" fmlaLink="$AF$256" max="30000" page="10" val="25"/>
</file>

<file path=xl/ctrlProps/ctrlProp411.xml><?xml version="1.0" encoding="utf-8"?>
<formControlPr xmlns="http://schemas.microsoft.com/office/spreadsheetml/2009/9/main" objectType="Spin" dx="39" fmlaLink="$AF$257" max="30000" page="10" val="72"/>
</file>

<file path=xl/ctrlProps/ctrlProp412.xml><?xml version="1.0" encoding="utf-8"?>
<formControlPr xmlns="http://schemas.microsoft.com/office/spreadsheetml/2009/9/main" objectType="Spin" dx="39" fmlaLink="$AF$258" max="30000" page="10" val="72"/>
</file>

<file path=xl/ctrlProps/ctrlProp413.xml><?xml version="1.0" encoding="utf-8"?>
<formControlPr xmlns="http://schemas.microsoft.com/office/spreadsheetml/2009/9/main" objectType="Spin" dx="39" fmlaLink="$AF$259" max="30000" page="10" val="28"/>
</file>

<file path=xl/ctrlProps/ctrlProp414.xml><?xml version="1.0" encoding="utf-8"?>
<formControlPr xmlns="http://schemas.microsoft.com/office/spreadsheetml/2009/9/main" objectType="Spin" dx="39" fmlaLink="$AF$260" max="30000" page="10" val="28"/>
</file>

<file path=xl/ctrlProps/ctrlProp415.xml><?xml version="1.0" encoding="utf-8"?>
<formControlPr xmlns="http://schemas.microsoft.com/office/spreadsheetml/2009/9/main" objectType="Spin" dx="39" fmlaLink="$AK$255" max="30000" page="10" val="240"/>
</file>

<file path=xl/ctrlProps/ctrlProp416.xml><?xml version="1.0" encoding="utf-8"?>
<formControlPr xmlns="http://schemas.microsoft.com/office/spreadsheetml/2009/9/main" objectType="Spin" dx="39" fmlaLink="$AK$256" max="30000" page="10" val="50"/>
</file>

<file path=xl/ctrlProps/ctrlProp417.xml><?xml version="1.0" encoding="utf-8"?>
<formControlPr xmlns="http://schemas.microsoft.com/office/spreadsheetml/2009/9/main" objectType="Spin" dx="39" fmlaLink="$AK$257" max="30000" page="10" val="500"/>
</file>

<file path=xl/ctrlProps/ctrlProp418.xml><?xml version="1.0" encoding="utf-8"?>
<formControlPr xmlns="http://schemas.microsoft.com/office/spreadsheetml/2009/9/main" objectType="Spin" dx="39" fmlaLink="$L$262" max="30000" page="10" val="285"/>
</file>

<file path=xl/ctrlProps/ctrlProp42.xml><?xml version="1.0" encoding="utf-8"?>
<formControlPr xmlns="http://schemas.microsoft.com/office/spreadsheetml/2009/9/main" objectType="Spin" dx="39" fmlaLink="$L$50" max="30000" page="10" val="101"/>
</file>

<file path=xl/ctrlProps/ctrlProp43.xml><?xml version="1.0" encoding="utf-8"?>
<formControlPr xmlns="http://schemas.microsoft.com/office/spreadsheetml/2009/9/main" objectType="Spin" dx="39" fmlaLink="$H$51" max="30000" page="10" val="65"/>
</file>

<file path=xl/ctrlProps/ctrlProp44.xml><?xml version="1.0" encoding="utf-8"?>
<formControlPr xmlns="http://schemas.microsoft.com/office/spreadsheetml/2009/9/main" objectType="Spin" dx="39" fmlaLink="$H$52" max="30000" page="10" val="295"/>
</file>

<file path=xl/ctrlProps/ctrlProp45.xml><?xml version="1.0" encoding="utf-8"?>
<formControlPr xmlns="http://schemas.microsoft.com/office/spreadsheetml/2009/9/main" objectType="Spin" dx="39" fmlaLink="$H$53" max="30000" page="10" val="295"/>
</file>

<file path=xl/ctrlProps/ctrlProp46.xml><?xml version="1.0" encoding="utf-8"?>
<formControlPr xmlns="http://schemas.microsoft.com/office/spreadsheetml/2009/9/main" objectType="Spin" dx="39" fmlaLink="$L$51" max="30000" page="10" val="55"/>
</file>

<file path=xl/ctrlProps/ctrlProp47.xml><?xml version="1.0" encoding="utf-8"?>
<formControlPr xmlns="http://schemas.microsoft.com/office/spreadsheetml/2009/9/main" objectType="Spin" dx="39" fmlaLink="$L$52" max="30000" page="10" val="293"/>
</file>

<file path=xl/ctrlProps/ctrlProp48.xml><?xml version="1.0" encoding="utf-8"?>
<formControlPr xmlns="http://schemas.microsoft.com/office/spreadsheetml/2009/9/main" objectType="Spin" dx="39" fmlaLink="$L$53" max="30000" page="10" val="286"/>
</file>

<file path=xl/ctrlProps/ctrlProp49.xml><?xml version="1.0" encoding="utf-8"?>
<formControlPr xmlns="http://schemas.microsoft.com/office/spreadsheetml/2009/9/main" objectType="Spin" dx="39" fmlaLink="$D$83" max="30000" page="10" val="233"/>
</file>

<file path=xl/ctrlProps/ctrlProp5.xml><?xml version="1.0" encoding="utf-8"?>
<formControlPr xmlns="http://schemas.microsoft.com/office/spreadsheetml/2009/9/main" objectType="Spin" dx="39" fmlaLink="$D$20" max="30000" page="10" val="2545"/>
</file>

<file path=xl/ctrlProps/ctrlProp50.xml><?xml version="1.0" encoding="utf-8"?>
<formControlPr xmlns="http://schemas.microsoft.com/office/spreadsheetml/2009/9/main" objectType="Spin" dx="39" fmlaLink="$D$82" max="30000" page="10" val="248"/>
</file>

<file path=xl/ctrlProps/ctrlProp51.xml><?xml version="1.0" encoding="utf-8"?>
<formControlPr xmlns="http://schemas.microsoft.com/office/spreadsheetml/2009/9/main" objectType="Spin" dx="39" fmlaLink="$D$81" max="30000" page="10" val="601"/>
</file>

<file path=xl/ctrlProps/ctrlProp52.xml><?xml version="1.0" encoding="utf-8"?>
<formControlPr xmlns="http://schemas.microsoft.com/office/spreadsheetml/2009/9/main" objectType="Spin" dx="39" fmlaLink="$D$80" max="30000" page="10" val="2545"/>
</file>

<file path=xl/ctrlProps/ctrlProp53.xml><?xml version="1.0" encoding="utf-8"?>
<formControlPr xmlns="http://schemas.microsoft.com/office/spreadsheetml/2009/9/main" objectType="Spin" dx="39" fmlaLink="$D$79" max="30000" page="10" val="2256"/>
</file>

<file path=xl/ctrlProps/ctrlProp54.xml><?xml version="1.0" encoding="utf-8"?>
<formControlPr xmlns="http://schemas.microsoft.com/office/spreadsheetml/2009/9/main" objectType="Spin" dx="39" fmlaLink="$D$78" max="30000" page="10" val="406"/>
</file>

<file path=xl/ctrlProps/ctrlProp55.xml><?xml version="1.0" encoding="utf-8"?>
<formControlPr xmlns="http://schemas.microsoft.com/office/spreadsheetml/2009/9/main" objectType="Spin" dx="39" fmlaLink="$D$77" max="30000" page="10" val="3207"/>
</file>

<file path=xl/ctrlProps/ctrlProp56.xml><?xml version="1.0" encoding="utf-8"?>
<formControlPr xmlns="http://schemas.microsoft.com/office/spreadsheetml/2009/9/main" objectType="Spin" dx="39" fmlaLink="$D$76" max="30000" page="10" val="505"/>
</file>

<file path=xl/ctrlProps/ctrlProp57.xml><?xml version="1.0" encoding="utf-8"?>
<formControlPr xmlns="http://schemas.microsoft.com/office/spreadsheetml/2009/9/main" objectType="Spin" dx="39" fmlaLink="$H$83" max="30000" page="10" val="295"/>
</file>

<file path=xl/ctrlProps/ctrlProp58.xml><?xml version="1.0" encoding="utf-8"?>
<formControlPr xmlns="http://schemas.microsoft.com/office/spreadsheetml/2009/9/main" objectType="Spin" dx="39" fmlaLink="$H$82" max="30000" page="10" val="295"/>
</file>

<file path=xl/ctrlProps/ctrlProp59.xml><?xml version="1.0" encoding="utf-8"?>
<formControlPr xmlns="http://schemas.microsoft.com/office/spreadsheetml/2009/9/main" objectType="Spin" dx="39" fmlaLink="$H$81" max="30000" page="10" val="65"/>
</file>

<file path=xl/ctrlProps/ctrlProp6.xml><?xml version="1.0" encoding="utf-8"?>
<formControlPr xmlns="http://schemas.microsoft.com/office/spreadsheetml/2009/9/main" objectType="Spin" dx="39" fmlaLink="$D$21" max="30000" page="10" val="601"/>
</file>

<file path=xl/ctrlProps/ctrlProp60.xml><?xml version="1.0" encoding="utf-8"?>
<formControlPr xmlns="http://schemas.microsoft.com/office/spreadsheetml/2009/9/main" objectType="Spin" dx="39" fmlaLink="$H$80" max="30000" page="10" val="165"/>
</file>

<file path=xl/ctrlProps/ctrlProp61.xml><?xml version="1.0" encoding="utf-8"?>
<formControlPr xmlns="http://schemas.microsoft.com/office/spreadsheetml/2009/9/main" objectType="Spin" dx="39" fmlaLink="$H$79" max="30000" page="10" val="65"/>
</file>

<file path=xl/ctrlProps/ctrlProp62.xml><?xml version="1.0" encoding="utf-8"?>
<formControlPr xmlns="http://schemas.microsoft.com/office/spreadsheetml/2009/9/main" objectType="Spin" dx="39" fmlaLink="$H$78" max="30000" page="10" val="165"/>
</file>

<file path=xl/ctrlProps/ctrlProp63.xml><?xml version="1.0" encoding="utf-8"?>
<formControlPr xmlns="http://schemas.microsoft.com/office/spreadsheetml/2009/9/main" objectType="Spin" dx="39" fmlaLink="$H$77" max="30000" page="10" val="65"/>
</file>

<file path=xl/ctrlProps/ctrlProp64.xml><?xml version="1.0" encoding="utf-8"?>
<formControlPr xmlns="http://schemas.microsoft.com/office/spreadsheetml/2009/9/main" objectType="Spin" dx="39" fmlaLink="$H$76" max="30000" page="10" val="179"/>
</file>

<file path=xl/ctrlProps/ctrlProp65.xml><?xml version="1.0" encoding="utf-8"?>
<formControlPr xmlns="http://schemas.microsoft.com/office/spreadsheetml/2009/9/main" objectType="Spin" dx="39" fmlaLink="$L$83" max="30000" page="10" val="260"/>
</file>

<file path=xl/ctrlProps/ctrlProp66.xml><?xml version="1.0" encoding="utf-8"?>
<formControlPr xmlns="http://schemas.microsoft.com/office/spreadsheetml/2009/9/main" objectType="Spin" dx="39" fmlaLink="$L$82" max="30000" page="10" val="260"/>
</file>

<file path=xl/ctrlProps/ctrlProp67.xml><?xml version="1.0" encoding="utf-8"?>
<formControlPr xmlns="http://schemas.microsoft.com/office/spreadsheetml/2009/9/main" objectType="Spin" dx="39" fmlaLink="$L$81" max="30000" page="10" val="55"/>
</file>

<file path=xl/ctrlProps/ctrlProp68.xml><?xml version="1.0" encoding="utf-8"?>
<formControlPr xmlns="http://schemas.microsoft.com/office/spreadsheetml/2009/9/main" objectType="Spin" dx="39" fmlaLink="$L$80" max="30000" page="10" val="70"/>
</file>

<file path=xl/ctrlProps/ctrlProp69.xml><?xml version="1.0" encoding="utf-8"?>
<formControlPr xmlns="http://schemas.microsoft.com/office/spreadsheetml/2009/9/main" objectType="Spin" dx="39" fmlaLink="$L$79" max="30000" page="10" val="66"/>
</file>

<file path=xl/ctrlProps/ctrlProp7.xml><?xml version="1.0" encoding="utf-8"?>
<formControlPr xmlns="http://schemas.microsoft.com/office/spreadsheetml/2009/9/main" objectType="Spin" dx="39" fmlaLink="$D$22" max="30000" page="10" val="248"/>
</file>

<file path=xl/ctrlProps/ctrlProp70.xml><?xml version="1.0" encoding="utf-8"?>
<formControlPr xmlns="http://schemas.microsoft.com/office/spreadsheetml/2009/9/main" objectType="Spin" dx="39" fmlaLink="$L$78" max="30000" page="10" val="50"/>
</file>

<file path=xl/ctrlProps/ctrlProp71.xml><?xml version="1.0" encoding="utf-8"?>
<formControlPr xmlns="http://schemas.microsoft.com/office/spreadsheetml/2009/9/main" objectType="Spin" dx="39" fmlaLink="$L$77" max="30000" page="10" val="28"/>
</file>

<file path=xl/ctrlProps/ctrlProp72.xml><?xml version="1.0" encoding="utf-8"?>
<formControlPr xmlns="http://schemas.microsoft.com/office/spreadsheetml/2009/9/main" objectType="Spin" dx="39" fmlaLink="$L$76" max="30000" page="10" val="170"/>
</file>

<file path=xl/ctrlProps/ctrlProp73.xml><?xml version="1.0" encoding="utf-8"?>
<formControlPr xmlns="http://schemas.microsoft.com/office/spreadsheetml/2009/9/main" objectType="Spin" dx="39" fmlaLink="$D$106" max="30000" page="10" val="534"/>
</file>

<file path=xl/ctrlProps/ctrlProp74.xml><?xml version="1.0" encoding="utf-8"?>
<formControlPr xmlns="http://schemas.microsoft.com/office/spreadsheetml/2009/9/main" objectType="Spin" dx="39" fmlaLink="$D$107" max="30000" page="10" val="3189"/>
</file>

<file path=xl/ctrlProps/ctrlProp75.xml><?xml version="1.0" encoding="utf-8"?>
<formControlPr xmlns="http://schemas.microsoft.com/office/spreadsheetml/2009/9/main" objectType="Spin" dx="39" fmlaLink="$D$108" max="30000" page="10" val="403"/>
</file>

<file path=xl/ctrlProps/ctrlProp76.xml><?xml version="1.0" encoding="utf-8"?>
<formControlPr xmlns="http://schemas.microsoft.com/office/spreadsheetml/2009/9/main" objectType="Spin" dx="39" fmlaLink="$D$109" max="30000" page="10" val="2247"/>
</file>

<file path=xl/ctrlProps/ctrlProp77.xml><?xml version="1.0" encoding="utf-8"?>
<formControlPr xmlns="http://schemas.microsoft.com/office/spreadsheetml/2009/9/main" objectType="Spin" dx="39" fmlaLink="$D$110" max="30000" page="10" val="2548"/>
</file>

<file path=xl/ctrlProps/ctrlProp78.xml><?xml version="1.0" encoding="utf-8"?>
<formControlPr xmlns="http://schemas.microsoft.com/office/spreadsheetml/2009/9/main" objectType="Spin" dx="39" fmlaLink="$D$111" max="30000" page="10" val="592"/>
</file>

<file path=xl/ctrlProps/ctrlProp79.xml><?xml version="1.0" encoding="utf-8"?>
<formControlPr xmlns="http://schemas.microsoft.com/office/spreadsheetml/2009/9/main" objectType="Spin" dx="39" fmlaLink="$D$112" max="30000" page="10" val="249"/>
</file>

<file path=xl/ctrlProps/ctrlProp8.xml><?xml version="1.0" encoding="utf-8"?>
<formControlPr xmlns="http://schemas.microsoft.com/office/spreadsheetml/2009/9/main" objectType="Spin" dx="39" fmlaLink="$D$23" max="30000" page="10" val="233"/>
</file>

<file path=xl/ctrlProps/ctrlProp80.xml><?xml version="1.0" encoding="utf-8"?>
<formControlPr xmlns="http://schemas.microsoft.com/office/spreadsheetml/2009/9/main" objectType="Spin" dx="39" fmlaLink="$D$113" max="30000" page="10" val="241"/>
</file>

<file path=xl/ctrlProps/ctrlProp81.xml><?xml version="1.0" encoding="utf-8"?>
<formControlPr xmlns="http://schemas.microsoft.com/office/spreadsheetml/2009/9/main" objectType="Spin" dx="39" fmlaLink="$H$106" max="30000" page="10" val="155"/>
</file>

<file path=xl/ctrlProps/ctrlProp82.xml><?xml version="1.0" encoding="utf-8"?>
<formControlPr xmlns="http://schemas.microsoft.com/office/spreadsheetml/2009/9/main" objectType="Spin" dx="39" fmlaLink="$H$107" max="30000" page="10" val="143"/>
</file>

<file path=xl/ctrlProps/ctrlProp83.xml><?xml version="1.0" encoding="utf-8"?>
<formControlPr xmlns="http://schemas.microsoft.com/office/spreadsheetml/2009/9/main" objectType="Spin" dx="39" fmlaLink="$H$108" max="30000" page="10" val="143"/>
</file>

<file path=xl/ctrlProps/ctrlProp84.xml><?xml version="1.0" encoding="utf-8"?>
<formControlPr xmlns="http://schemas.microsoft.com/office/spreadsheetml/2009/9/main" objectType="Spin" dx="39" fmlaLink="$H$109" max="30000" page="10" val="143"/>
</file>

<file path=xl/ctrlProps/ctrlProp85.xml><?xml version="1.0" encoding="utf-8"?>
<formControlPr xmlns="http://schemas.microsoft.com/office/spreadsheetml/2009/9/main" objectType="Spin" dx="39" fmlaLink="$H$110" max="30000" page="10" val="149"/>
</file>

<file path=xl/ctrlProps/ctrlProp86.xml><?xml version="1.0" encoding="utf-8"?>
<formControlPr xmlns="http://schemas.microsoft.com/office/spreadsheetml/2009/9/main" objectType="Spin" dx="39" fmlaLink="$H$111" max="30000" page="10" val="143"/>
</file>

<file path=xl/ctrlProps/ctrlProp87.xml><?xml version="1.0" encoding="utf-8"?>
<formControlPr xmlns="http://schemas.microsoft.com/office/spreadsheetml/2009/9/main" objectType="Spin" dx="39" fmlaLink="$H$112" max="30000" page="10" val="145"/>
</file>

<file path=xl/ctrlProps/ctrlProp88.xml><?xml version="1.0" encoding="utf-8"?>
<formControlPr xmlns="http://schemas.microsoft.com/office/spreadsheetml/2009/9/main" objectType="Spin" dx="39" fmlaLink="$H$113" max="30000" page="10" val="139"/>
</file>

<file path=xl/ctrlProps/ctrlProp89.xml><?xml version="1.0" encoding="utf-8"?>
<formControlPr xmlns="http://schemas.microsoft.com/office/spreadsheetml/2009/9/main" objectType="Spin" dx="39" fmlaLink="$L$106" max="30000" page="10" val="170"/>
</file>

<file path=xl/ctrlProps/ctrlProp9.xml><?xml version="1.0" encoding="utf-8"?>
<formControlPr xmlns="http://schemas.microsoft.com/office/spreadsheetml/2009/9/main" objectType="Spin" dx="39" fmlaLink="$H$16" max="30000" page="10" val="155"/>
</file>

<file path=xl/ctrlProps/ctrlProp90.xml><?xml version="1.0" encoding="utf-8"?>
<formControlPr xmlns="http://schemas.microsoft.com/office/spreadsheetml/2009/9/main" objectType="Spin" dx="39" fmlaLink="$L$107" max="30000" page="10" val="28"/>
</file>

<file path=xl/ctrlProps/ctrlProp91.xml><?xml version="1.0" encoding="utf-8"?>
<formControlPr xmlns="http://schemas.microsoft.com/office/spreadsheetml/2009/9/main" objectType="Spin" dx="39" fmlaLink="$L$108" max="30000" page="10" val="60"/>
</file>

<file path=xl/ctrlProps/ctrlProp92.xml><?xml version="1.0" encoding="utf-8"?>
<formControlPr xmlns="http://schemas.microsoft.com/office/spreadsheetml/2009/9/main" objectType="Spin" dx="39" fmlaLink="$L$109" max="30000" page="10" val="66"/>
</file>

<file path=xl/ctrlProps/ctrlProp93.xml><?xml version="1.0" encoding="utf-8"?>
<formControlPr xmlns="http://schemas.microsoft.com/office/spreadsheetml/2009/9/main" objectType="Spin" dx="39" fmlaLink="$L$110" max="30000" page="10" val="70"/>
</file>

<file path=xl/ctrlProps/ctrlProp94.xml><?xml version="1.0" encoding="utf-8"?>
<formControlPr xmlns="http://schemas.microsoft.com/office/spreadsheetml/2009/9/main" objectType="Spin" dx="39" fmlaLink="$L$111" max="30000" page="10" val="55"/>
</file>

<file path=xl/ctrlProps/ctrlProp95.xml><?xml version="1.0" encoding="utf-8"?>
<formControlPr xmlns="http://schemas.microsoft.com/office/spreadsheetml/2009/9/main" objectType="Spin" dx="39" fmlaLink="$L$112" max="30000" page="10" val="322"/>
</file>

<file path=xl/ctrlProps/ctrlProp96.xml><?xml version="1.0" encoding="utf-8"?>
<formControlPr xmlns="http://schemas.microsoft.com/office/spreadsheetml/2009/9/main" objectType="Spin" dx="39" fmlaLink="$L$113" max="30000" page="10" val="285"/>
</file>

<file path=xl/ctrlProps/ctrlProp97.xml><?xml version="1.0" encoding="utf-8"?>
<formControlPr xmlns="http://schemas.microsoft.com/office/spreadsheetml/2009/9/main" objectType="Spin" dx="39" fmlaLink="$Q$16" max="30000" page="10" val="1065"/>
</file>

<file path=xl/ctrlProps/ctrlProp98.xml><?xml version="1.0" encoding="utf-8"?>
<formControlPr xmlns="http://schemas.microsoft.com/office/spreadsheetml/2009/9/main" objectType="Spin" dx="39" fmlaLink="$Q$17" max="30000" page="10" val="312"/>
</file>

<file path=xl/ctrlProps/ctrlProp99.xml><?xml version="1.0" encoding="utf-8"?>
<formControlPr xmlns="http://schemas.microsoft.com/office/spreadsheetml/2009/9/main" objectType="Spin" dx="39" fmlaLink="$Q$18" max="30000" page="10" val="50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12" Type="http://schemas.openxmlformats.org/officeDocument/2006/relationships/chart" Target="../charts/chart1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3.png"/><Relationship Id="rId5" Type="http://schemas.openxmlformats.org/officeDocument/2006/relationships/chart" Target="../charts/chart8.xml"/><Relationship Id="rId10" Type="http://schemas.openxmlformats.org/officeDocument/2006/relationships/image" Target="../media/image2.png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446087</xdr:colOff>
      <xdr:row>4</xdr:row>
      <xdr:rowOff>7937</xdr:rowOff>
    </xdr:from>
    <xdr:to>
      <xdr:col>38</xdr:col>
      <xdr:colOff>141287</xdr:colOff>
      <xdr:row>27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A420F-5ED3-90A5-6D99-A5385FED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430212</xdr:colOff>
      <xdr:row>28</xdr:row>
      <xdr:rowOff>93662</xdr:rowOff>
    </xdr:from>
    <xdr:to>
      <xdr:col>38</xdr:col>
      <xdr:colOff>125412</xdr:colOff>
      <xdr:row>53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1AA57-52CF-5C0B-C812-B5E84E79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39687</xdr:colOff>
      <xdr:row>41</xdr:row>
      <xdr:rowOff>49212</xdr:rowOff>
    </xdr:from>
    <xdr:to>
      <xdr:col>29</xdr:col>
      <xdr:colOff>428625</xdr:colOff>
      <xdr:row>73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4CAFC-6F02-32E2-9DA1-E744377F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3</xdr:row>
      <xdr:rowOff>22225</xdr:rowOff>
    </xdr:from>
    <xdr:to>
      <xdr:col>21</xdr:col>
      <xdr:colOff>157162</xdr:colOff>
      <xdr:row>28</xdr:row>
      <xdr:rowOff>73025</xdr:rowOff>
    </xdr:to>
    <xdr:graphicFrame macro="">
      <xdr:nvGraphicFramePr>
        <xdr:cNvPr id="50" name="Chart 4">
          <a:extLst>
            <a:ext uri="{FF2B5EF4-FFF2-40B4-BE49-F238E27FC236}">
              <a16:creationId xmlns:a16="http://schemas.microsoft.com/office/drawing/2014/main" id="{D42CC49C-BA31-4E71-A094-B94219C2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28</xdr:row>
      <xdr:rowOff>131764</xdr:rowOff>
    </xdr:from>
    <xdr:to>
      <xdr:col>21</xdr:col>
      <xdr:colOff>152400</xdr:colOff>
      <xdr:row>54</xdr:row>
      <xdr:rowOff>23814</xdr:rowOff>
    </xdr:to>
    <xdr:graphicFrame macro="">
      <xdr:nvGraphicFramePr>
        <xdr:cNvPr id="76" name="Chart 3">
          <a:extLst>
            <a:ext uri="{FF2B5EF4-FFF2-40B4-BE49-F238E27FC236}">
              <a16:creationId xmlns:a16="http://schemas.microsoft.com/office/drawing/2014/main" id="{CD2B10D8-650B-49D0-B88C-39B551C10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64220</xdr:colOff>
      <xdr:row>29</xdr:row>
      <xdr:rowOff>26843</xdr:rowOff>
    </xdr:from>
    <xdr:to>
      <xdr:col>41</xdr:col>
      <xdr:colOff>212291</xdr:colOff>
      <xdr:row>54</xdr:row>
      <xdr:rowOff>55418</xdr:rowOff>
    </xdr:to>
    <xdr:graphicFrame macro="">
      <xdr:nvGraphicFramePr>
        <xdr:cNvPr id="145" name="Chart 7">
          <a:extLst>
            <a:ext uri="{FF2B5EF4-FFF2-40B4-BE49-F238E27FC236}">
              <a16:creationId xmlns:a16="http://schemas.microsoft.com/office/drawing/2014/main" id="{83910285-722A-45C9-BBBE-635C82A63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141142</xdr:colOff>
      <xdr:row>3</xdr:row>
      <xdr:rowOff>16451</xdr:rowOff>
    </xdr:from>
    <xdr:to>
      <xdr:col>41</xdr:col>
      <xdr:colOff>327313</xdr:colOff>
      <xdr:row>28</xdr:row>
      <xdr:rowOff>74467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883C1D0-515B-4112-97C2-0F565665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614074</xdr:colOff>
      <xdr:row>3</xdr:row>
      <xdr:rowOff>167840</xdr:rowOff>
    </xdr:from>
    <xdr:to>
      <xdr:col>51</xdr:col>
      <xdr:colOff>375804</xdr:colOff>
      <xdr:row>29</xdr:row>
      <xdr:rowOff>43149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DF06955F-3C0F-4627-BD8A-DA9308CE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264536</xdr:colOff>
      <xdr:row>54</xdr:row>
      <xdr:rowOff>171450</xdr:rowOff>
    </xdr:from>
    <xdr:to>
      <xdr:col>40</xdr:col>
      <xdr:colOff>628218</xdr:colOff>
      <xdr:row>79</xdr:row>
      <xdr:rowOff>161925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5923E257-ECE6-4A67-B02B-64F59490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0</xdr:colOff>
      <xdr:row>30</xdr:row>
      <xdr:rowOff>0</xdr:rowOff>
    </xdr:from>
    <xdr:to>
      <xdr:col>51</xdr:col>
      <xdr:colOff>345025</xdr:colOff>
      <xdr:row>55</xdr:row>
      <xdr:rowOff>45253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CDE3B7-7B7D-1E03-DDF7-027163B5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503188" y="5357813"/>
          <a:ext cx="5809992" cy="4505334"/>
        </a:xfrm>
        <a:prstGeom prst="rect">
          <a:avLst/>
        </a:prstGeom>
      </xdr:spPr>
    </xdr:pic>
    <xdr:clientData/>
  </xdr:twoCellAnchor>
  <xdr:twoCellAnchor>
    <xdr:from>
      <xdr:col>2</xdr:col>
      <xdr:colOff>5557</xdr:colOff>
      <xdr:row>3</xdr:row>
      <xdr:rowOff>22225</xdr:rowOff>
    </xdr:from>
    <xdr:to>
      <xdr:col>11</xdr:col>
      <xdr:colOff>396082</xdr:colOff>
      <xdr:row>28</xdr:row>
      <xdr:rowOff>82549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7D5AC37C-BB07-A1E4-709B-F3A006BE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11340</xdr:colOff>
      <xdr:row>28</xdr:row>
      <xdr:rowOff>131309</xdr:rowOff>
    </xdr:from>
    <xdr:to>
      <xdr:col>11</xdr:col>
      <xdr:colOff>390412</xdr:colOff>
      <xdr:row>53</xdr:row>
      <xdr:rowOff>162151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4BB2C7A9-BEEF-C370-38DA-AEAA369A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410441</xdr:colOff>
      <xdr:row>54</xdr:row>
      <xdr:rowOff>80529</xdr:rowOff>
    </xdr:from>
    <xdr:to>
      <xdr:col>21</xdr:col>
      <xdr:colOff>151535</xdr:colOff>
      <xdr:row>79</xdr:row>
      <xdr:rowOff>66250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C2660A-A1A9-7825-F3ED-E26900E8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54191" y="9899938"/>
          <a:ext cx="6235412" cy="4526982"/>
        </a:xfrm>
        <a:prstGeom prst="rect">
          <a:avLst/>
        </a:prstGeom>
      </xdr:spPr>
    </xdr:pic>
    <xdr:clientData/>
  </xdr:twoCellAnchor>
  <xdr:twoCellAnchor editAs="oneCell">
    <xdr:from>
      <xdr:col>1</xdr:col>
      <xdr:colOff>648566</xdr:colOff>
      <xdr:row>54</xdr:row>
      <xdr:rowOff>52819</xdr:rowOff>
    </xdr:from>
    <xdr:to>
      <xdr:col>11</xdr:col>
      <xdr:colOff>351126</xdr:colOff>
      <xdr:row>79</xdr:row>
      <xdr:rowOff>77265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F7EE92-F826-2014-589B-27C6BE2F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7998" y="9872228"/>
          <a:ext cx="6192116" cy="4565707"/>
        </a:xfrm>
        <a:prstGeom prst="rect">
          <a:avLst/>
        </a:prstGeom>
      </xdr:spPr>
    </xdr:pic>
    <xdr:clientData/>
  </xdr:twoCellAnchor>
  <xdr:twoCellAnchor>
    <xdr:from>
      <xdr:col>1</xdr:col>
      <xdr:colOff>607433</xdr:colOff>
      <xdr:row>80</xdr:row>
      <xdr:rowOff>142441</xdr:rowOff>
    </xdr:from>
    <xdr:to>
      <xdr:col>21</xdr:col>
      <xdr:colOff>121227</xdr:colOff>
      <xdr:row>102</xdr:row>
      <xdr:rowOff>173182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7E5CE9-BFD3-40E8-B274-161AB9E0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4</xdr:row>
          <xdr:rowOff>38100</xdr:rowOff>
        </xdr:from>
        <xdr:to>
          <xdr:col>5</xdr:col>
          <xdr:colOff>914400</xdr:colOff>
          <xdr:row>4</xdr:row>
          <xdr:rowOff>466725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5</xdr:row>
          <xdr:rowOff>38100</xdr:rowOff>
        </xdr:from>
        <xdr:to>
          <xdr:col>5</xdr:col>
          <xdr:colOff>914400</xdr:colOff>
          <xdr:row>5</xdr:row>
          <xdr:rowOff>466725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</xdr:row>
          <xdr:rowOff>38100</xdr:rowOff>
        </xdr:from>
        <xdr:to>
          <xdr:col>5</xdr:col>
          <xdr:colOff>914400</xdr:colOff>
          <xdr:row>6</xdr:row>
          <xdr:rowOff>466725</xdr:rowOff>
        </xdr:to>
        <xdr:sp macro="" textlink="">
          <xdr:nvSpPr>
            <xdr:cNvPr id="11267" name="Spinner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7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7</xdr:row>
          <xdr:rowOff>38100</xdr:rowOff>
        </xdr:from>
        <xdr:to>
          <xdr:col>5</xdr:col>
          <xdr:colOff>914400</xdr:colOff>
          <xdr:row>7</xdr:row>
          <xdr:rowOff>466725</xdr:rowOff>
        </xdr:to>
        <xdr:sp macro="" textlink="">
          <xdr:nvSpPr>
            <xdr:cNvPr id="11268" name="Spinner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7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8</xdr:row>
          <xdr:rowOff>9525</xdr:rowOff>
        </xdr:from>
        <xdr:to>
          <xdr:col>5</xdr:col>
          <xdr:colOff>914400</xdr:colOff>
          <xdr:row>8</xdr:row>
          <xdr:rowOff>438150</xdr:rowOff>
        </xdr:to>
        <xdr:sp macro="" textlink="">
          <xdr:nvSpPr>
            <xdr:cNvPr id="11270" name="Spinne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7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9</xdr:row>
          <xdr:rowOff>38100</xdr:rowOff>
        </xdr:from>
        <xdr:to>
          <xdr:col>5</xdr:col>
          <xdr:colOff>914400</xdr:colOff>
          <xdr:row>9</xdr:row>
          <xdr:rowOff>466725</xdr:rowOff>
        </xdr:to>
        <xdr:sp macro="" textlink="">
          <xdr:nvSpPr>
            <xdr:cNvPr id="11272" name="Spinner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7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10</xdr:row>
          <xdr:rowOff>38100</xdr:rowOff>
        </xdr:from>
        <xdr:to>
          <xdr:col>5</xdr:col>
          <xdr:colOff>914400</xdr:colOff>
          <xdr:row>10</xdr:row>
          <xdr:rowOff>466725</xdr:rowOff>
        </xdr:to>
        <xdr:sp macro="" textlink="">
          <xdr:nvSpPr>
            <xdr:cNvPr id="11274" name="Spinner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7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11</xdr:row>
          <xdr:rowOff>38100</xdr:rowOff>
        </xdr:from>
        <xdr:to>
          <xdr:col>5</xdr:col>
          <xdr:colOff>914400</xdr:colOff>
          <xdr:row>11</xdr:row>
          <xdr:rowOff>466725</xdr:rowOff>
        </xdr:to>
        <xdr:sp macro="" textlink="">
          <xdr:nvSpPr>
            <xdr:cNvPr id="11276" name="Spinner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7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4</xdr:row>
          <xdr:rowOff>38100</xdr:rowOff>
        </xdr:from>
        <xdr:to>
          <xdr:col>9</xdr:col>
          <xdr:colOff>914400</xdr:colOff>
          <xdr:row>4</xdr:row>
          <xdr:rowOff>466725</xdr:rowOff>
        </xdr:to>
        <xdr:sp macro="" textlink="">
          <xdr:nvSpPr>
            <xdr:cNvPr id="11277" name="Spinner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7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5</xdr:row>
          <xdr:rowOff>38100</xdr:rowOff>
        </xdr:from>
        <xdr:to>
          <xdr:col>9</xdr:col>
          <xdr:colOff>914400</xdr:colOff>
          <xdr:row>5</xdr:row>
          <xdr:rowOff>466725</xdr:rowOff>
        </xdr:to>
        <xdr:sp macro="" textlink="">
          <xdr:nvSpPr>
            <xdr:cNvPr id="11278" name="Spinner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7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6</xdr:row>
          <xdr:rowOff>38100</xdr:rowOff>
        </xdr:from>
        <xdr:to>
          <xdr:col>9</xdr:col>
          <xdr:colOff>914400</xdr:colOff>
          <xdr:row>6</xdr:row>
          <xdr:rowOff>466725</xdr:rowOff>
        </xdr:to>
        <xdr:sp macro="" textlink="">
          <xdr:nvSpPr>
            <xdr:cNvPr id="11279" name="Spinner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7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7</xdr:row>
          <xdr:rowOff>38100</xdr:rowOff>
        </xdr:from>
        <xdr:to>
          <xdr:col>9</xdr:col>
          <xdr:colOff>914400</xdr:colOff>
          <xdr:row>7</xdr:row>
          <xdr:rowOff>466725</xdr:rowOff>
        </xdr:to>
        <xdr:sp macro="" textlink="">
          <xdr:nvSpPr>
            <xdr:cNvPr id="11280" name="Spinner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7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8</xdr:row>
          <xdr:rowOff>38100</xdr:rowOff>
        </xdr:from>
        <xdr:to>
          <xdr:col>9</xdr:col>
          <xdr:colOff>914400</xdr:colOff>
          <xdr:row>8</xdr:row>
          <xdr:rowOff>466725</xdr:rowOff>
        </xdr:to>
        <xdr:sp macro="" textlink="">
          <xdr:nvSpPr>
            <xdr:cNvPr id="11281" name="Spinner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7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9</xdr:row>
          <xdr:rowOff>38100</xdr:rowOff>
        </xdr:from>
        <xdr:to>
          <xdr:col>9</xdr:col>
          <xdr:colOff>914400</xdr:colOff>
          <xdr:row>9</xdr:row>
          <xdr:rowOff>466725</xdr:rowOff>
        </xdr:to>
        <xdr:sp macro="" textlink="">
          <xdr:nvSpPr>
            <xdr:cNvPr id="11282" name="Spinner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7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10</xdr:row>
          <xdr:rowOff>38100</xdr:rowOff>
        </xdr:from>
        <xdr:to>
          <xdr:col>9</xdr:col>
          <xdr:colOff>914400</xdr:colOff>
          <xdr:row>10</xdr:row>
          <xdr:rowOff>466725</xdr:rowOff>
        </xdr:to>
        <xdr:sp macro="" textlink="">
          <xdr:nvSpPr>
            <xdr:cNvPr id="11283" name="Spinner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7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11</xdr:row>
          <xdr:rowOff>38100</xdr:rowOff>
        </xdr:from>
        <xdr:to>
          <xdr:col>9</xdr:col>
          <xdr:colOff>914400</xdr:colOff>
          <xdr:row>11</xdr:row>
          <xdr:rowOff>466725</xdr:rowOff>
        </xdr:to>
        <xdr:sp macro="" textlink="">
          <xdr:nvSpPr>
            <xdr:cNvPr id="11284" name="Spinner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7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</xdr:row>
          <xdr:rowOff>38100</xdr:rowOff>
        </xdr:from>
        <xdr:to>
          <xdr:col>13</xdr:col>
          <xdr:colOff>914400</xdr:colOff>
          <xdr:row>4</xdr:row>
          <xdr:rowOff>466725</xdr:rowOff>
        </xdr:to>
        <xdr:sp macro="" textlink="">
          <xdr:nvSpPr>
            <xdr:cNvPr id="11285" name="Spinner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7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</xdr:row>
          <xdr:rowOff>38100</xdr:rowOff>
        </xdr:from>
        <xdr:to>
          <xdr:col>13</xdr:col>
          <xdr:colOff>914400</xdr:colOff>
          <xdr:row>5</xdr:row>
          <xdr:rowOff>466725</xdr:rowOff>
        </xdr:to>
        <xdr:sp macro="" textlink="">
          <xdr:nvSpPr>
            <xdr:cNvPr id="11286" name="Spinner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7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</xdr:row>
          <xdr:rowOff>38100</xdr:rowOff>
        </xdr:from>
        <xdr:to>
          <xdr:col>13</xdr:col>
          <xdr:colOff>914400</xdr:colOff>
          <xdr:row>6</xdr:row>
          <xdr:rowOff>466725</xdr:rowOff>
        </xdr:to>
        <xdr:sp macro="" textlink="">
          <xdr:nvSpPr>
            <xdr:cNvPr id="11287" name="Spinner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7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</xdr:row>
          <xdr:rowOff>38100</xdr:rowOff>
        </xdr:from>
        <xdr:to>
          <xdr:col>13</xdr:col>
          <xdr:colOff>914400</xdr:colOff>
          <xdr:row>7</xdr:row>
          <xdr:rowOff>466725</xdr:rowOff>
        </xdr:to>
        <xdr:sp macro="" textlink="">
          <xdr:nvSpPr>
            <xdr:cNvPr id="11288" name="Spinner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7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8</xdr:row>
          <xdr:rowOff>38100</xdr:rowOff>
        </xdr:from>
        <xdr:to>
          <xdr:col>13</xdr:col>
          <xdr:colOff>914400</xdr:colOff>
          <xdr:row>8</xdr:row>
          <xdr:rowOff>466725</xdr:rowOff>
        </xdr:to>
        <xdr:sp macro="" textlink="">
          <xdr:nvSpPr>
            <xdr:cNvPr id="11289" name="Spinner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7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9</xdr:row>
          <xdr:rowOff>38100</xdr:rowOff>
        </xdr:from>
        <xdr:to>
          <xdr:col>13</xdr:col>
          <xdr:colOff>914400</xdr:colOff>
          <xdr:row>9</xdr:row>
          <xdr:rowOff>466725</xdr:rowOff>
        </xdr:to>
        <xdr:sp macro="" textlink="">
          <xdr:nvSpPr>
            <xdr:cNvPr id="11290" name="Spinner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7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10</xdr:row>
          <xdr:rowOff>38100</xdr:rowOff>
        </xdr:from>
        <xdr:to>
          <xdr:col>13</xdr:col>
          <xdr:colOff>914400</xdr:colOff>
          <xdr:row>10</xdr:row>
          <xdr:rowOff>466725</xdr:rowOff>
        </xdr:to>
        <xdr:sp macro="" textlink="">
          <xdr:nvSpPr>
            <xdr:cNvPr id="11291" name="Spinner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7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11</xdr:row>
          <xdr:rowOff>38100</xdr:rowOff>
        </xdr:from>
        <xdr:to>
          <xdr:col>13</xdr:col>
          <xdr:colOff>914400</xdr:colOff>
          <xdr:row>11</xdr:row>
          <xdr:rowOff>466725</xdr:rowOff>
        </xdr:to>
        <xdr:sp macro="" textlink="">
          <xdr:nvSpPr>
            <xdr:cNvPr id="11292" name="Spinner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7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34</xdr:row>
          <xdr:rowOff>19050</xdr:rowOff>
        </xdr:from>
        <xdr:to>
          <xdr:col>5</xdr:col>
          <xdr:colOff>466725</xdr:colOff>
          <xdr:row>34</xdr:row>
          <xdr:rowOff>790575</xdr:rowOff>
        </xdr:to>
        <xdr:sp macro="" textlink="">
          <xdr:nvSpPr>
            <xdr:cNvPr id="11349" name="Spinner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7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35</xdr:row>
          <xdr:rowOff>38100</xdr:rowOff>
        </xdr:from>
        <xdr:to>
          <xdr:col>5</xdr:col>
          <xdr:colOff>466725</xdr:colOff>
          <xdr:row>35</xdr:row>
          <xdr:rowOff>790575</xdr:rowOff>
        </xdr:to>
        <xdr:sp macro="" textlink="">
          <xdr:nvSpPr>
            <xdr:cNvPr id="11350" name="Spinner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7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36</xdr:row>
          <xdr:rowOff>38100</xdr:rowOff>
        </xdr:from>
        <xdr:to>
          <xdr:col>5</xdr:col>
          <xdr:colOff>466725</xdr:colOff>
          <xdr:row>36</xdr:row>
          <xdr:rowOff>790575</xdr:rowOff>
        </xdr:to>
        <xdr:sp macro="" textlink="">
          <xdr:nvSpPr>
            <xdr:cNvPr id="11353" name="Spinner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7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37</xdr:row>
          <xdr:rowOff>38100</xdr:rowOff>
        </xdr:from>
        <xdr:to>
          <xdr:col>5</xdr:col>
          <xdr:colOff>466725</xdr:colOff>
          <xdr:row>37</xdr:row>
          <xdr:rowOff>790575</xdr:rowOff>
        </xdr:to>
        <xdr:sp macro="" textlink="">
          <xdr:nvSpPr>
            <xdr:cNvPr id="11354" name="Spinner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7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38</xdr:row>
          <xdr:rowOff>47625</xdr:rowOff>
        </xdr:from>
        <xdr:to>
          <xdr:col>5</xdr:col>
          <xdr:colOff>466725</xdr:colOff>
          <xdr:row>38</xdr:row>
          <xdr:rowOff>800100</xdr:rowOff>
        </xdr:to>
        <xdr:sp macro="" textlink="">
          <xdr:nvSpPr>
            <xdr:cNvPr id="11355" name="Spinner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7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39</xdr:row>
          <xdr:rowOff>19050</xdr:rowOff>
        </xdr:from>
        <xdr:to>
          <xdr:col>5</xdr:col>
          <xdr:colOff>466725</xdr:colOff>
          <xdr:row>39</xdr:row>
          <xdr:rowOff>790575</xdr:rowOff>
        </xdr:to>
        <xdr:sp macro="" textlink="">
          <xdr:nvSpPr>
            <xdr:cNvPr id="11357" name="Spinner 93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7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40</xdr:row>
          <xdr:rowOff>19050</xdr:rowOff>
        </xdr:from>
        <xdr:to>
          <xdr:col>5</xdr:col>
          <xdr:colOff>466725</xdr:colOff>
          <xdr:row>40</xdr:row>
          <xdr:rowOff>790575</xdr:rowOff>
        </xdr:to>
        <xdr:sp macro="" textlink="">
          <xdr:nvSpPr>
            <xdr:cNvPr id="11358" name="Spinner 94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7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41</xdr:row>
          <xdr:rowOff>19050</xdr:rowOff>
        </xdr:from>
        <xdr:to>
          <xdr:col>5</xdr:col>
          <xdr:colOff>466725</xdr:colOff>
          <xdr:row>41</xdr:row>
          <xdr:rowOff>790575</xdr:rowOff>
        </xdr:to>
        <xdr:sp macro="" textlink="">
          <xdr:nvSpPr>
            <xdr:cNvPr id="11359" name="Spinner 95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7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34</xdr:row>
          <xdr:rowOff>19050</xdr:rowOff>
        </xdr:from>
        <xdr:to>
          <xdr:col>9</xdr:col>
          <xdr:colOff>466725</xdr:colOff>
          <xdr:row>34</xdr:row>
          <xdr:rowOff>790575</xdr:rowOff>
        </xdr:to>
        <xdr:sp macro="" textlink="">
          <xdr:nvSpPr>
            <xdr:cNvPr id="11360" name="Spinner 96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7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34</xdr:row>
          <xdr:rowOff>19050</xdr:rowOff>
        </xdr:from>
        <xdr:to>
          <xdr:col>13</xdr:col>
          <xdr:colOff>466725</xdr:colOff>
          <xdr:row>34</xdr:row>
          <xdr:rowOff>790575</xdr:rowOff>
        </xdr:to>
        <xdr:sp macro="" textlink="">
          <xdr:nvSpPr>
            <xdr:cNvPr id="11361" name="Spinner 97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7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35</xdr:row>
          <xdr:rowOff>38100</xdr:rowOff>
        </xdr:from>
        <xdr:to>
          <xdr:col>9</xdr:col>
          <xdr:colOff>466725</xdr:colOff>
          <xdr:row>35</xdr:row>
          <xdr:rowOff>790575</xdr:rowOff>
        </xdr:to>
        <xdr:sp macro="" textlink="">
          <xdr:nvSpPr>
            <xdr:cNvPr id="11362" name="Spinner 98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7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35</xdr:row>
          <xdr:rowOff>38100</xdr:rowOff>
        </xdr:from>
        <xdr:to>
          <xdr:col>13</xdr:col>
          <xdr:colOff>466725</xdr:colOff>
          <xdr:row>35</xdr:row>
          <xdr:rowOff>790575</xdr:rowOff>
        </xdr:to>
        <xdr:sp macro="" textlink="">
          <xdr:nvSpPr>
            <xdr:cNvPr id="11363" name="Spinner 99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7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36</xdr:row>
          <xdr:rowOff>38100</xdr:rowOff>
        </xdr:from>
        <xdr:to>
          <xdr:col>9</xdr:col>
          <xdr:colOff>466725</xdr:colOff>
          <xdr:row>36</xdr:row>
          <xdr:rowOff>790575</xdr:rowOff>
        </xdr:to>
        <xdr:sp macro="" textlink="">
          <xdr:nvSpPr>
            <xdr:cNvPr id="11364" name="Spinner 100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7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37</xdr:row>
          <xdr:rowOff>38100</xdr:rowOff>
        </xdr:from>
        <xdr:to>
          <xdr:col>9</xdr:col>
          <xdr:colOff>466725</xdr:colOff>
          <xdr:row>37</xdr:row>
          <xdr:rowOff>790575</xdr:rowOff>
        </xdr:to>
        <xdr:sp macro="" textlink="">
          <xdr:nvSpPr>
            <xdr:cNvPr id="11365" name="Spinner 101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7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38</xdr:row>
          <xdr:rowOff>47625</xdr:rowOff>
        </xdr:from>
        <xdr:to>
          <xdr:col>9</xdr:col>
          <xdr:colOff>466725</xdr:colOff>
          <xdr:row>38</xdr:row>
          <xdr:rowOff>800100</xdr:rowOff>
        </xdr:to>
        <xdr:sp macro="" textlink="">
          <xdr:nvSpPr>
            <xdr:cNvPr id="11366" name="Spinner 102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7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36</xdr:row>
          <xdr:rowOff>38100</xdr:rowOff>
        </xdr:from>
        <xdr:to>
          <xdr:col>13</xdr:col>
          <xdr:colOff>466725</xdr:colOff>
          <xdr:row>36</xdr:row>
          <xdr:rowOff>790575</xdr:rowOff>
        </xdr:to>
        <xdr:sp macro="" textlink="">
          <xdr:nvSpPr>
            <xdr:cNvPr id="11367" name="Spinner 103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7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37</xdr:row>
          <xdr:rowOff>38100</xdr:rowOff>
        </xdr:from>
        <xdr:to>
          <xdr:col>13</xdr:col>
          <xdr:colOff>466725</xdr:colOff>
          <xdr:row>37</xdr:row>
          <xdr:rowOff>790575</xdr:rowOff>
        </xdr:to>
        <xdr:sp macro="" textlink="">
          <xdr:nvSpPr>
            <xdr:cNvPr id="11368" name="Spinner 104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7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38</xdr:row>
          <xdr:rowOff>47625</xdr:rowOff>
        </xdr:from>
        <xdr:to>
          <xdr:col>13</xdr:col>
          <xdr:colOff>466725</xdr:colOff>
          <xdr:row>38</xdr:row>
          <xdr:rowOff>800100</xdr:rowOff>
        </xdr:to>
        <xdr:sp macro="" textlink="">
          <xdr:nvSpPr>
            <xdr:cNvPr id="11369" name="Spinner 105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7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39</xdr:row>
          <xdr:rowOff>19050</xdr:rowOff>
        </xdr:from>
        <xdr:to>
          <xdr:col>9</xdr:col>
          <xdr:colOff>466725</xdr:colOff>
          <xdr:row>39</xdr:row>
          <xdr:rowOff>790575</xdr:rowOff>
        </xdr:to>
        <xdr:sp macro="" textlink="">
          <xdr:nvSpPr>
            <xdr:cNvPr id="11370" name="Spinner 106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7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40</xdr:row>
          <xdr:rowOff>19050</xdr:rowOff>
        </xdr:from>
        <xdr:to>
          <xdr:col>9</xdr:col>
          <xdr:colOff>466725</xdr:colOff>
          <xdr:row>40</xdr:row>
          <xdr:rowOff>790575</xdr:rowOff>
        </xdr:to>
        <xdr:sp macro="" textlink="">
          <xdr:nvSpPr>
            <xdr:cNvPr id="11371" name="Spinner 107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7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41</xdr:row>
          <xdr:rowOff>19050</xdr:rowOff>
        </xdr:from>
        <xdr:to>
          <xdr:col>9</xdr:col>
          <xdr:colOff>466725</xdr:colOff>
          <xdr:row>41</xdr:row>
          <xdr:rowOff>790575</xdr:rowOff>
        </xdr:to>
        <xdr:sp macro="" textlink="">
          <xdr:nvSpPr>
            <xdr:cNvPr id="11372" name="Spinner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7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39</xdr:row>
          <xdr:rowOff>19050</xdr:rowOff>
        </xdr:from>
        <xdr:to>
          <xdr:col>13</xdr:col>
          <xdr:colOff>466725</xdr:colOff>
          <xdr:row>39</xdr:row>
          <xdr:rowOff>790575</xdr:rowOff>
        </xdr:to>
        <xdr:sp macro="" textlink="">
          <xdr:nvSpPr>
            <xdr:cNvPr id="11373" name="Spinner 109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7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40</xdr:row>
          <xdr:rowOff>19050</xdr:rowOff>
        </xdr:from>
        <xdr:to>
          <xdr:col>13</xdr:col>
          <xdr:colOff>466725</xdr:colOff>
          <xdr:row>40</xdr:row>
          <xdr:rowOff>790575</xdr:rowOff>
        </xdr:to>
        <xdr:sp macro="" textlink="">
          <xdr:nvSpPr>
            <xdr:cNvPr id="11374" name="Spinner 110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7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41</xdr:row>
          <xdr:rowOff>19050</xdr:rowOff>
        </xdr:from>
        <xdr:to>
          <xdr:col>13</xdr:col>
          <xdr:colOff>466725</xdr:colOff>
          <xdr:row>41</xdr:row>
          <xdr:rowOff>790575</xdr:rowOff>
        </xdr:to>
        <xdr:sp macro="" textlink="">
          <xdr:nvSpPr>
            <xdr:cNvPr id="11375" name="Spinner 111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7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71</xdr:row>
          <xdr:rowOff>19050</xdr:rowOff>
        </xdr:from>
        <xdr:to>
          <xdr:col>5</xdr:col>
          <xdr:colOff>428625</xdr:colOff>
          <xdr:row>71</xdr:row>
          <xdr:rowOff>771525</xdr:rowOff>
        </xdr:to>
        <xdr:sp macro="" textlink="">
          <xdr:nvSpPr>
            <xdr:cNvPr id="11376" name="Spinner 112" hidden="1">
              <a:extLst>
                <a:ext uri="{63B3BB69-23CF-44E3-9099-C40C66FF867C}">
                  <a14:compatExt spid="_x0000_s11376"/>
                </a:ext>
                <a:ext uri="{FF2B5EF4-FFF2-40B4-BE49-F238E27FC236}">
                  <a16:creationId xmlns:a16="http://schemas.microsoft.com/office/drawing/2014/main" id="{00000000-0008-0000-0700-00007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70</xdr:row>
          <xdr:rowOff>19050</xdr:rowOff>
        </xdr:from>
        <xdr:to>
          <xdr:col>5</xdr:col>
          <xdr:colOff>419100</xdr:colOff>
          <xdr:row>70</xdr:row>
          <xdr:rowOff>752475</xdr:rowOff>
        </xdr:to>
        <xdr:sp macro="" textlink="">
          <xdr:nvSpPr>
            <xdr:cNvPr id="11377" name="Spinner 113" hidden="1">
              <a:extLst>
                <a:ext uri="{63B3BB69-23CF-44E3-9099-C40C66FF867C}">
                  <a14:compatExt spid="_x0000_s11377"/>
                </a:ext>
                <a:ext uri="{FF2B5EF4-FFF2-40B4-BE49-F238E27FC236}">
                  <a16:creationId xmlns:a16="http://schemas.microsoft.com/office/drawing/2014/main" id="{00000000-0008-0000-0700-00007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69</xdr:row>
          <xdr:rowOff>19050</xdr:rowOff>
        </xdr:from>
        <xdr:to>
          <xdr:col>5</xdr:col>
          <xdr:colOff>428625</xdr:colOff>
          <xdr:row>69</xdr:row>
          <xdr:rowOff>762000</xdr:rowOff>
        </xdr:to>
        <xdr:sp macro="" textlink="">
          <xdr:nvSpPr>
            <xdr:cNvPr id="11378" name="Spinner 114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7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68</xdr:row>
          <xdr:rowOff>19050</xdr:rowOff>
        </xdr:from>
        <xdr:to>
          <xdr:col>5</xdr:col>
          <xdr:colOff>428625</xdr:colOff>
          <xdr:row>68</xdr:row>
          <xdr:rowOff>762000</xdr:rowOff>
        </xdr:to>
        <xdr:sp macro="" textlink="">
          <xdr:nvSpPr>
            <xdr:cNvPr id="11380" name="Spinner 116" hidden="1">
              <a:extLst>
                <a:ext uri="{63B3BB69-23CF-44E3-9099-C40C66FF867C}">
                  <a14:compatExt spid="_x0000_s11380"/>
                </a:ext>
                <a:ext uri="{FF2B5EF4-FFF2-40B4-BE49-F238E27FC236}">
                  <a16:creationId xmlns:a16="http://schemas.microsoft.com/office/drawing/2014/main" id="{00000000-0008-0000-0700-00007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67</xdr:row>
          <xdr:rowOff>19050</xdr:rowOff>
        </xdr:from>
        <xdr:to>
          <xdr:col>5</xdr:col>
          <xdr:colOff>428625</xdr:colOff>
          <xdr:row>67</xdr:row>
          <xdr:rowOff>752475</xdr:rowOff>
        </xdr:to>
        <xdr:sp macro="" textlink="">
          <xdr:nvSpPr>
            <xdr:cNvPr id="11381" name="Spinner 117" hidden="1">
              <a:extLst>
                <a:ext uri="{63B3BB69-23CF-44E3-9099-C40C66FF867C}">
                  <a14:compatExt spid="_x0000_s11381"/>
                </a:ext>
                <a:ext uri="{FF2B5EF4-FFF2-40B4-BE49-F238E27FC236}">
                  <a16:creationId xmlns:a16="http://schemas.microsoft.com/office/drawing/2014/main" id="{00000000-0008-0000-0700-00007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66</xdr:row>
          <xdr:rowOff>19050</xdr:rowOff>
        </xdr:from>
        <xdr:to>
          <xdr:col>5</xdr:col>
          <xdr:colOff>419100</xdr:colOff>
          <xdr:row>66</xdr:row>
          <xdr:rowOff>781050</xdr:rowOff>
        </xdr:to>
        <xdr:sp macro="" textlink="">
          <xdr:nvSpPr>
            <xdr:cNvPr id="11382" name="Spinner 118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7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65</xdr:row>
          <xdr:rowOff>19050</xdr:rowOff>
        </xdr:from>
        <xdr:to>
          <xdr:col>5</xdr:col>
          <xdr:colOff>428625</xdr:colOff>
          <xdr:row>65</xdr:row>
          <xdr:rowOff>742950</xdr:rowOff>
        </xdr:to>
        <xdr:sp macro="" textlink="">
          <xdr:nvSpPr>
            <xdr:cNvPr id="11383" name="Spinner 119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7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64</xdr:row>
          <xdr:rowOff>19050</xdr:rowOff>
        </xdr:from>
        <xdr:to>
          <xdr:col>5</xdr:col>
          <xdr:colOff>438150</xdr:colOff>
          <xdr:row>64</xdr:row>
          <xdr:rowOff>742950</xdr:rowOff>
        </xdr:to>
        <xdr:sp macro="" textlink="">
          <xdr:nvSpPr>
            <xdr:cNvPr id="11384" name="Spinner 120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7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71</xdr:row>
          <xdr:rowOff>19050</xdr:rowOff>
        </xdr:from>
        <xdr:to>
          <xdr:col>9</xdr:col>
          <xdr:colOff>428625</xdr:colOff>
          <xdr:row>71</xdr:row>
          <xdr:rowOff>762000</xdr:rowOff>
        </xdr:to>
        <xdr:sp macro="" textlink="">
          <xdr:nvSpPr>
            <xdr:cNvPr id="11385" name="Spinner 121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7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70</xdr:row>
          <xdr:rowOff>19050</xdr:rowOff>
        </xdr:from>
        <xdr:to>
          <xdr:col>9</xdr:col>
          <xdr:colOff>428625</xdr:colOff>
          <xdr:row>70</xdr:row>
          <xdr:rowOff>752475</xdr:rowOff>
        </xdr:to>
        <xdr:sp macro="" textlink="">
          <xdr:nvSpPr>
            <xdr:cNvPr id="11386" name="Spinner 122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7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69</xdr:row>
          <xdr:rowOff>19050</xdr:rowOff>
        </xdr:from>
        <xdr:to>
          <xdr:col>9</xdr:col>
          <xdr:colOff>438150</xdr:colOff>
          <xdr:row>69</xdr:row>
          <xdr:rowOff>762000</xdr:rowOff>
        </xdr:to>
        <xdr:sp macro="" textlink="">
          <xdr:nvSpPr>
            <xdr:cNvPr id="11387" name="Spinner 123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7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68</xdr:row>
          <xdr:rowOff>19050</xdr:rowOff>
        </xdr:from>
        <xdr:to>
          <xdr:col>9</xdr:col>
          <xdr:colOff>438150</xdr:colOff>
          <xdr:row>68</xdr:row>
          <xdr:rowOff>762000</xdr:rowOff>
        </xdr:to>
        <xdr:sp macro="" textlink="">
          <xdr:nvSpPr>
            <xdr:cNvPr id="11388" name="Spinner 124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7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67</xdr:row>
          <xdr:rowOff>19050</xdr:rowOff>
        </xdr:from>
        <xdr:to>
          <xdr:col>9</xdr:col>
          <xdr:colOff>438150</xdr:colOff>
          <xdr:row>67</xdr:row>
          <xdr:rowOff>752475</xdr:rowOff>
        </xdr:to>
        <xdr:sp macro="" textlink="">
          <xdr:nvSpPr>
            <xdr:cNvPr id="11389" name="Spinner 125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7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66</xdr:row>
          <xdr:rowOff>19050</xdr:rowOff>
        </xdr:from>
        <xdr:to>
          <xdr:col>9</xdr:col>
          <xdr:colOff>428625</xdr:colOff>
          <xdr:row>66</xdr:row>
          <xdr:rowOff>781050</xdr:rowOff>
        </xdr:to>
        <xdr:sp macro="" textlink="">
          <xdr:nvSpPr>
            <xdr:cNvPr id="11390" name="Spinner 126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7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65</xdr:row>
          <xdr:rowOff>19050</xdr:rowOff>
        </xdr:from>
        <xdr:to>
          <xdr:col>9</xdr:col>
          <xdr:colOff>438150</xdr:colOff>
          <xdr:row>65</xdr:row>
          <xdr:rowOff>742950</xdr:rowOff>
        </xdr:to>
        <xdr:sp macro="" textlink="">
          <xdr:nvSpPr>
            <xdr:cNvPr id="11391" name="Spinner 127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7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64</xdr:row>
          <xdr:rowOff>19050</xdr:rowOff>
        </xdr:from>
        <xdr:to>
          <xdr:col>9</xdr:col>
          <xdr:colOff>447675</xdr:colOff>
          <xdr:row>64</xdr:row>
          <xdr:rowOff>742950</xdr:rowOff>
        </xdr:to>
        <xdr:sp macro="" textlink="">
          <xdr:nvSpPr>
            <xdr:cNvPr id="11392" name="Spinner 128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7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71</xdr:row>
          <xdr:rowOff>19050</xdr:rowOff>
        </xdr:from>
        <xdr:to>
          <xdr:col>13</xdr:col>
          <xdr:colOff>428625</xdr:colOff>
          <xdr:row>71</xdr:row>
          <xdr:rowOff>762000</xdr:rowOff>
        </xdr:to>
        <xdr:sp macro="" textlink="">
          <xdr:nvSpPr>
            <xdr:cNvPr id="11393" name="Spinner 129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7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70</xdr:row>
          <xdr:rowOff>19050</xdr:rowOff>
        </xdr:from>
        <xdr:to>
          <xdr:col>13</xdr:col>
          <xdr:colOff>428625</xdr:colOff>
          <xdr:row>70</xdr:row>
          <xdr:rowOff>752475</xdr:rowOff>
        </xdr:to>
        <xdr:sp macro="" textlink="">
          <xdr:nvSpPr>
            <xdr:cNvPr id="11394" name="Spinner 130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7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69</xdr:row>
          <xdr:rowOff>19050</xdr:rowOff>
        </xdr:from>
        <xdr:to>
          <xdr:col>13</xdr:col>
          <xdr:colOff>438150</xdr:colOff>
          <xdr:row>69</xdr:row>
          <xdr:rowOff>762000</xdr:rowOff>
        </xdr:to>
        <xdr:sp macro="" textlink="">
          <xdr:nvSpPr>
            <xdr:cNvPr id="11395" name="Spinner 131" hidden="1">
              <a:extLst>
                <a:ext uri="{63B3BB69-23CF-44E3-9099-C40C66FF867C}">
                  <a14:compatExt spid="_x0000_s11395"/>
                </a:ext>
                <a:ext uri="{FF2B5EF4-FFF2-40B4-BE49-F238E27FC236}">
                  <a16:creationId xmlns:a16="http://schemas.microsoft.com/office/drawing/2014/main" id="{00000000-0008-0000-0700-00008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68</xdr:row>
          <xdr:rowOff>19050</xdr:rowOff>
        </xdr:from>
        <xdr:to>
          <xdr:col>13</xdr:col>
          <xdr:colOff>438150</xdr:colOff>
          <xdr:row>68</xdr:row>
          <xdr:rowOff>762000</xdr:rowOff>
        </xdr:to>
        <xdr:sp macro="" textlink="">
          <xdr:nvSpPr>
            <xdr:cNvPr id="11396" name="Spinner 132" hidden="1">
              <a:extLst>
                <a:ext uri="{63B3BB69-23CF-44E3-9099-C40C66FF867C}">
                  <a14:compatExt spid="_x0000_s11396"/>
                </a:ext>
                <a:ext uri="{FF2B5EF4-FFF2-40B4-BE49-F238E27FC236}">
                  <a16:creationId xmlns:a16="http://schemas.microsoft.com/office/drawing/2014/main" id="{00000000-0008-0000-0700-00008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67</xdr:row>
          <xdr:rowOff>19050</xdr:rowOff>
        </xdr:from>
        <xdr:to>
          <xdr:col>13</xdr:col>
          <xdr:colOff>438150</xdr:colOff>
          <xdr:row>67</xdr:row>
          <xdr:rowOff>752475</xdr:rowOff>
        </xdr:to>
        <xdr:sp macro="" textlink="">
          <xdr:nvSpPr>
            <xdr:cNvPr id="11397" name="Spinner 133" hidden="1">
              <a:extLst>
                <a:ext uri="{63B3BB69-23CF-44E3-9099-C40C66FF867C}">
                  <a14:compatExt spid="_x0000_s11397"/>
                </a:ext>
                <a:ext uri="{FF2B5EF4-FFF2-40B4-BE49-F238E27FC236}">
                  <a16:creationId xmlns:a16="http://schemas.microsoft.com/office/drawing/2014/main" id="{00000000-0008-0000-0700-00008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66</xdr:row>
          <xdr:rowOff>19050</xdr:rowOff>
        </xdr:from>
        <xdr:to>
          <xdr:col>13</xdr:col>
          <xdr:colOff>428625</xdr:colOff>
          <xdr:row>66</xdr:row>
          <xdr:rowOff>781050</xdr:rowOff>
        </xdr:to>
        <xdr:sp macro="" textlink="">
          <xdr:nvSpPr>
            <xdr:cNvPr id="11398" name="Spinner 134" hidden="1">
              <a:extLst>
                <a:ext uri="{63B3BB69-23CF-44E3-9099-C40C66FF867C}">
                  <a14:compatExt spid="_x0000_s11398"/>
                </a:ext>
                <a:ext uri="{FF2B5EF4-FFF2-40B4-BE49-F238E27FC236}">
                  <a16:creationId xmlns:a16="http://schemas.microsoft.com/office/drawing/2014/main" id="{00000000-0008-0000-0700-00008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65</xdr:row>
          <xdr:rowOff>19050</xdr:rowOff>
        </xdr:from>
        <xdr:to>
          <xdr:col>13</xdr:col>
          <xdr:colOff>438150</xdr:colOff>
          <xdr:row>65</xdr:row>
          <xdr:rowOff>742950</xdr:rowOff>
        </xdr:to>
        <xdr:sp macro="" textlink="">
          <xdr:nvSpPr>
            <xdr:cNvPr id="11399" name="Spinner 135" hidden="1">
              <a:extLst>
                <a:ext uri="{63B3BB69-23CF-44E3-9099-C40C66FF867C}">
                  <a14:compatExt spid="_x0000_s11399"/>
                </a:ext>
                <a:ext uri="{FF2B5EF4-FFF2-40B4-BE49-F238E27FC236}">
                  <a16:creationId xmlns:a16="http://schemas.microsoft.com/office/drawing/2014/main" id="{00000000-0008-0000-0700-00008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64</xdr:row>
          <xdr:rowOff>19050</xdr:rowOff>
        </xdr:from>
        <xdr:to>
          <xdr:col>13</xdr:col>
          <xdr:colOff>447675</xdr:colOff>
          <xdr:row>64</xdr:row>
          <xdr:rowOff>742950</xdr:rowOff>
        </xdr:to>
        <xdr:sp macro="" textlink="">
          <xdr:nvSpPr>
            <xdr:cNvPr id="11400" name="Spinner 136" hidden="1">
              <a:extLst>
                <a:ext uri="{63B3BB69-23CF-44E3-9099-C40C66FF867C}">
                  <a14:compatExt spid="_x0000_s11400"/>
                </a:ext>
                <a:ext uri="{FF2B5EF4-FFF2-40B4-BE49-F238E27FC236}">
                  <a16:creationId xmlns:a16="http://schemas.microsoft.com/office/drawing/2014/main" id="{00000000-0008-0000-0700-00008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94</xdr:row>
          <xdr:rowOff>19050</xdr:rowOff>
        </xdr:from>
        <xdr:to>
          <xdr:col>5</xdr:col>
          <xdr:colOff>438150</xdr:colOff>
          <xdr:row>94</xdr:row>
          <xdr:rowOff>657225</xdr:rowOff>
        </xdr:to>
        <xdr:sp macro="" textlink="">
          <xdr:nvSpPr>
            <xdr:cNvPr id="11401" name="Spinner 137" hidden="1">
              <a:extLst>
                <a:ext uri="{63B3BB69-23CF-44E3-9099-C40C66FF867C}">
                  <a14:compatExt spid="_x0000_s11401"/>
                </a:ext>
                <a:ext uri="{FF2B5EF4-FFF2-40B4-BE49-F238E27FC236}">
                  <a16:creationId xmlns:a16="http://schemas.microsoft.com/office/drawing/2014/main" id="{00000000-0008-0000-0700-00008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95</xdr:row>
          <xdr:rowOff>28575</xdr:rowOff>
        </xdr:from>
        <xdr:to>
          <xdr:col>5</xdr:col>
          <xdr:colOff>447675</xdr:colOff>
          <xdr:row>95</xdr:row>
          <xdr:rowOff>666750</xdr:rowOff>
        </xdr:to>
        <xdr:sp macro="" textlink="">
          <xdr:nvSpPr>
            <xdr:cNvPr id="11402" name="Spinner 138" hidden="1">
              <a:extLst>
                <a:ext uri="{63B3BB69-23CF-44E3-9099-C40C66FF867C}">
                  <a14:compatExt spid="_x0000_s11402"/>
                </a:ext>
                <a:ext uri="{FF2B5EF4-FFF2-40B4-BE49-F238E27FC236}">
                  <a16:creationId xmlns:a16="http://schemas.microsoft.com/office/drawing/2014/main" id="{00000000-0008-0000-0700-00008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96</xdr:row>
          <xdr:rowOff>47625</xdr:rowOff>
        </xdr:from>
        <xdr:to>
          <xdr:col>5</xdr:col>
          <xdr:colOff>447675</xdr:colOff>
          <xdr:row>96</xdr:row>
          <xdr:rowOff>762000</xdr:rowOff>
        </xdr:to>
        <xdr:sp macro="" textlink="">
          <xdr:nvSpPr>
            <xdr:cNvPr id="11403" name="Spinner 139" hidden="1">
              <a:extLst>
                <a:ext uri="{63B3BB69-23CF-44E3-9099-C40C66FF867C}">
                  <a14:compatExt spid="_x0000_s11403"/>
                </a:ext>
                <a:ext uri="{FF2B5EF4-FFF2-40B4-BE49-F238E27FC236}">
                  <a16:creationId xmlns:a16="http://schemas.microsoft.com/office/drawing/2014/main" id="{00000000-0008-0000-0700-00008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97</xdr:row>
          <xdr:rowOff>47625</xdr:rowOff>
        </xdr:from>
        <xdr:to>
          <xdr:col>5</xdr:col>
          <xdr:colOff>447675</xdr:colOff>
          <xdr:row>97</xdr:row>
          <xdr:rowOff>762000</xdr:rowOff>
        </xdr:to>
        <xdr:sp macro="" textlink="">
          <xdr:nvSpPr>
            <xdr:cNvPr id="11404" name="Spinner 140" hidden="1">
              <a:extLst>
                <a:ext uri="{63B3BB69-23CF-44E3-9099-C40C66FF867C}">
                  <a14:compatExt spid="_x0000_s11404"/>
                </a:ext>
                <a:ext uri="{FF2B5EF4-FFF2-40B4-BE49-F238E27FC236}">
                  <a16:creationId xmlns:a16="http://schemas.microsoft.com/office/drawing/2014/main" id="{00000000-0008-0000-0700-00008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98</xdr:row>
          <xdr:rowOff>47625</xdr:rowOff>
        </xdr:from>
        <xdr:to>
          <xdr:col>5</xdr:col>
          <xdr:colOff>447675</xdr:colOff>
          <xdr:row>98</xdr:row>
          <xdr:rowOff>781050</xdr:rowOff>
        </xdr:to>
        <xdr:sp macro="" textlink="">
          <xdr:nvSpPr>
            <xdr:cNvPr id="11406" name="Spinner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7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99</xdr:row>
          <xdr:rowOff>47625</xdr:rowOff>
        </xdr:from>
        <xdr:to>
          <xdr:col>5</xdr:col>
          <xdr:colOff>447675</xdr:colOff>
          <xdr:row>99</xdr:row>
          <xdr:rowOff>781050</xdr:rowOff>
        </xdr:to>
        <xdr:sp macro="" textlink="">
          <xdr:nvSpPr>
            <xdr:cNvPr id="11407" name="Spinner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7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100</xdr:row>
          <xdr:rowOff>19050</xdr:rowOff>
        </xdr:from>
        <xdr:to>
          <xdr:col>5</xdr:col>
          <xdr:colOff>457200</xdr:colOff>
          <xdr:row>100</xdr:row>
          <xdr:rowOff>771525</xdr:rowOff>
        </xdr:to>
        <xdr:sp macro="" textlink="">
          <xdr:nvSpPr>
            <xdr:cNvPr id="11408" name="Spinner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7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101</xdr:row>
          <xdr:rowOff>19050</xdr:rowOff>
        </xdr:from>
        <xdr:to>
          <xdr:col>5</xdr:col>
          <xdr:colOff>438150</xdr:colOff>
          <xdr:row>101</xdr:row>
          <xdr:rowOff>809625</xdr:rowOff>
        </xdr:to>
        <xdr:sp macro="" textlink="">
          <xdr:nvSpPr>
            <xdr:cNvPr id="11409" name="Spinner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7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94</xdr:row>
          <xdr:rowOff>47625</xdr:rowOff>
        </xdr:from>
        <xdr:to>
          <xdr:col>9</xdr:col>
          <xdr:colOff>447675</xdr:colOff>
          <xdr:row>94</xdr:row>
          <xdr:rowOff>790575</xdr:rowOff>
        </xdr:to>
        <xdr:sp macro="" textlink="">
          <xdr:nvSpPr>
            <xdr:cNvPr id="11410" name="Spinner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7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95</xdr:row>
          <xdr:rowOff>47625</xdr:rowOff>
        </xdr:from>
        <xdr:to>
          <xdr:col>9</xdr:col>
          <xdr:colOff>447675</xdr:colOff>
          <xdr:row>95</xdr:row>
          <xdr:rowOff>762000</xdr:rowOff>
        </xdr:to>
        <xdr:sp macro="" textlink="">
          <xdr:nvSpPr>
            <xdr:cNvPr id="11411" name="Spinner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7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96</xdr:row>
          <xdr:rowOff>47625</xdr:rowOff>
        </xdr:from>
        <xdr:to>
          <xdr:col>9</xdr:col>
          <xdr:colOff>447675</xdr:colOff>
          <xdr:row>96</xdr:row>
          <xdr:rowOff>762000</xdr:rowOff>
        </xdr:to>
        <xdr:sp macro="" textlink="">
          <xdr:nvSpPr>
            <xdr:cNvPr id="11412" name="Spinner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7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97</xdr:row>
          <xdr:rowOff>47625</xdr:rowOff>
        </xdr:from>
        <xdr:to>
          <xdr:col>9</xdr:col>
          <xdr:colOff>447675</xdr:colOff>
          <xdr:row>97</xdr:row>
          <xdr:rowOff>762000</xdr:rowOff>
        </xdr:to>
        <xdr:sp macro="" textlink="">
          <xdr:nvSpPr>
            <xdr:cNvPr id="11413" name="Spinner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7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98</xdr:row>
          <xdr:rowOff>47625</xdr:rowOff>
        </xdr:from>
        <xdr:to>
          <xdr:col>9</xdr:col>
          <xdr:colOff>447675</xdr:colOff>
          <xdr:row>98</xdr:row>
          <xdr:rowOff>762000</xdr:rowOff>
        </xdr:to>
        <xdr:sp macro="" textlink="">
          <xdr:nvSpPr>
            <xdr:cNvPr id="11414" name="Spinner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7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99</xdr:row>
          <xdr:rowOff>47625</xdr:rowOff>
        </xdr:from>
        <xdr:to>
          <xdr:col>9</xdr:col>
          <xdr:colOff>447675</xdr:colOff>
          <xdr:row>99</xdr:row>
          <xdr:rowOff>762000</xdr:rowOff>
        </xdr:to>
        <xdr:sp macro="" textlink="">
          <xdr:nvSpPr>
            <xdr:cNvPr id="11415" name="Spinner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7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100</xdr:row>
          <xdr:rowOff>47625</xdr:rowOff>
        </xdr:from>
        <xdr:to>
          <xdr:col>9</xdr:col>
          <xdr:colOff>447675</xdr:colOff>
          <xdr:row>100</xdr:row>
          <xdr:rowOff>762000</xdr:rowOff>
        </xdr:to>
        <xdr:sp macro="" textlink="">
          <xdr:nvSpPr>
            <xdr:cNvPr id="11416" name="Spinner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7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101</xdr:row>
          <xdr:rowOff>47625</xdr:rowOff>
        </xdr:from>
        <xdr:to>
          <xdr:col>9</xdr:col>
          <xdr:colOff>447675</xdr:colOff>
          <xdr:row>101</xdr:row>
          <xdr:rowOff>762000</xdr:rowOff>
        </xdr:to>
        <xdr:sp macro="" textlink="">
          <xdr:nvSpPr>
            <xdr:cNvPr id="11418" name="Spinner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7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94</xdr:row>
          <xdr:rowOff>47625</xdr:rowOff>
        </xdr:from>
        <xdr:to>
          <xdr:col>13</xdr:col>
          <xdr:colOff>447675</xdr:colOff>
          <xdr:row>94</xdr:row>
          <xdr:rowOff>790575</xdr:rowOff>
        </xdr:to>
        <xdr:sp macro="" textlink="">
          <xdr:nvSpPr>
            <xdr:cNvPr id="11419" name="Spinner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7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95</xdr:row>
          <xdr:rowOff>47625</xdr:rowOff>
        </xdr:from>
        <xdr:to>
          <xdr:col>13</xdr:col>
          <xdr:colOff>447675</xdr:colOff>
          <xdr:row>95</xdr:row>
          <xdr:rowOff>762000</xdr:rowOff>
        </xdr:to>
        <xdr:sp macro="" textlink="">
          <xdr:nvSpPr>
            <xdr:cNvPr id="11420" name="Spinner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7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96</xdr:row>
          <xdr:rowOff>47625</xdr:rowOff>
        </xdr:from>
        <xdr:to>
          <xdr:col>13</xdr:col>
          <xdr:colOff>447675</xdr:colOff>
          <xdr:row>96</xdr:row>
          <xdr:rowOff>762000</xdr:rowOff>
        </xdr:to>
        <xdr:sp macro="" textlink="">
          <xdr:nvSpPr>
            <xdr:cNvPr id="11421" name="Spinner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7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97</xdr:row>
          <xdr:rowOff>47625</xdr:rowOff>
        </xdr:from>
        <xdr:to>
          <xdr:col>13</xdr:col>
          <xdr:colOff>447675</xdr:colOff>
          <xdr:row>97</xdr:row>
          <xdr:rowOff>762000</xdr:rowOff>
        </xdr:to>
        <xdr:sp macro="" textlink="">
          <xdr:nvSpPr>
            <xdr:cNvPr id="11422" name="Spinner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7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98</xdr:row>
          <xdr:rowOff>47625</xdr:rowOff>
        </xdr:from>
        <xdr:to>
          <xdr:col>13</xdr:col>
          <xdr:colOff>447675</xdr:colOff>
          <xdr:row>98</xdr:row>
          <xdr:rowOff>762000</xdr:rowOff>
        </xdr:to>
        <xdr:sp macro="" textlink="">
          <xdr:nvSpPr>
            <xdr:cNvPr id="11423" name="Spinner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7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99</xdr:row>
          <xdr:rowOff>47625</xdr:rowOff>
        </xdr:from>
        <xdr:to>
          <xdr:col>13</xdr:col>
          <xdr:colOff>447675</xdr:colOff>
          <xdr:row>99</xdr:row>
          <xdr:rowOff>762000</xdr:rowOff>
        </xdr:to>
        <xdr:sp macro="" textlink="">
          <xdr:nvSpPr>
            <xdr:cNvPr id="11424" name="Spinner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7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100</xdr:row>
          <xdr:rowOff>47625</xdr:rowOff>
        </xdr:from>
        <xdr:to>
          <xdr:col>13</xdr:col>
          <xdr:colOff>447675</xdr:colOff>
          <xdr:row>100</xdr:row>
          <xdr:rowOff>762000</xdr:rowOff>
        </xdr:to>
        <xdr:sp macro="" textlink="">
          <xdr:nvSpPr>
            <xdr:cNvPr id="11425" name="Spinner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7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101</xdr:row>
          <xdr:rowOff>47625</xdr:rowOff>
        </xdr:from>
        <xdr:to>
          <xdr:col>13</xdr:col>
          <xdr:colOff>447675</xdr:colOff>
          <xdr:row>101</xdr:row>
          <xdr:rowOff>762000</xdr:rowOff>
        </xdr:to>
        <xdr:sp macro="" textlink="">
          <xdr:nvSpPr>
            <xdr:cNvPr id="11426" name="Spinner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7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4</xdr:row>
          <xdr:rowOff>19050</xdr:rowOff>
        </xdr:from>
        <xdr:to>
          <xdr:col>18</xdr:col>
          <xdr:colOff>876300</xdr:colOff>
          <xdr:row>4</xdr:row>
          <xdr:rowOff>447675</xdr:rowOff>
        </xdr:to>
        <xdr:sp macro="" textlink="">
          <xdr:nvSpPr>
            <xdr:cNvPr id="11427" name="Spinner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7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5</xdr:row>
          <xdr:rowOff>19050</xdr:rowOff>
        </xdr:from>
        <xdr:to>
          <xdr:col>18</xdr:col>
          <xdr:colOff>876300</xdr:colOff>
          <xdr:row>5</xdr:row>
          <xdr:rowOff>447675</xdr:rowOff>
        </xdr:to>
        <xdr:sp macro="" textlink="">
          <xdr:nvSpPr>
            <xdr:cNvPr id="11428" name="Spinner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7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6</xdr:row>
          <xdr:rowOff>19050</xdr:rowOff>
        </xdr:from>
        <xdr:to>
          <xdr:col>18</xdr:col>
          <xdr:colOff>876300</xdr:colOff>
          <xdr:row>6</xdr:row>
          <xdr:rowOff>447675</xdr:rowOff>
        </xdr:to>
        <xdr:sp macro="" textlink="">
          <xdr:nvSpPr>
            <xdr:cNvPr id="11429" name="Spinner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7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34</xdr:row>
          <xdr:rowOff>19050</xdr:rowOff>
        </xdr:from>
        <xdr:to>
          <xdr:col>18</xdr:col>
          <xdr:colOff>876300</xdr:colOff>
          <xdr:row>34</xdr:row>
          <xdr:rowOff>771525</xdr:rowOff>
        </xdr:to>
        <xdr:sp macro="" textlink="">
          <xdr:nvSpPr>
            <xdr:cNvPr id="11430" name="Spinner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7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35</xdr:row>
          <xdr:rowOff>19050</xdr:rowOff>
        </xdr:from>
        <xdr:to>
          <xdr:col>18</xdr:col>
          <xdr:colOff>876300</xdr:colOff>
          <xdr:row>35</xdr:row>
          <xdr:rowOff>771525</xdr:rowOff>
        </xdr:to>
        <xdr:sp macro="" textlink="">
          <xdr:nvSpPr>
            <xdr:cNvPr id="11431" name="Spinner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7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36</xdr:row>
          <xdr:rowOff>28575</xdr:rowOff>
        </xdr:from>
        <xdr:to>
          <xdr:col>18</xdr:col>
          <xdr:colOff>847725</xdr:colOff>
          <xdr:row>36</xdr:row>
          <xdr:rowOff>781050</xdr:rowOff>
        </xdr:to>
        <xdr:sp macro="" textlink="">
          <xdr:nvSpPr>
            <xdr:cNvPr id="11432" name="Spinner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7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76200</xdr:colOff>
          <xdr:row>9</xdr:row>
          <xdr:rowOff>19050</xdr:rowOff>
        </xdr:from>
        <xdr:to>
          <xdr:col>19</xdr:col>
          <xdr:colOff>0</xdr:colOff>
          <xdr:row>10</xdr:row>
          <xdr:rowOff>133350</xdr:rowOff>
        </xdr:to>
        <xdr:sp macro="" textlink="">
          <xdr:nvSpPr>
            <xdr:cNvPr id="11434" name="Spinner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7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40</xdr:row>
          <xdr:rowOff>28575</xdr:rowOff>
        </xdr:from>
        <xdr:to>
          <xdr:col>18</xdr:col>
          <xdr:colOff>847725</xdr:colOff>
          <xdr:row>41</xdr:row>
          <xdr:rowOff>0</xdr:rowOff>
        </xdr:to>
        <xdr:sp macro="" textlink="">
          <xdr:nvSpPr>
            <xdr:cNvPr id="11435" name="Spinner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7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64</xdr:row>
          <xdr:rowOff>28575</xdr:rowOff>
        </xdr:from>
        <xdr:to>
          <xdr:col>18</xdr:col>
          <xdr:colOff>876300</xdr:colOff>
          <xdr:row>65</xdr:row>
          <xdr:rowOff>0</xdr:rowOff>
        </xdr:to>
        <xdr:sp macro="" textlink="">
          <xdr:nvSpPr>
            <xdr:cNvPr id="11437" name="Spinner 173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7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65</xdr:row>
          <xdr:rowOff>19050</xdr:rowOff>
        </xdr:from>
        <xdr:to>
          <xdr:col>18</xdr:col>
          <xdr:colOff>866775</xdr:colOff>
          <xdr:row>66</xdr:row>
          <xdr:rowOff>0</xdr:rowOff>
        </xdr:to>
        <xdr:sp macro="" textlink="">
          <xdr:nvSpPr>
            <xdr:cNvPr id="11438" name="Spinner 174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7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66</xdr:row>
          <xdr:rowOff>38100</xdr:rowOff>
        </xdr:from>
        <xdr:to>
          <xdr:col>18</xdr:col>
          <xdr:colOff>876300</xdr:colOff>
          <xdr:row>67</xdr:row>
          <xdr:rowOff>0</xdr:rowOff>
        </xdr:to>
        <xdr:sp macro="" textlink="">
          <xdr:nvSpPr>
            <xdr:cNvPr id="11440" name="Spinner 176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7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70</xdr:row>
          <xdr:rowOff>28575</xdr:rowOff>
        </xdr:from>
        <xdr:to>
          <xdr:col>19</xdr:col>
          <xdr:colOff>0</xdr:colOff>
          <xdr:row>71</xdr:row>
          <xdr:rowOff>0</xdr:rowOff>
        </xdr:to>
        <xdr:sp macro="" textlink="">
          <xdr:nvSpPr>
            <xdr:cNvPr id="11441" name="Spinner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7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94</xdr:row>
          <xdr:rowOff>28575</xdr:rowOff>
        </xdr:from>
        <xdr:to>
          <xdr:col>19</xdr:col>
          <xdr:colOff>0</xdr:colOff>
          <xdr:row>94</xdr:row>
          <xdr:rowOff>695325</xdr:rowOff>
        </xdr:to>
        <xdr:sp macro="" textlink="">
          <xdr:nvSpPr>
            <xdr:cNvPr id="11442" name="Spinner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7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95</xdr:row>
          <xdr:rowOff>19050</xdr:rowOff>
        </xdr:from>
        <xdr:to>
          <xdr:col>19</xdr:col>
          <xdr:colOff>0</xdr:colOff>
          <xdr:row>96</xdr:row>
          <xdr:rowOff>0</xdr:rowOff>
        </xdr:to>
        <xdr:sp macro="" textlink="">
          <xdr:nvSpPr>
            <xdr:cNvPr id="11443" name="Spinner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7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96</xdr:row>
          <xdr:rowOff>38100</xdr:rowOff>
        </xdr:from>
        <xdr:to>
          <xdr:col>19</xdr:col>
          <xdr:colOff>0</xdr:colOff>
          <xdr:row>97</xdr:row>
          <xdr:rowOff>0</xdr:rowOff>
        </xdr:to>
        <xdr:sp macro="" textlink="">
          <xdr:nvSpPr>
            <xdr:cNvPr id="11444" name="Spinner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7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100</xdr:row>
          <xdr:rowOff>28575</xdr:rowOff>
        </xdr:from>
        <xdr:to>
          <xdr:col>19</xdr:col>
          <xdr:colOff>0</xdr:colOff>
          <xdr:row>100</xdr:row>
          <xdr:rowOff>628650</xdr:rowOff>
        </xdr:to>
        <xdr:sp macro="" textlink="">
          <xdr:nvSpPr>
            <xdr:cNvPr id="11445" name="Spinner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7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124</xdr:row>
          <xdr:rowOff>0</xdr:rowOff>
        </xdr:from>
        <xdr:to>
          <xdr:col>5</xdr:col>
          <xdr:colOff>419100</xdr:colOff>
          <xdr:row>124</xdr:row>
          <xdr:rowOff>714375</xdr:rowOff>
        </xdr:to>
        <xdr:sp macro="" textlink="">
          <xdr:nvSpPr>
            <xdr:cNvPr id="11446" name="Spinner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7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125</xdr:row>
          <xdr:rowOff>9525</xdr:rowOff>
        </xdr:from>
        <xdr:to>
          <xdr:col>5</xdr:col>
          <xdr:colOff>419100</xdr:colOff>
          <xdr:row>125</xdr:row>
          <xdr:rowOff>704850</xdr:rowOff>
        </xdr:to>
        <xdr:sp macro="" textlink="">
          <xdr:nvSpPr>
            <xdr:cNvPr id="11447" name="Spinner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7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126</xdr:row>
          <xdr:rowOff>28575</xdr:rowOff>
        </xdr:from>
        <xdr:to>
          <xdr:col>5</xdr:col>
          <xdr:colOff>438150</xdr:colOff>
          <xdr:row>126</xdr:row>
          <xdr:rowOff>695325</xdr:rowOff>
        </xdr:to>
        <xdr:sp macro="" textlink="">
          <xdr:nvSpPr>
            <xdr:cNvPr id="11449" name="Spinner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7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127</xdr:row>
          <xdr:rowOff>19050</xdr:rowOff>
        </xdr:from>
        <xdr:to>
          <xdr:col>5</xdr:col>
          <xdr:colOff>447675</xdr:colOff>
          <xdr:row>127</xdr:row>
          <xdr:rowOff>666750</xdr:rowOff>
        </xdr:to>
        <xdr:sp macro="" textlink="">
          <xdr:nvSpPr>
            <xdr:cNvPr id="11450" name="Spinner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7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128</xdr:row>
          <xdr:rowOff>47625</xdr:rowOff>
        </xdr:from>
        <xdr:to>
          <xdr:col>5</xdr:col>
          <xdr:colOff>438150</xdr:colOff>
          <xdr:row>128</xdr:row>
          <xdr:rowOff>685800</xdr:rowOff>
        </xdr:to>
        <xdr:sp macro="" textlink="">
          <xdr:nvSpPr>
            <xdr:cNvPr id="11451" name="Spinner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7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129</xdr:row>
          <xdr:rowOff>38100</xdr:rowOff>
        </xdr:from>
        <xdr:to>
          <xdr:col>5</xdr:col>
          <xdr:colOff>457200</xdr:colOff>
          <xdr:row>129</xdr:row>
          <xdr:rowOff>676275</xdr:rowOff>
        </xdr:to>
        <xdr:sp macro="" textlink="">
          <xdr:nvSpPr>
            <xdr:cNvPr id="11452" name="Spinner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7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130</xdr:row>
          <xdr:rowOff>66675</xdr:rowOff>
        </xdr:from>
        <xdr:to>
          <xdr:col>5</xdr:col>
          <xdr:colOff>438150</xdr:colOff>
          <xdr:row>130</xdr:row>
          <xdr:rowOff>704850</xdr:rowOff>
        </xdr:to>
        <xdr:sp macro="" textlink="">
          <xdr:nvSpPr>
            <xdr:cNvPr id="11453" name="Spinner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7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131</xdr:row>
          <xdr:rowOff>38100</xdr:rowOff>
        </xdr:from>
        <xdr:to>
          <xdr:col>5</xdr:col>
          <xdr:colOff>447675</xdr:colOff>
          <xdr:row>131</xdr:row>
          <xdr:rowOff>714375</xdr:rowOff>
        </xdr:to>
        <xdr:sp macro="" textlink="">
          <xdr:nvSpPr>
            <xdr:cNvPr id="11454" name="Spinner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7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124</xdr:row>
          <xdr:rowOff>47625</xdr:rowOff>
        </xdr:from>
        <xdr:to>
          <xdr:col>9</xdr:col>
          <xdr:colOff>447675</xdr:colOff>
          <xdr:row>124</xdr:row>
          <xdr:rowOff>695325</xdr:rowOff>
        </xdr:to>
        <xdr:sp macro="" textlink="">
          <xdr:nvSpPr>
            <xdr:cNvPr id="11463" name="Spinner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7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125</xdr:row>
          <xdr:rowOff>57150</xdr:rowOff>
        </xdr:from>
        <xdr:to>
          <xdr:col>9</xdr:col>
          <xdr:colOff>457200</xdr:colOff>
          <xdr:row>125</xdr:row>
          <xdr:rowOff>695325</xdr:rowOff>
        </xdr:to>
        <xdr:sp macro="" textlink="">
          <xdr:nvSpPr>
            <xdr:cNvPr id="11464" name="Spinner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7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126</xdr:row>
          <xdr:rowOff>47625</xdr:rowOff>
        </xdr:from>
        <xdr:to>
          <xdr:col>9</xdr:col>
          <xdr:colOff>457200</xdr:colOff>
          <xdr:row>126</xdr:row>
          <xdr:rowOff>685800</xdr:rowOff>
        </xdr:to>
        <xdr:sp macro="" textlink="">
          <xdr:nvSpPr>
            <xdr:cNvPr id="11465" name="Spinner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7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127</xdr:row>
          <xdr:rowOff>47625</xdr:rowOff>
        </xdr:from>
        <xdr:to>
          <xdr:col>9</xdr:col>
          <xdr:colOff>447675</xdr:colOff>
          <xdr:row>127</xdr:row>
          <xdr:rowOff>685800</xdr:rowOff>
        </xdr:to>
        <xdr:sp macro="" textlink="">
          <xdr:nvSpPr>
            <xdr:cNvPr id="11466" name="Spinner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7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128</xdr:row>
          <xdr:rowOff>38100</xdr:rowOff>
        </xdr:from>
        <xdr:to>
          <xdr:col>9</xdr:col>
          <xdr:colOff>447675</xdr:colOff>
          <xdr:row>128</xdr:row>
          <xdr:rowOff>676275</xdr:rowOff>
        </xdr:to>
        <xdr:sp macro="" textlink="">
          <xdr:nvSpPr>
            <xdr:cNvPr id="11467" name="Spinner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7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129</xdr:row>
          <xdr:rowOff>38100</xdr:rowOff>
        </xdr:from>
        <xdr:to>
          <xdr:col>9</xdr:col>
          <xdr:colOff>447675</xdr:colOff>
          <xdr:row>129</xdr:row>
          <xdr:rowOff>676275</xdr:rowOff>
        </xdr:to>
        <xdr:sp macro="" textlink="">
          <xdr:nvSpPr>
            <xdr:cNvPr id="11468" name="Spinner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7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130</xdr:row>
          <xdr:rowOff>47625</xdr:rowOff>
        </xdr:from>
        <xdr:to>
          <xdr:col>9</xdr:col>
          <xdr:colOff>457200</xdr:colOff>
          <xdr:row>130</xdr:row>
          <xdr:rowOff>685800</xdr:rowOff>
        </xdr:to>
        <xdr:sp macro="" textlink="">
          <xdr:nvSpPr>
            <xdr:cNvPr id="11469" name="Spinner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7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131</xdr:row>
          <xdr:rowOff>66675</xdr:rowOff>
        </xdr:from>
        <xdr:to>
          <xdr:col>9</xdr:col>
          <xdr:colOff>457200</xdr:colOff>
          <xdr:row>131</xdr:row>
          <xdr:rowOff>704850</xdr:rowOff>
        </xdr:to>
        <xdr:sp macro="" textlink="">
          <xdr:nvSpPr>
            <xdr:cNvPr id="11470" name="Spinner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7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124</xdr:row>
          <xdr:rowOff>47625</xdr:rowOff>
        </xdr:from>
        <xdr:to>
          <xdr:col>13</xdr:col>
          <xdr:colOff>447675</xdr:colOff>
          <xdr:row>124</xdr:row>
          <xdr:rowOff>695325</xdr:rowOff>
        </xdr:to>
        <xdr:sp macro="" textlink="">
          <xdr:nvSpPr>
            <xdr:cNvPr id="11471" name="Spinner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7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125</xdr:row>
          <xdr:rowOff>57150</xdr:rowOff>
        </xdr:from>
        <xdr:to>
          <xdr:col>13</xdr:col>
          <xdr:colOff>457200</xdr:colOff>
          <xdr:row>125</xdr:row>
          <xdr:rowOff>695325</xdr:rowOff>
        </xdr:to>
        <xdr:sp macro="" textlink="">
          <xdr:nvSpPr>
            <xdr:cNvPr id="11472" name="Spinner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7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126</xdr:row>
          <xdr:rowOff>57150</xdr:rowOff>
        </xdr:from>
        <xdr:to>
          <xdr:col>13</xdr:col>
          <xdr:colOff>466725</xdr:colOff>
          <xdr:row>126</xdr:row>
          <xdr:rowOff>695325</xdr:rowOff>
        </xdr:to>
        <xdr:sp macro="" textlink="">
          <xdr:nvSpPr>
            <xdr:cNvPr id="11473" name="Spinner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7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127</xdr:row>
          <xdr:rowOff>57150</xdr:rowOff>
        </xdr:from>
        <xdr:to>
          <xdr:col>13</xdr:col>
          <xdr:colOff>466725</xdr:colOff>
          <xdr:row>127</xdr:row>
          <xdr:rowOff>695325</xdr:rowOff>
        </xdr:to>
        <xdr:sp macro="" textlink="">
          <xdr:nvSpPr>
            <xdr:cNvPr id="11474" name="Spinner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7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128</xdr:row>
          <xdr:rowOff>47625</xdr:rowOff>
        </xdr:from>
        <xdr:to>
          <xdr:col>13</xdr:col>
          <xdr:colOff>466725</xdr:colOff>
          <xdr:row>128</xdr:row>
          <xdr:rowOff>685800</xdr:rowOff>
        </xdr:to>
        <xdr:sp macro="" textlink="">
          <xdr:nvSpPr>
            <xdr:cNvPr id="11475" name="Spinner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7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129</xdr:row>
          <xdr:rowOff>66675</xdr:rowOff>
        </xdr:from>
        <xdr:to>
          <xdr:col>13</xdr:col>
          <xdr:colOff>466725</xdr:colOff>
          <xdr:row>129</xdr:row>
          <xdr:rowOff>704850</xdr:rowOff>
        </xdr:to>
        <xdr:sp macro="" textlink="">
          <xdr:nvSpPr>
            <xdr:cNvPr id="11476" name="Spinner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7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130</xdr:row>
          <xdr:rowOff>66675</xdr:rowOff>
        </xdr:from>
        <xdr:to>
          <xdr:col>13</xdr:col>
          <xdr:colOff>476250</xdr:colOff>
          <xdr:row>130</xdr:row>
          <xdr:rowOff>704850</xdr:rowOff>
        </xdr:to>
        <xdr:sp macro="" textlink="">
          <xdr:nvSpPr>
            <xdr:cNvPr id="11477" name="Spinner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7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131</xdr:row>
          <xdr:rowOff>66675</xdr:rowOff>
        </xdr:from>
        <xdr:to>
          <xdr:col>13</xdr:col>
          <xdr:colOff>457200</xdr:colOff>
          <xdr:row>131</xdr:row>
          <xdr:rowOff>704850</xdr:rowOff>
        </xdr:to>
        <xdr:sp macro="" textlink="">
          <xdr:nvSpPr>
            <xdr:cNvPr id="11478" name="Spinner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7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124</xdr:row>
          <xdr:rowOff>28575</xdr:rowOff>
        </xdr:from>
        <xdr:to>
          <xdr:col>19</xdr:col>
          <xdr:colOff>0</xdr:colOff>
          <xdr:row>124</xdr:row>
          <xdr:rowOff>695325</xdr:rowOff>
        </xdr:to>
        <xdr:sp macro="" textlink="">
          <xdr:nvSpPr>
            <xdr:cNvPr id="11483" name="Spinner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7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125</xdr:row>
          <xdr:rowOff>38100</xdr:rowOff>
        </xdr:from>
        <xdr:to>
          <xdr:col>19</xdr:col>
          <xdr:colOff>0</xdr:colOff>
          <xdr:row>125</xdr:row>
          <xdr:rowOff>714375</xdr:rowOff>
        </xdr:to>
        <xdr:sp macro="" textlink="">
          <xdr:nvSpPr>
            <xdr:cNvPr id="11484" name="Spinner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7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126</xdr:row>
          <xdr:rowOff>0</xdr:rowOff>
        </xdr:from>
        <xdr:to>
          <xdr:col>19</xdr:col>
          <xdr:colOff>0</xdr:colOff>
          <xdr:row>126</xdr:row>
          <xdr:rowOff>714375</xdr:rowOff>
        </xdr:to>
        <xdr:sp macro="" textlink="">
          <xdr:nvSpPr>
            <xdr:cNvPr id="11485" name="Spinner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7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130</xdr:row>
          <xdr:rowOff>38100</xdr:rowOff>
        </xdr:from>
        <xdr:to>
          <xdr:col>18</xdr:col>
          <xdr:colOff>781050</xdr:colOff>
          <xdr:row>130</xdr:row>
          <xdr:rowOff>714375</xdr:rowOff>
        </xdr:to>
        <xdr:sp macro="" textlink="">
          <xdr:nvSpPr>
            <xdr:cNvPr id="11486" name="Spinner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7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160</xdr:row>
          <xdr:rowOff>38100</xdr:rowOff>
        </xdr:from>
        <xdr:to>
          <xdr:col>18</xdr:col>
          <xdr:colOff>781050</xdr:colOff>
          <xdr:row>160</xdr:row>
          <xdr:rowOff>628650</xdr:rowOff>
        </xdr:to>
        <xdr:sp macro="" textlink="">
          <xdr:nvSpPr>
            <xdr:cNvPr id="11487" name="Spinner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7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190</xdr:row>
          <xdr:rowOff>76200</xdr:rowOff>
        </xdr:from>
        <xdr:to>
          <xdr:col>5</xdr:col>
          <xdr:colOff>447675</xdr:colOff>
          <xdr:row>190</xdr:row>
          <xdr:rowOff>685800</xdr:rowOff>
        </xdr:to>
        <xdr:sp macro="" textlink="">
          <xdr:nvSpPr>
            <xdr:cNvPr id="11488" name="Spinner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7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189</xdr:row>
          <xdr:rowOff>76200</xdr:rowOff>
        </xdr:from>
        <xdr:to>
          <xdr:col>5</xdr:col>
          <xdr:colOff>428625</xdr:colOff>
          <xdr:row>189</xdr:row>
          <xdr:rowOff>685800</xdr:rowOff>
        </xdr:to>
        <xdr:sp macro="" textlink="">
          <xdr:nvSpPr>
            <xdr:cNvPr id="11489" name="Spinner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7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188</xdr:row>
          <xdr:rowOff>66675</xdr:rowOff>
        </xdr:from>
        <xdr:to>
          <xdr:col>5</xdr:col>
          <xdr:colOff>438150</xdr:colOff>
          <xdr:row>188</xdr:row>
          <xdr:rowOff>676275</xdr:rowOff>
        </xdr:to>
        <xdr:sp macro="" textlink="">
          <xdr:nvSpPr>
            <xdr:cNvPr id="11490" name="Spinner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7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187</xdr:row>
          <xdr:rowOff>66675</xdr:rowOff>
        </xdr:from>
        <xdr:to>
          <xdr:col>5</xdr:col>
          <xdr:colOff>428625</xdr:colOff>
          <xdr:row>187</xdr:row>
          <xdr:rowOff>676275</xdr:rowOff>
        </xdr:to>
        <xdr:sp macro="" textlink="">
          <xdr:nvSpPr>
            <xdr:cNvPr id="11491" name="Spinner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7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186</xdr:row>
          <xdr:rowOff>47625</xdr:rowOff>
        </xdr:from>
        <xdr:to>
          <xdr:col>5</xdr:col>
          <xdr:colOff>447675</xdr:colOff>
          <xdr:row>186</xdr:row>
          <xdr:rowOff>657225</xdr:rowOff>
        </xdr:to>
        <xdr:sp macro="" textlink="">
          <xdr:nvSpPr>
            <xdr:cNvPr id="11492" name="Spinner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7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185</xdr:row>
          <xdr:rowOff>47625</xdr:rowOff>
        </xdr:from>
        <xdr:to>
          <xdr:col>5</xdr:col>
          <xdr:colOff>447675</xdr:colOff>
          <xdr:row>185</xdr:row>
          <xdr:rowOff>723900</xdr:rowOff>
        </xdr:to>
        <xdr:sp macro="" textlink="">
          <xdr:nvSpPr>
            <xdr:cNvPr id="11493" name="Spinner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7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184</xdr:row>
          <xdr:rowOff>57150</xdr:rowOff>
        </xdr:from>
        <xdr:to>
          <xdr:col>5</xdr:col>
          <xdr:colOff>447675</xdr:colOff>
          <xdr:row>184</xdr:row>
          <xdr:rowOff>733425</xdr:rowOff>
        </xdr:to>
        <xdr:sp macro="" textlink="">
          <xdr:nvSpPr>
            <xdr:cNvPr id="11494" name="Spinner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7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183</xdr:row>
          <xdr:rowOff>19050</xdr:rowOff>
        </xdr:from>
        <xdr:to>
          <xdr:col>5</xdr:col>
          <xdr:colOff>438150</xdr:colOff>
          <xdr:row>183</xdr:row>
          <xdr:rowOff>695325</xdr:rowOff>
        </xdr:to>
        <xdr:sp macro="" textlink="">
          <xdr:nvSpPr>
            <xdr:cNvPr id="11495" name="Spinner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7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183</xdr:row>
          <xdr:rowOff>0</xdr:rowOff>
        </xdr:from>
        <xdr:to>
          <xdr:col>9</xdr:col>
          <xdr:colOff>438150</xdr:colOff>
          <xdr:row>183</xdr:row>
          <xdr:rowOff>742950</xdr:rowOff>
        </xdr:to>
        <xdr:sp macro="" textlink="">
          <xdr:nvSpPr>
            <xdr:cNvPr id="11496" name="Spinner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7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184</xdr:row>
          <xdr:rowOff>9525</xdr:rowOff>
        </xdr:from>
        <xdr:to>
          <xdr:col>9</xdr:col>
          <xdr:colOff>447675</xdr:colOff>
          <xdr:row>184</xdr:row>
          <xdr:rowOff>647700</xdr:rowOff>
        </xdr:to>
        <xdr:sp macro="" textlink="">
          <xdr:nvSpPr>
            <xdr:cNvPr id="11497" name="Spinner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7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185</xdr:row>
          <xdr:rowOff>9525</xdr:rowOff>
        </xdr:from>
        <xdr:to>
          <xdr:col>9</xdr:col>
          <xdr:colOff>447675</xdr:colOff>
          <xdr:row>185</xdr:row>
          <xdr:rowOff>647700</xdr:rowOff>
        </xdr:to>
        <xdr:sp macro="" textlink="">
          <xdr:nvSpPr>
            <xdr:cNvPr id="11498" name="Spinner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7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186</xdr:row>
          <xdr:rowOff>28575</xdr:rowOff>
        </xdr:from>
        <xdr:to>
          <xdr:col>9</xdr:col>
          <xdr:colOff>466725</xdr:colOff>
          <xdr:row>186</xdr:row>
          <xdr:rowOff>666750</xdr:rowOff>
        </xdr:to>
        <xdr:sp macro="" textlink="">
          <xdr:nvSpPr>
            <xdr:cNvPr id="11499" name="Spinner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7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187</xdr:row>
          <xdr:rowOff>19050</xdr:rowOff>
        </xdr:from>
        <xdr:to>
          <xdr:col>9</xdr:col>
          <xdr:colOff>466725</xdr:colOff>
          <xdr:row>187</xdr:row>
          <xdr:rowOff>657225</xdr:rowOff>
        </xdr:to>
        <xdr:sp macro="" textlink="">
          <xdr:nvSpPr>
            <xdr:cNvPr id="11500" name="Spinner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7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188</xdr:row>
          <xdr:rowOff>19050</xdr:rowOff>
        </xdr:from>
        <xdr:to>
          <xdr:col>9</xdr:col>
          <xdr:colOff>447675</xdr:colOff>
          <xdr:row>188</xdr:row>
          <xdr:rowOff>657225</xdr:rowOff>
        </xdr:to>
        <xdr:sp macro="" textlink="">
          <xdr:nvSpPr>
            <xdr:cNvPr id="11501" name="Spinner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7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189</xdr:row>
          <xdr:rowOff>19050</xdr:rowOff>
        </xdr:from>
        <xdr:to>
          <xdr:col>9</xdr:col>
          <xdr:colOff>457200</xdr:colOff>
          <xdr:row>189</xdr:row>
          <xdr:rowOff>657225</xdr:rowOff>
        </xdr:to>
        <xdr:sp macro="" textlink="">
          <xdr:nvSpPr>
            <xdr:cNvPr id="11502" name="Spinner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7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190</xdr:row>
          <xdr:rowOff>28575</xdr:rowOff>
        </xdr:from>
        <xdr:to>
          <xdr:col>9</xdr:col>
          <xdr:colOff>447675</xdr:colOff>
          <xdr:row>190</xdr:row>
          <xdr:rowOff>666750</xdr:rowOff>
        </xdr:to>
        <xdr:sp macro="" textlink="">
          <xdr:nvSpPr>
            <xdr:cNvPr id="11503" name="Spinner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7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183</xdr:row>
          <xdr:rowOff>47625</xdr:rowOff>
        </xdr:from>
        <xdr:to>
          <xdr:col>13</xdr:col>
          <xdr:colOff>447675</xdr:colOff>
          <xdr:row>183</xdr:row>
          <xdr:rowOff>695325</xdr:rowOff>
        </xdr:to>
        <xdr:sp macro="" textlink="">
          <xdr:nvSpPr>
            <xdr:cNvPr id="11512" name="Spinner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7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184</xdr:row>
          <xdr:rowOff>19050</xdr:rowOff>
        </xdr:from>
        <xdr:to>
          <xdr:col>13</xdr:col>
          <xdr:colOff>476250</xdr:colOff>
          <xdr:row>184</xdr:row>
          <xdr:rowOff>657225</xdr:rowOff>
        </xdr:to>
        <xdr:sp macro="" textlink="">
          <xdr:nvSpPr>
            <xdr:cNvPr id="11513" name="Spinner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7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185</xdr:row>
          <xdr:rowOff>28575</xdr:rowOff>
        </xdr:from>
        <xdr:to>
          <xdr:col>13</xdr:col>
          <xdr:colOff>466725</xdr:colOff>
          <xdr:row>185</xdr:row>
          <xdr:rowOff>666750</xdr:rowOff>
        </xdr:to>
        <xdr:sp macro="" textlink="">
          <xdr:nvSpPr>
            <xdr:cNvPr id="11514" name="Spinner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7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186</xdr:row>
          <xdr:rowOff>28575</xdr:rowOff>
        </xdr:from>
        <xdr:to>
          <xdr:col>13</xdr:col>
          <xdr:colOff>457200</xdr:colOff>
          <xdr:row>186</xdr:row>
          <xdr:rowOff>666750</xdr:rowOff>
        </xdr:to>
        <xdr:sp macro="" textlink="">
          <xdr:nvSpPr>
            <xdr:cNvPr id="11515" name="Spinner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7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187</xdr:row>
          <xdr:rowOff>19050</xdr:rowOff>
        </xdr:from>
        <xdr:to>
          <xdr:col>13</xdr:col>
          <xdr:colOff>466725</xdr:colOff>
          <xdr:row>187</xdr:row>
          <xdr:rowOff>657225</xdr:rowOff>
        </xdr:to>
        <xdr:sp macro="" textlink="">
          <xdr:nvSpPr>
            <xdr:cNvPr id="11516" name="Spinner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7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188</xdr:row>
          <xdr:rowOff>28575</xdr:rowOff>
        </xdr:from>
        <xdr:to>
          <xdr:col>13</xdr:col>
          <xdr:colOff>466725</xdr:colOff>
          <xdr:row>188</xdr:row>
          <xdr:rowOff>666750</xdr:rowOff>
        </xdr:to>
        <xdr:sp macro="" textlink="">
          <xdr:nvSpPr>
            <xdr:cNvPr id="11517" name="Spinner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7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189</xdr:row>
          <xdr:rowOff>28575</xdr:rowOff>
        </xdr:from>
        <xdr:to>
          <xdr:col>13</xdr:col>
          <xdr:colOff>466725</xdr:colOff>
          <xdr:row>189</xdr:row>
          <xdr:rowOff>666750</xdr:rowOff>
        </xdr:to>
        <xdr:sp macro="" textlink="">
          <xdr:nvSpPr>
            <xdr:cNvPr id="11518" name="Spinner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7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190</xdr:row>
          <xdr:rowOff>28575</xdr:rowOff>
        </xdr:from>
        <xdr:to>
          <xdr:col>13</xdr:col>
          <xdr:colOff>466725</xdr:colOff>
          <xdr:row>190</xdr:row>
          <xdr:rowOff>666750</xdr:rowOff>
        </xdr:to>
        <xdr:sp macro="" textlink="">
          <xdr:nvSpPr>
            <xdr:cNvPr id="11519" name="Spinner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7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183</xdr:row>
          <xdr:rowOff>28575</xdr:rowOff>
        </xdr:from>
        <xdr:to>
          <xdr:col>18</xdr:col>
          <xdr:colOff>752475</xdr:colOff>
          <xdr:row>183</xdr:row>
          <xdr:rowOff>723900</xdr:rowOff>
        </xdr:to>
        <xdr:sp macro="" textlink="">
          <xdr:nvSpPr>
            <xdr:cNvPr id="11520" name="Spinner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7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184</xdr:row>
          <xdr:rowOff>9525</xdr:rowOff>
        </xdr:from>
        <xdr:to>
          <xdr:col>19</xdr:col>
          <xdr:colOff>0</xdr:colOff>
          <xdr:row>184</xdr:row>
          <xdr:rowOff>685800</xdr:rowOff>
        </xdr:to>
        <xdr:sp macro="" textlink="">
          <xdr:nvSpPr>
            <xdr:cNvPr id="11521" name="Spinner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7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185</xdr:row>
          <xdr:rowOff>19050</xdr:rowOff>
        </xdr:from>
        <xdr:to>
          <xdr:col>19</xdr:col>
          <xdr:colOff>0</xdr:colOff>
          <xdr:row>186</xdr:row>
          <xdr:rowOff>38100</xdr:rowOff>
        </xdr:to>
        <xdr:sp macro="" textlink="">
          <xdr:nvSpPr>
            <xdr:cNvPr id="11522" name="Spinner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7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189</xdr:row>
          <xdr:rowOff>38100</xdr:rowOff>
        </xdr:from>
        <xdr:to>
          <xdr:col>18</xdr:col>
          <xdr:colOff>781050</xdr:colOff>
          <xdr:row>189</xdr:row>
          <xdr:rowOff>628650</xdr:rowOff>
        </xdr:to>
        <xdr:sp macro="" textlink="">
          <xdr:nvSpPr>
            <xdr:cNvPr id="11523" name="Spinner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7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</xdr:row>
          <xdr:rowOff>38100</xdr:rowOff>
        </xdr:from>
        <xdr:to>
          <xdr:col>25</xdr:col>
          <xdr:colOff>914400</xdr:colOff>
          <xdr:row>4</xdr:row>
          <xdr:rowOff>466725</xdr:rowOff>
        </xdr:to>
        <xdr:sp macro="" textlink="">
          <xdr:nvSpPr>
            <xdr:cNvPr id="11524" name="Spinner 260" hidden="1">
              <a:extLst>
                <a:ext uri="{63B3BB69-23CF-44E3-9099-C40C66FF867C}">
                  <a14:compatExt spid="_x0000_s11524"/>
                </a:ext>
                <a:ext uri="{FF2B5EF4-FFF2-40B4-BE49-F238E27FC236}">
                  <a16:creationId xmlns:a16="http://schemas.microsoft.com/office/drawing/2014/main" id="{00000000-0008-0000-0700-00000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</xdr:row>
          <xdr:rowOff>38100</xdr:rowOff>
        </xdr:from>
        <xdr:to>
          <xdr:col>25</xdr:col>
          <xdr:colOff>914400</xdr:colOff>
          <xdr:row>5</xdr:row>
          <xdr:rowOff>466725</xdr:rowOff>
        </xdr:to>
        <xdr:sp macro="" textlink="">
          <xdr:nvSpPr>
            <xdr:cNvPr id="11526" name="Spinner 262" hidden="1">
              <a:extLst>
                <a:ext uri="{63B3BB69-23CF-44E3-9099-C40C66FF867C}">
                  <a14:compatExt spid="_x0000_s11526"/>
                </a:ext>
                <a:ext uri="{FF2B5EF4-FFF2-40B4-BE49-F238E27FC236}">
                  <a16:creationId xmlns:a16="http://schemas.microsoft.com/office/drawing/2014/main" id="{00000000-0008-0000-0700-00000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</xdr:row>
          <xdr:rowOff>38100</xdr:rowOff>
        </xdr:from>
        <xdr:to>
          <xdr:col>25</xdr:col>
          <xdr:colOff>914400</xdr:colOff>
          <xdr:row>6</xdr:row>
          <xdr:rowOff>466725</xdr:rowOff>
        </xdr:to>
        <xdr:sp macro="" textlink="">
          <xdr:nvSpPr>
            <xdr:cNvPr id="11527" name="Spinner 263" hidden="1">
              <a:extLst>
                <a:ext uri="{63B3BB69-23CF-44E3-9099-C40C66FF867C}">
                  <a14:compatExt spid="_x0000_s11527"/>
                </a:ext>
                <a:ext uri="{FF2B5EF4-FFF2-40B4-BE49-F238E27FC236}">
                  <a16:creationId xmlns:a16="http://schemas.microsoft.com/office/drawing/2014/main" id="{00000000-0008-0000-0700-00000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</xdr:row>
          <xdr:rowOff>38100</xdr:rowOff>
        </xdr:from>
        <xdr:to>
          <xdr:col>25</xdr:col>
          <xdr:colOff>914400</xdr:colOff>
          <xdr:row>7</xdr:row>
          <xdr:rowOff>466725</xdr:rowOff>
        </xdr:to>
        <xdr:sp macro="" textlink="">
          <xdr:nvSpPr>
            <xdr:cNvPr id="11528" name="Spinner 264" hidden="1">
              <a:extLst>
                <a:ext uri="{63B3BB69-23CF-44E3-9099-C40C66FF867C}">
                  <a14:compatExt spid="_x0000_s11528"/>
                </a:ext>
                <a:ext uri="{FF2B5EF4-FFF2-40B4-BE49-F238E27FC236}">
                  <a16:creationId xmlns:a16="http://schemas.microsoft.com/office/drawing/2014/main" id="{00000000-0008-0000-0700-00000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8</xdr:row>
          <xdr:rowOff>38100</xdr:rowOff>
        </xdr:from>
        <xdr:to>
          <xdr:col>25</xdr:col>
          <xdr:colOff>914400</xdr:colOff>
          <xdr:row>8</xdr:row>
          <xdr:rowOff>466725</xdr:rowOff>
        </xdr:to>
        <xdr:sp macro="" textlink="">
          <xdr:nvSpPr>
            <xdr:cNvPr id="11529" name="Spinner 265" hidden="1">
              <a:extLst>
                <a:ext uri="{63B3BB69-23CF-44E3-9099-C40C66FF867C}">
                  <a14:compatExt spid="_x0000_s11529"/>
                </a:ext>
                <a:ext uri="{FF2B5EF4-FFF2-40B4-BE49-F238E27FC236}">
                  <a16:creationId xmlns:a16="http://schemas.microsoft.com/office/drawing/2014/main" id="{00000000-0008-0000-0700-00000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9</xdr:row>
          <xdr:rowOff>38100</xdr:rowOff>
        </xdr:from>
        <xdr:to>
          <xdr:col>25</xdr:col>
          <xdr:colOff>914400</xdr:colOff>
          <xdr:row>9</xdr:row>
          <xdr:rowOff>466725</xdr:rowOff>
        </xdr:to>
        <xdr:sp macro="" textlink="">
          <xdr:nvSpPr>
            <xdr:cNvPr id="11530" name="Spinner 266" hidden="1">
              <a:extLst>
                <a:ext uri="{63B3BB69-23CF-44E3-9099-C40C66FF867C}">
                  <a14:compatExt spid="_x0000_s11530"/>
                </a:ext>
                <a:ext uri="{FF2B5EF4-FFF2-40B4-BE49-F238E27FC236}">
                  <a16:creationId xmlns:a16="http://schemas.microsoft.com/office/drawing/2014/main" id="{00000000-0008-0000-0700-00000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4</xdr:row>
          <xdr:rowOff>38100</xdr:rowOff>
        </xdr:from>
        <xdr:to>
          <xdr:col>29</xdr:col>
          <xdr:colOff>914400</xdr:colOff>
          <xdr:row>4</xdr:row>
          <xdr:rowOff>466725</xdr:rowOff>
        </xdr:to>
        <xdr:sp macro="" textlink="">
          <xdr:nvSpPr>
            <xdr:cNvPr id="11531" name="Spinner 267" hidden="1">
              <a:extLst>
                <a:ext uri="{63B3BB69-23CF-44E3-9099-C40C66FF867C}">
                  <a14:compatExt spid="_x0000_s11531"/>
                </a:ext>
                <a:ext uri="{FF2B5EF4-FFF2-40B4-BE49-F238E27FC236}">
                  <a16:creationId xmlns:a16="http://schemas.microsoft.com/office/drawing/2014/main" id="{00000000-0008-0000-0700-00000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5</xdr:row>
          <xdr:rowOff>38100</xdr:rowOff>
        </xdr:from>
        <xdr:to>
          <xdr:col>29</xdr:col>
          <xdr:colOff>914400</xdr:colOff>
          <xdr:row>5</xdr:row>
          <xdr:rowOff>466725</xdr:rowOff>
        </xdr:to>
        <xdr:sp macro="" textlink="">
          <xdr:nvSpPr>
            <xdr:cNvPr id="11532" name="Spinner 268" hidden="1">
              <a:extLst>
                <a:ext uri="{63B3BB69-23CF-44E3-9099-C40C66FF867C}">
                  <a14:compatExt spid="_x0000_s11532"/>
                </a:ext>
                <a:ext uri="{FF2B5EF4-FFF2-40B4-BE49-F238E27FC236}">
                  <a16:creationId xmlns:a16="http://schemas.microsoft.com/office/drawing/2014/main" id="{00000000-0008-0000-0700-00000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6</xdr:row>
          <xdr:rowOff>38100</xdr:rowOff>
        </xdr:from>
        <xdr:to>
          <xdr:col>29</xdr:col>
          <xdr:colOff>914400</xdr:colOff>
          <xdr:row>6</xdr:row>
          <xdr:rowOff>466725</xdr:rowOff>
        </xdr:to>
        <xdr:sp macro="" textlink="">
          <xdr:nvSpPr>
            <xdr:cNvPr id="11533" name="Spinner 269" hidden="1">
              <a:extLst>
                <a:ext uri="{63B3BB69-23CF-44E3-9099-C40C66FF867C}">
                  <a14:compatExt spid="_x0000_s11533"/>
                </a:ext>
                <a:ext uri="{FF2B5EF4-FFF2-40B4-BE49-F238E27FC236}">
                  <a16:creationId xmlns:a16="http://schemas.microsoft.com/office/drawing/2014/main" id="{00000000-0008-0000-0700-00000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7</xdr:row>
          <xdr:rowOff>38100</xdr:rowOff>
        </xdr:from>
        <xdr:to>
          <xdr:col>29</xdr:col>
          <xdr:colOff>914400</xdr:colOff>
          <xdr:row>7</xdr:row>
          <xdr:rowOff>466725</xdr:rowOff>
        </xdr:to>
        <xdr:sp macro="" textlink="">
          <xdr:nvSpPr>
            <xdr:cNvPr id="11534" name="Spinner 270" hidden="1">
              <a:extLst>
                <a:ext uri="{63B3BB69-23CF-44E3-9099-C40C66FF867C}">
                  <a14:compatExt spid="_x0000_s11534"/>
                </a:ext>
                <a:ext uri="{FF2B5EF4-FFF2-40B4-BE49-F238E27FC236}">
                  <a16:creationId xmlns:a16="http://schemas.microsoft.com/office/drawing/2014/main" id="{00000000-0008-0000-0700-00000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8</xdr:row>
          <xdr:rowOff>38100</xdr:rowOff>
        </xdr:from>
        <xdr:to>
          <xdr:col>29</xdr:col>
          <xdr:colOff>914400</xdr:colOff>
          <xdr:row>8</xdr:row>
          <xdr:rowOff>466725</xdr:rowOff>
        </xdr:to>
        <xdr:sp macro="" textlink="">
          <xdr:nvSpPr>
            <xdr:cNvPr id="11535" name="Spinner 271" hidden="1">
              <a:extLst>
                <a:ext uri="{63B3BB69-23CF-44E3-9099-C40C66FF867C}">
                  <a14:compatExt spid="_x0000_s11535"/>
                </a:ext>
                <a:ext uri="{FF2B5EF4-FFF2-40B4-BE49-F238E27FC236}">
                  <a16:creationId xmlns:a16="http://schemas.microsoft.com/office/drawing/2014/main" id="{00000000-0008-0000-0700-00000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9</xdr:row>
          <xdr:rowOff>38100</xdr:rowOff>
        </xdr:from>
        <xdr:to>
          <xdr:col>29</xdr:col>
          <xdr:colOff>914400</xdr:colOff>
          <xdr:row>9</xdr:row>
          <xdr:rowOff>466725</xdr:rowOff>
        </xdr:to>
        <xdr:sp macro="" textlink="">
          <xdr:nvSpPr>
            <xdr:cNvPr id="11536" name="Spinner 272" hidden="1">
              <a:extLst>
                <a:ext uri="{63B3BB69-23CF-44E3-9099-C40C66FF867C}">
                  <a14:compatExt spid="_x0000_s11536"/>
                </a:ext>
                <a:ext uri="{FF2B5EF4-FFF2-40B4-BE49-F238E27FC236}">
                  <a16:creationId xmlns:a16="http://schemas.microsoft.com/office/drawing/2014/main" id="{00000000-0008-0000-0700-00001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76200</xdr:colOff>
          <xdr:row>4</xdr:row>
          <xdr:rowOff>19050</xdr:rowOff>
        </xdr:from>
        <xdr:to>
          <xdr:col>38</xdr:col>
          <xdr:colOff>723900</xdr:colOff>
          <xdr:row>4</xdr:row>
          <xdr:rowOff>457200</xdr:rowOff>
        </xdr:to>
        <xdr:sp macro="" textlink="">
          <xdr:nvSpPr>
            <xdr:cNvPr id="11581" name="Spinner 317" hidden="1">
              <a:extLst>
                <a:ext uri="{63B3BB69-23CF-44E3-9099-C40C66FF867C}">
                  <a14:compatExt spid="_x0000_s11581"/>
                </a:ext>
                <a:ext uri="{FF2B5EF4-FFF2-40B4-BE49-F238E27FC236}">
                  <a16:creationId xmlns:a16="http://schemas.microsoft.com/office/drawing/2014/main" id="{00000000-0008-0000-0700-00003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4</xdr:row>
          <xdr:rowOff>38100</xdr:rowOff>
        </xdr:from>
        <xdr:to>
          <xdr:col>33</xdr:col>
          <xdr:colOff>914400</xdr:colOff>
          <xdr:row>4</xdr:row>
          <xdr:rowOff>466725</xdr:rowOff>
        </xdr:to>
        <xdr:sp macro="" textlink="">
          <xdr:nvSpPr>
            <xdr:cNvPr id="11629" name="Spinner 365" hidden="1">
              <a:extLst>
                <a:ext uri="{63B3BB69-23CF-44E3-9099-C40C66FF867C}">
                  <a14:compatExt spid="_x0000_s11629"/>
                </a:ext>
                <a:ext uri="{FF2B5EF4-FFF2-40B4-BE49-F238E27FC236}">
                  <a16:creationId xmlns:a16="http://schemas.microsoft.com/office/drawing/2014/main" id="{00000000-0008-0000-0700-00006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5</xdr:row>
          <xdr:rowOff>38100</xdr:rowOff>
        </xdr:from>
        <xdr:to>
          <xdr:col>33</xdr:col>
          <xdr:colOff>914400</xdr:colOff>
          <xdr:row>5</xdr:row>
          <xdr:rowOff>466725</xdr:rowOff>
        </xdr:to>
        <xdr:sp macro="" textlink="">
          <xdr:nvSpPr>
            <xdr:cNvPr id="11630" name="Spinner 366" hidden="1">
              <a:extLst>
                <a:ext uri="{63B3BB69-23CF-44E3-9099-C40C66FF867C}">
                  <a14:compatExt spid="_x0000_s11630"/>
                </a:ext>
                <a:ext uri="{FF2B5EF4-FFF2-40B4-BE49-F238E27FC236}">
                  <a16:creationId xmlns:a16="http://schemas.microsoft.com/office/drawing/2014/main" id="{00000000-0008-0000-0700-00006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6</xdr:row>
          <xdr:rowOff>38100</xdr:rowOff>
        </xdr:from>
        <xdr:to>
          <xdr:col>33</xdr:col>
          <xdr:colOff>914400</xdr:colOff>
          <xdr:row>6</xdr:row>
          <xdr:rowOff>466725</xdr:rowOff>
        </xdr:to>
        <xdr:sp macro="" textlink="">
          <xdr:nvSpPr>
            <xdr:cNvPr id="11631" name="Spinner 367" hidden="1">
              <a:extLst>
                <a:ext uri="{63B3BB69-23CF-44E3-9099-C40C66FF867C}">
                  <a14:compatExt spid="_x0000_s11631"/>
                </a:ext>
                <a:ext uri="{FF2B5EF4-FFF2-40B4-BE49-F238E27FC236}">
                  <a16:creationId xmlns:a16="http://schemas.microsoft.com/office/drawing/2014/main" id="{00000000-0008-0000-0700-00006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7</xdr:row>
          <xdr:rowOff>38100</xdr:rowOff>
        </xdr:from>
        <xdr:to>
          <xdr:col>33</xdr:col>
          <xdr:colOff>914400</xdr:colOff>
          <xdr:row>7</xdr:row>
          <xdr:rowOff>466725</xdr:rowOff>
        </xdr:to>
        <xdr:sp macro="" textlink="">
          <xdr:nvSpPr>
            <xdr:cNvPr id="11632" name="Spinner 368" hidden="1">
              <a:extLst>
                <a:ext uri="{63B3BB69-23CF-44E3-9099-C40C66FF867C}">
                  <a14:compatExt spid="_x0000_s11632"/>
                </a:ext>
                <a:ext uri="{FF2B5EF4-FFF2-40B4-BE49-F238E27FC236}">
                  <a16:creationId xmlns:a16="http://schemas.microsoft.com/office/drawing/2014/main" id="{00000000-0008-0000-0700-00007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8</xdr:row>
          <xdr:rowOff>38100</xdr:rowOff>
        </xdr:from>
        <xdr:to>
          <xdr:col>33</xdr:col>
          <xdr:colOff>914400</xdr:colOff>
          <xdr:row>8</xdr:row>
          <xdr:rowOff>466725</xdr:rowOff>
        </xdr:to>
        <xdr:sp macro="" textlink="">
          <xdr:nvSpPr>
            <xdr:cNvPr id="11633" name="Spinner 369" hidden="1">
              <a:extLst>
                <a:ext uri="{63B3BB69-23CF-44E3-9099-C40C66FF867C}">
                  <a14:compatExt spid="_x0000_s11633"/>
                </a:ext>
                <a:ext uri="{FF2B5EF4-FFF2-40B4-BE49-F238E27FC236}">
                  <a16:creationId xmlns:a16="http://schemas.microsoft.com/office/drawing/2014/main" id="{00000000-0008-0000-0700-00007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9</xdr:row>
          <xdr:rowOff>38100</xdr:rowOff>
        </xdr:from>
        <xdr:to>
          <xdr:col>33</xdr:col>
          <xdr:colOff>914400</xdr:colOff>
          <xdr:row>9</xdr:row>
          <xdr:rowOff>466725</xdr:rowOff>
        </xdr:to>
        <xdr:sp macro="" textlink="">
          <xdr:nvSpPr>
            <xdr:cNvPr id="11634" name="Spinner 370" hidden="1">
              <a:extLst>
                <a:ext uri="{63B3BB69-23CF-44E3-9099-C40C66FF867C}">
                  <a14:compatExt spid="_x0000_s11634"/>
                </a:ext>
                <a:ext uri="{FF2B5EF4-FFF2-40B4-BE49-F238E27FC236}">
                  <a16:creationId xmlns:a16="http://schemas.microsoft.com/office/drawing/2014/main" id="{00000000-0008-0000-0700-00007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34</xdr:row>
          <xdr:rowOff>19050</xdr:rowOff>
        </xdr:from>
        <xdr:to>
          <xdr:col>38</xdr:col>
          <xdr:colOff>800100</xdr:colOff>
          <xdr:row>35</xdr:row>
          <xdr:rowOff>0</xdr:rowOff>
        </xdr:to>
        <xdr:sp macro="" textlink="">
          <xdr:nvSpPr>
            <xdr:cNvPr id="12139" name="Spinner 875" hidden="1">
              <a:extLst>
                <a:ext uri="{63B3BB69-23CF-44E3-9099-C40C66FF867C}">
                  <a14:compatExt spid="_x0000_s12139"/>
                </a:ext>
                <a:ext uri="{FF2B5EF4-FFF2-40B4-BE49-F238E27FC236}">
                  <a16:creationId xmlns:a16="http://schemas.microsoft.com/office/drawing/2014/main" id="{00000000-0008-0000-0700-00006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35</xdr:row>
          <xdr:rowOff>19050</xdr:rowOff>
        </xdr:from>
        <xdr:to>
          <xdr:col>38</xdr:col>
          <xdr:colOff>800100</xdr:colOff>
          <xdr:row>36</xdr:row>
          <xdr:rowOff>0</xdr:rowOff>
        </xdr:to>
        <xdr:sp macro="" textlink="">
          <xdr:nvSpPr>
            <xdr:cNvPr id="12140" name="Spinner 876" hidden="1">
              <a:extLst>
                <a:ext uri="{63B3BB69-23CF-44E3-9099-C40C66FF867C}">
                  <a14:compatExt spid="_x0000_s12140"/>
                </a:ext>
                <a:ext uri="{FF2B5EF4-FFF2-40B4-BE49-F238E27FC236}">
                  <a16:creationId xmlns:a16="http://schemas.microsoft.com/office/drawing/2014/main" id="{00000000-0008-0000-0700-00006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36</xdr:row>
          <xdr:rowOff>28575</xdr:rowOff>
        </xdr:from>
        <xdr:to>
          <xdr:col>38</xdr:col>
          <xdr:colOff>828675</xdr:colOff>
          <xdr:row>36</xdr:row>
          <xdr:rowOff>619125</xdr:rowOff>
        </xdr:to>
        <xdr:sp macro="" textlink="">
          <xdr:nvSpPr>
            <xdr:cNvPr id="12141" name="Spinner 877" hidden="1">
              <a:extLst>
                <a:ext uri="{63B3BB69-23CF-44E3-9099-C40C66FF867C}">
                  <a14:compatExt spid="_x0000_s12141"/>
                </a:ext>
                <a:ext uri="{FF2B5EF4-FFF2-40B4-BE49-F238E27FC236}">
                  <a16:creationId xmlns:a16="http://schemas.microsoft.com/office/drawing/2014/main" id="{00000000-0008-0000-0700-00006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34</xdr:row>
          <xdr:rowOff>133350</xdr:rowOff>
        </xdr:from>
        <xdr:to>
          <xdr:col>25</xdr:col>
          <xdr:colOff>885825</xdr:colOff>
          <xdr:row>34</xdr:row>
          <xdr:rowOff>571500</xdr:rowOff>
        </xdr:to>
        <xdr:sp macro="" textlink="">
          <xdr:nvSpPr>
            <xdr:cNvPr id="12142" name="Spinner 878" hidden="1">
              <a:extLst>
                <a:ext uri="{63B3BB69-23CF-44E3-9099-C40C66FF867C}">
                  <a14:compatExt spid="_x0000_s12142"/>
                </a:ext>
                <a:ext uri="{FF2B5EF4-FFF2-40B4-BE49-F238E27FC236}">
                  <a16:creationId xmlns:a16="http://schemas.microsoft.com/office/drawing/2014/main" id="{00000000-0008-0000-0700-00006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35</xdr:row>
          <xdr:rowOff>85725</xdr:rowOff>
        </xdr:from>
        <xdr:to>
          <xdr:col>25</xdr:col>
          <xdr:colOff>876300</xdr:colOff>
          <xdr:row>35</xdr:row>
          <xdr:rowOff>523875</xdr:rowOff>
        </xdr:to>
        <xdr:sp macro="" textlink="">
          <xdr:nvSpPr>
            <xdr:cNvPr id="12143" name="Spinner 879" hidden="1">
              <a:extLst>
                <a:ext uri="{63B3BB69-23CF-44E3-9099-C40C66FF867C}">
                  <a14:compatExt spid="_x0000_s12143"/>
                </a:ext>
                <a:ext uri="{FF2B5EF4-FFF2-40B4-BE49-F238E27FC236}">
                  <a16:creationId xmlns:a16="http://schemas.microsoft.com/office/drawing/2014/main" id="{00000000-0008-0000-0700-00006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36</xdr:row>
          <xdr:rowOff>66675</xdr:rowOff>
        </xdr:from>
        <xdr:to>
          <xdr:col>25</xdr:col>
          <xdr:colOff>876300</xdr:colOff>
          <xdr:row>36</xdr:row>
          <xdr:rowOff>504825</xdr:rowOff>
        </xdr:to>
        <xdr:sp macro="" textlink="">
          <xdr:nvSpPr>
            <xdr:cNvPr id="12144" name="Spinner 880" hidden="1">
              <a:extLst>
                <a:ext uri="{63B3BB69-23CF-44E3-9099-C40C66FF867C}">
                  <a14:compatExt spid="_x0000_s12144"/>
                </a:ext>
                <a:ext uri="{FF2B5EF4-FFF2-40B4-BE49-F238E27FC236}">
                  <a16:creationId xmlns:a16="http://schemas.microsoft.com/office/drawing/2014/main" id="{00000000-0008-0000-0700-00007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37</xdr:row>
          <xdr:rowOff>66675</xdr:rowOff>
        </xdr:from>
        <xdr:to>
          <xdr:col>25</xdr:col>
          <xdr:colOff>885825</xdr:colOff>
          <xdr:row>37</xdr:row>
          <xdr:rowOff>504825</xdr:rowOff>
        </xdr:to>
        <xdr:sp macro="" textlink="">
          <xdr:nvSpPr>
            <xdr:cNvPr id="12145" name="Spinner 881" hidden="1">
              <a:extLst>
                <a:ext uri="{63B3BB69-23CF-44E3-9099-C40C66FF867C}">
                  <a14:compatExt spid="_x0000_s12145"/>
                </a:ext>
                <a:ext uri="{FF2B5EF4-FFF2-40B4-BE49-F238E27FC236}">
                  <a16:creationId xmlns:a16="http://schemas.microsoft.com/office/drawing/2014/main" id="{00000000-0008-0000-0700-00007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38</xdr:row>
          <xdr:rowOff>85725</xdr:rowOff>
        </xdr:from>
        <xdr:to>
          <xdr:col>25</xdr:col>
          <xdr:colOff>885825</xdr:colOff>
          <xdr:row>38</xdr:row>
          <xdr:rowOff>523875</xdr:rowOff>
        </xdr:to>
        <xdr:sp macro="" textlink="">
          <xdr:nvSpPr>
            <xdr:cNvPr id="12146" name="Spinner 882" hidden="1">
              <a:extLst>
                <a:ext uri="{63B3BB69-23CF-44E3-9099-C40C66FF867C}">
                  <a14:compatExt spid="_x0000_s12146"/>
                </a:ext>
                <a:ext uri="{FF2B5EF4-FFF2-40B4-BE49-F238E27FC236}">
                  <a16:creationId xmlns:a16="http://schemas.microsoft.com/office/drawing/2014/main" id="{00000000-0008-0000-0700-00007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39</xdr:row>
          <xdr:rowOff>19050</xdr:rowOff>
        </xdr:from>
        <xdr:to>
          <xdr:col>25</xdr:col>
          <xdr:colOff>876300</xdr:colOff>
          <xdr:row>39</xdr:row>
          <xdr:rowOff>600075</xdr:rowOff>
        </xdr:to>
        <xdr:sp macro="" textlink="">
          <xdr:nvSpPr>
            <xdr:cNvPr id="12147" name="Spinner 883" hidden="1">
              <a:extLst>
                <a:ext uri="{63B3BB69-23CF-44E3-9099-C40C66FF867C}">
                  <a14:compatExt spid="_x0000_s12147"/>
                </a:ext>
                <a:ext uri="{FF2B5EF4-FFF2-40B4-BE49-F238E27FC236}">
                  <a16:creationId xmlns:a16="http://schemas.microsoft.com/office/drawing/2014/main" id="{00000000-0008-0000-0700-00007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34</xdr:row>
          <xdr:rowOff>104775</xdr:rowOff>
        </xdr:from>
        <xdr:to>
          <xdr:col>29</xdr:col>
          <xdr:colOff>885825</xdr:colOff>
          <xdr:row>34</xdr:row>
          <xdr:rowOff>542925</xdr:rowOff>
        </xdr:to>
        <xdr:sp macro="" textlink="">
          <xdr:nvSpPr>
            <xdr:cNvPr id="12148" name="Spinner 884" hidden="1">
              <a:extLst>
                <a:ext uri="{63B3BB69-23CF-44E3-9099-C40C66FF867C}">
                  <a14:compatExt spid="_x0000_s12148"/>
                </a:ext>
                <a:ext uri="{FF2B5EF4-FFF2-40B4-BE49-F238E27FC236}">
                  <a16:creationId xmlns:a16="http://schemas.microsoft.com/office/drawing/2014/main" id="{00000000-0008-0000-0700-00007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35</xdr:row>
          <xdr:rowOff>95250</xdr:rowOff>
        </xdr:from>
        <xdr:to>
          <xdr:col>29</xdr:col>
          <xdr:colOff>885825</xdr:colOff>
          <xdr:row>35</xdr:row>
          <xdr:rowOff>542925</xdr:rowOff>
        </xdr:to>
        <xdr:sp macro="" textlink="">
          <xdr:nvSpPr>
            <xdr:cNvPr id="12149" name="Spinner 885" hidden="1">
              <a:extLst>
                <a:ext uri="{63B3BB69-23CF-44E3-9099-C40C66FF867C}">
                  <a14:compatExt spid="_x0000_s12149"/>
                </a:ext>
                <a:ext uri="{FF2B5EF4-FFF2-40B4-BE49-F238E27FC236}">
                  <a16:creationId xmlns:a16="http://schemas.microsoft.com/office/drawing/2014/main" id="{00000000-0008-0000-0700-00007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36</xdr:row>
          <xdr:rowOff>123825</xdr:rowOff>
        </xdr:from>
        <xdr:to>
          <xdr:col>29</xdr:col>
          <xdr:colOff>876300</xdr:colOff>
          <xdr:row>36</xdr:row>
          <xdr:rowOff>561975</xdr:rowOff>
        </xdr:to>
        <xdr:sp macro="" textlink="">
          <xdr:nvSpPr>
            <xdr:cNvPr id="12150" name="Spinner 886" hidden="1">
              <a:extLst>
                <a:ext uri="{63B3BB69-23CF-44E3-9099-C40C66FF867C}">
                  <a14:compatExt spid="_x0000_s12150"/>
                </a:ext>
                <a:ext uri="{FF2B5EF4-FFF2-40B4-BE49-F238E27FC236}">
                  <a16:creationId xmlns:a16="http://schemas.microsoft.com/office/drawing/2014/main" id="{00000000-0008-0000-0700-00007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37</xdr:row>
          <xdr:rowOff>104775</xdr:rowOff>
        </xdr:from>
        <xdr:to>
          <xdr:col>29</xdr:col>
          <xdr:colOff>876300</xdr:colOff>
          <xdr:row>37</xdr:row>
          <xdr:rowOff>542925</xdr:rowOff>
        </xdr:to>
        <xdr:sp macro="" textlink="">
          <xdr:nvSpPr>
            <xdr:cNvPr id="12151" name="Spinner 887" hidden="1">
              <a:extLst>
                <a:ext uri="{63B3BB69-23CF-44E3-9099-C40C66FF867C}">
                  <a14:compatExt spid="_x0000_s12151"/>
                </a:ext>
                <a:ext uri="{FF2B5EF4-FFF2-40B4-BE49-F238E27FC236}">
                  <a16:creationId xmlns:a16="http://schemas.microsoft.com/office/drawing/2014/main" id="{00000000-0008-0000-0700-00007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38</xdr:row>
          <xdr:rowOff>76200</xdr:rowOff>
        </xdr:from>
        <xdr:to>
          <xdr:col>29</xdr:col>
          <xdr:colOff>876300</xdr:colOff>
          <xdr:row>38</xdr:row>
          <xdr:rowOff>514350</xdr:rowOff>
        </xdr:to>
        <xdr:sp macro="" textlink="">
          <xdr:nvSpPr>
            <xdr:cNvPr id="12152" name="Spinner 888" hidden="1">
              <a:extLst>
                <a:ext uri="{63B3BB69-23CF-44E3-9099-C40C66FF867C}">
                  <a14:compatExt spid="_x0000_s12152"/>
                </a:ext>
                <a:ext uri="{FF2B5EF4-FFF2-40B4-BE49-F238E27FC236}">
                  <a16:creationId xmlns:a16="http://schemas.microsoft.com/office/drawing/2014/main" id="{00000000-0008-0000-0700-00007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39</xdr:row>
          <xdr:rowOff>19050</xdr:rowOff>
        </xdr:from>
        <xdr:to>
          <xdr:col>29</xdr:col>
          <xdr:colOff>885825</xdr:colOff>
          <xdr:row>39</xdr:row>
          <xdr:rowOff>466725</xdr:rowOff>
        </xdr:to>
        <xdr:sp macro="" textlink="">
          <xdr:nvSpPr>
            <xdr:cNvPr id="12153" name="Spinner 889" hidden="1">
              <a:extLst>
                <a:ext uri="{63B3BB69-23CF-44E3-9099-C40C66FF867C}">
                  <a14:compatExt spid="_x0000_s12153"/>
                </a:ext>
                <a:ext uri="{FF2B5EF4-FFF2-40B4-BE49-F238E27FC236}">
                  <a16:creationId xmlns:a16="http://schemas.microsoft.com/office/drawing/2014/main" id="{00000000-0008-0000-0700-00007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34</xdr:row>
          <xdr:rowOff>104775</xdr:rowOff>
        </xdr:from>
        <xdr:to>
          <xdr:col>33</xdr:col>
          <xdr:colOff>895350</xdr:colOff>
          <xdr:row>34</xdr:row>
          <xdr:rowOff>542925</xdr:rowOff>
        </xdr:to>
        <xdr:sp macro="" textlink="">
          <xdr:nvSpPr>
            <xdr:cNvPr id="12154" name="Spinner 890" hidden="1">
              <a:extLst>
                <a:ext uri="{63B3BB69-23CF-44E3-9099-C40C66FF867C}">
                  <a14:compatExt spid="_x0000_s12154"/>
                </a:ext>
                <a:ext uri="{FF2B5EF4-FFF2-40B4-BE49-F238E27FC236}">
                  <a16:creationId xmlns:a16="http://schemas.microsoft.com/office/drawing/2014/main" id="{00000000-0008-0000-0700-00007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35</xdr:row>
          <xdr:rowOff>133350</xdr:rowOff>
        </xdr:from>
        <xdr:to>
          <xdr:col>33</xdr:col>
          <xdr:colOff>895350</xdr:colOff>
          <xdr:row>35</xdr:row>
          <xdr:rowOff>561975</xdr:rowOff>
        </xdr:to>
        <xdr:sp macro="" textlink="">
          <xdr:nvSpPr>
            <xdr:cNvPr id="12155" name="Spinner 891" hidden="1">
              <a:extLst>
                <a:ext uri="{63B3BB69-23CF-44E3-9099-C40C66FF867C}">
                  <a14:compatExt spid="_x0000_s12155"/>
                </a:ext>
                <a:ext uri="{FF2B5EF4-FFF2-40B4-BE49-F238E27FC236}">
                  <a16:creationId xmlns:a16="http://schemas.microsoft.com/office/drawing/2014/main" id="{00000000-0008-0000-0700-00007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36</xdr:row>
          <xdr:rowOff>104775</xdr:rowOff>
        </xdr:from>
        <xdr:to>
          <xdr:col>33</xdr:col>
          <xdr:colOff>895350</xdr:colOff>
          <xdr:row>36</xdr:row>
          <xdr:rowOff>542925</xdr:rowOff>
        </xdr:to>
        <xdr:sp macro="" textlink="">
          <xdr:nvSpPr>
            <xdr:cNvPr id="12156" name="Spinner 892" hidden="1">
              <a:extLst>
                <a:ext uri="{63B3BB69-23CF-44E3-9099-C40C66FF867C}">
                  <a14:compatExt spid="_x0000_s12156"/>
                </a:ext>
                <a:ext uri="{FF2B5EF4-FFF2-40B4-BE49-F238E27FC236}">
                  <a16:creationId xmlns:a16="http://schemas.microsoft.com/office/drawing/2014/main" id="{00000000-0008-0000-0700-00007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37</xdr:row>
          <xdr:rowOff>104775</xdr:rowOff>
        </xdr:from>
        <xdr:to>
          <xdr:col>33</xdr:col>
          <xdr:colOff>885825</xdr:colOff>
          <xdr:row>37</xdr:row>
          <xdr:rowOff>542925</xdr:rowOff>
        </xdr:to>
        <xdr:sp macro="" textlink="">
          <xdr:nvSpPr>
            <xdr:cNvPr id="12157" name="Spinner 893" hidden="1">
              <a:extLst>
                <a:ext uri="{63B3BB69-23CF-44E3-9099-C40C66FF867C}">
                  <a14:compatExt spid="_x0000_s12157"/>
                </a:ext>
                <a:ext uri="{FF2B5EF4-FFF2-40B4-BE49-F238E27FC236}">
                  <a16:creationId xmlns:a16="http://schemas.microsoft.com/office/drawing/2014/main" id="{00000000-0008-0000-0700-00007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38</xdr:row>
          <xdr:rowOff>104775</xdr:rowOff>
        </xdr:from>
        <xdr:to>
          <xdr:col>33</xdr:col>
          <xdr:colOff>885825</xdr:colOff>
          <xdr:row>38</xdr:row>
          <xdr:rowOff>542925</xdr:rowOff>
        </xdr:to>
        <xdr:sp macro="" textlink="">
          <xdr:nvSpPr>
            <xdr:cNvPr id="12158" name="Spinner 894" hidden="1">
              <a:extLst>
                <a:ext uri="{63B3BB69-23CF-44E3-9099-C40C66FF867C}">
                  <a14:compatExt spid="_x0000_s12158"/>
                </a:ext>
                <a:ext uri="{FF2B5EF4-FFF2-40B4-BE49-F238E27FC236}">
                  <a16:creationId xmlns:a16="http://schemas.microsoft.com/office/drawing/2014/main" id="{00000000-0008-0000-0700-00007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39</xdr:row>
          <xdr:rowOff>76200</xdr:rowOff>
        </xdr:from>
        <xdr:to>
          <xdr:col>33</xdr:col>
          <xdr:colOff>885825</xdr:colOff>
          <xdr:row>39</xdr:row>
          <xdr:rowOff>504825</xdr:rowOff>
        </xdr:to>
        <xdr:sp macro="" textlink="">
          <xdr:nvSpPr>
            <xdr:cNvPr id="12159" name="Spinner 895" hidden="1">
              <a:extLst>
                <a:ext uri="{63B3BB69-23CF-44E3-9099-C40C66FF867C}">
                  <a14:compatExt spid="_x0000_s12159"/>
                </a:ext>
                <a:ext uri="{FF2B5EF4-FFF2-40B4-BE49-F238E27FC236}">
                  <a16:creationId xmlns:a16="http://schemas.microsoft.com/office/drawing/2014/main" id="{00000000-0008-0000-0700-00007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64</xdr:row>
          <xdr:rowOff>47625</xdr:rowOff>
        </xdr:from>
        <xdr:to>
          <xdr:col>25</xdr:col>
          <xdr:colOff>876300</xdr:colOff>
          <xdr:row>64</xdr:row>
          <xdr:rowOff>628650</xdr:rowOff>
        </xdr:to>
        <xdr:sp macro="" textlink="">
          <xdr:nvSpPr>
            <xdr:cNvPr id="12160" name="Spinner 896" hidden="1">
              <a:extLst>
                <a:ext uri="{63B3BB69-23CF-44E3-9099-C40C66FF867C}">
                  <a14:compatExt spid="_x0000_s12160"/>
                </a:ext>
                <a:ext uri="{FF2B5EF4-FFF2-40B4-BE49-F238E27FC236}">
                  <a16:creationId xmlns:a16="http://schemas.microsoft.com/office/drawing/2014/main" id="{00000000-0008-0000-0700-00008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65</xdr:row>
          <xdr:rowOff>19050</xdr:rowOff>
        </xdr:from>
        <xdr:to>
          <xdr:col>25</xdr:col>
          <xdr:colOff>866775</xdr:colOff>
          <xdr:row>65</xdr:row>
          <xdr:rowOff>638175</xdr:rowOff>
        </xdr:to>
        <xdr:sp macro="" textlink="">
          <xdr:nvSpPr>
            <xdr:cNvPr id="12161" name="Spinner 897" hidden="1">
              <a:extLst>
                <a:ext uri="{63B3BB69-23CF-44E3-9099-C40C66FF867C}">
                  <a14:compatExt spid="_x0000_s12161"/>
                </a:ext>
                <a:ext uri="{FF2B5EF4-FFF2-40B4-BE49-F238E27FC236}">
                  <a16:creationId xmlns:a16="http://schemas.microsoft.com/office/drawing/2014/main" id="{00000000-0008-0000-0700-00008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66</xdr:row>
          <xdr:rowOff>38100</xdr:rowOff>
        </xdr:from>
        <xdr:to>
          <xdr:col>25</xdr:col>
          <xdr:colOff>876300</xdr:colOff>
          <xdr:row>66</xdr:row>
          <xdr:rowOff>619125</xdr:rowOff>
        </xdr:to>
        <xdr:sp macro="" textlink="">
          <xdr:nvSpPr>
            <xdr:cNvPr id="12162" name="Spinner 898" hidden="1">
              <a:extLst>
                <a:ext uri="{63B3BB69-23CF-44E3-9099-C40C66FF867C}">
                  <a14:compatExt spid="_x0000_s12162"/>
                </a:ext>
                <a:ext uri="{FF2B5EF4-FFF2-40B4-BE49-F238E27FC236}">
                  <a16:creationId xmlns:a16="http://schemas.microsoft.com/office/drawing/2014/main" id="{00000000-0008-0000-0700-00008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67</xdr:row>
          <xdr:rowOff>57150</xdr:rowOff>
        </xdr:from>
        <xdr:to>
          <xdr:col>25</xdr:col>
          <xdr:colOff>885825</xdr:colOff>
          <xdr:row>67</xdr:row>
          <xdr:rowOff>561975</xdr:rowOff>
        </xdr:to>
        <xdr:sp macro="" textlink="">
          <xdr:nvSpPr>
            <xdr:cNvPr id="12163" name="Spinner 899" hidden="1">
              <a:extLst>
                <a:ext uri="{63B3BB69-23CF-44E3-9099-C40C66FF867C}">
                  <a14:compatExt spid="_x0000_s12163"/>
                </a:ext>
                <a:ext uri="{FF2B5EF4-FFF2-40B4-BE49-F238E27FC236}">
                  <a16:creationId xmlns:a16="http://schemas.microsoft.com/office/drawing/2014/main" id="{00000000-0008-0000-0700-00008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68</xdr:row>
          <xdr:rowOff>47625</xdr:rowOff>
        </xdr:from>
        <xdr:to>
          <xdr:col>25</xdr:col>
          <xdr:colOff>885825</xdr:colOff>
          <xdr:row>68</xdr:row>
          <xdr:rowOff>571500</xdr:rowOff>
        </xdr:to>
        <xdr:sp macro="" textlink="">
          <xdr:nvSpPr>
            <xdr:cNvPr id="12164" name="Spinner 900" hidden="1">
              <a:extLst>
                <a:ext uri="{63B3BB69-23CF-44E3-9099-C40C66FF867C}">
                  <a14:compatExt spid="_x0000_s12164"/>
                </a:ext>
                <a:ext uri="{FF2B5EF4-FFF2-40B4-BE49-F238E27FC236}">
                  <a16:creationId xmlns:a16="http://schemas.microsoft.com/office/drawing/2014/main" id="{00000000-0008-0000-0700-00008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69</xdr:row>
          <xdr:rowOff>47625</xdr:rowOff>
        </xdr:from>
        <xdr:to>
          <xdr:col>25</xdr:col>
          <xdr:colOff>885825</xdr:colOff>
          <xdr:row>69</xdr:row>
          <xdr:rowOff>561975</xdr:rowOff>
        </xdr:to>
        <xdr:sp macro="" textlink="">
          <xdr:nvSpPr>
            <xdr:cNvPr id="12165" name="Spinner 901" hidden="1">
              <a:extLst>
                <a:ext uri="{63B3BB69-23CF-44E3-9099-C40C66FF867C}">
                  <a14:compatExt spid="_x0000_s12165"/>
                </a:ext>
                <a:ext uri="{FF2B5EF4-FFF2-40B4-BE49-F238E27FC236}">
                  <a16:creationId xmlns:a16="http://schemas.microsoft.com/office/drawing/2014/main" id="{00000000-0008-0000-0700-00008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64</xdr:row>
          <xdr:rowOff>180975</xdr:rowOff>
        </xdr:from>
        <xdr:to>
          <xdr:col>29</xdr:col>
          <xdr:colOff>895350</xdr:colOff>
          <xdr:row>64</xdr:row>
          <xdr:rowOff>619125</xdr:rowOff>
        </xdr:to>
        <xdr:sp macro="" textlink="">
          <xdr:nvSpPr>
            <xdr:cNvPr id="12172" name="Spinner 908" hidden="1">
              <a:extLst>
                <a:ext uri="{63B3BB69-23CF-44E3-9099-C40C66FF867C}">
                  <a14:compatExt spid="_x0000_s12172"/>
                </a:ext>
                <a:ext uri="{FF2B5EF4-FFF2-40B4-BE49-F238E27FC236}">
                  <a16:creationId xmlns:a16="http://schemas.microsoft.com/office/drawing/2014/main" id="{00000000-0008-0000-0700-00008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65</xdr:row>
          <xdr:rowOff>114300</xdr:rowOff>
        </xdr:from>
        <xdr:to>
          <xdr:col>29</xdr:col>
          <xdr:colOff>895350</xdr:colOff>
          <xdr:row>65</xdr:row>
          <xdr:rowOff>561975</xdr:rowOff>
        </xdr:to>
        <xdr:sp macro="" textlink="">
          <xdr:nvSpPr>
            <xdr:cNvPr id="12173" name="Spinner 909" hidden="1">
              <a:extLst>
                <a:ext uri="{63B3BB69-23CF-44E3-9099-C40C66FF867C}">
                  <a14:compatExt spid="_x0000_s12173"/>
                </a:ext>
                <a:ext uri="{FF2B5EF4-FFF2-40B4-BE49-F238E27FC236}">
                  <a16:creationId xmlns:a16="http://schemas.microsoft.com/office/drawing/2014/main" id="{00000000-0008-0000-0700-00008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66</xdr:row>
          <xdr:rowOff>114300</xdr:rowOff>
        </xdr:from>
        <xdr:to>
          <xdr:col>29</xdr:col>
          <xdr:colOff>885825</xdr:colOff>
          <xdr:row>66</xdr:row>
          <xdr:rowOff>561975</xdr:rowOff>
        </xdr:to>
        <xdr:sp macro="" textlink="">
          <xdr:nvSpPr>
            <xdr:cNvPr id="12174" name="Spinner 910" hidden="1">
              <a:extLst>
                <a:ext uri="{63B3BB69-23CF-44E3-9099-C40C66FF867C}">
                  <a14:compatExt spid="_x0000_s12174"/>
                </a:ext>
                <a:ext uri="{FF2B5EF4-FFF2-40B4-BE49-F238E27FC236}">
                  <a16:creationId xmlns:a16="http://schemas.microsoft.com/office/drawing/2014/main" id="{00000000-0008-0000-0700-00008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67</xdr:row>
          <xdr:rowOff>66675</xdr:rowOff>
        </xdr:from>
        <xdr:to>
          <xdr:col>29</xdr:col>
          <xdr:colOff>876300</xdr:colOff>
          <xdr:row>67</xdr:row>
          <xdr:rowOff>504825</xdr:rowOff>
        </xdr:to>
        <xdr:sp macro="" textlink="">
          <xdr:nvSpPr>
            <xdr:cNvPr id="12175" name="Spinner 911" hidden="1">
              <a:extLst>
                <a:ext uri="{63B3BB69-23CF-44E3-9099-C40C66FF867C}">
                  <a14:compatExt spid="_x0000_s12175"/>
                </a:ext>
                <a:ext uri="{FF2B5EF4-FFF2-40B4-BE49-F238E27FC236}">
                  <a16:creationId xmlns:a16="http://schemas.microsoft.com/office/drawing/2014/main" id="{00000000-0008-0000-0700-00008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68</xdr:row>
          <xdr:rowOff>66675</xdr:rowOff>
        </xdr:from>
        <xdr:to>
          <xdr:col>29</xdr:col>
          <xdr:colOff>876300</xdr:colOff>
          <xdr:row>68</xdr:row>
          <xdr:rowOff>504825</xdr:rowOff>
        </xdr:to>
        <xdr:sp macro="" textlink="">
          <xdr:nvSpPr>
            <xdr:cNvPr id="12176" name="Spinner 912" hidden="1">
              <a:extLst>
                <a:ext uri="{63B3BB69-23CF-44E3-9099-C40C66FF867C}">
                  <a14:compatExt spid="_x0000_s12176"/>
                </a:ext>
                <a:ext uri="{FF2B5EF4-FFF2-40B4-BE49-F238E27FC236}">
                  <a16:creationId xmlns:a16="http://schemas.microsoft.com/office/drawing/2014/main" id="{00000000-0008-0000-0700-00009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69</xdr:row>
          <xdr:rowOff>47625</xdr:rowOff>
        </xdr:from>
        <xdr:to>
          <xdr:col>29</xdr:col>
          <xdr:colOff>885825</xdr:colOff>
          <xdr:row>69</xdr:row>
          <xdr:rowOff>485775</xdr:rowOff>
        </xdr:to>
        <xdr:sp macro="" textlink="">
          <xdr:nvSpPr>
            <xdr:cNvPr id="12177" name="Spinner 913" hidden="1">
              <a:extLst>
                <a:ext uri="{63B3BB69-23CF-44E3-9099-C40C66FF867C}">
                  <a14:compatExt spid="_x0000_s12177"/>
                </a:ext>
                <a:ext uri="{FF2B5EF4-FFF2-40B4-BE49-F238E27FC236}">
                  <a16:creationId xmlns:a16="http://schemas.microsoft.com/office/drawing/2014/main" id="{00000000-0008-0000-0700-00009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64</xdr:row>
          <xdr:rowOff>104775</xdr:rowOff>
        </xdr:from>
        <xdr:to>
          <xdr:col>33</xdr:col>
          <xdr:colOff>895350</xdr:colOff>
          <xdr:row>64</xdr:row>
          <xdr:rowOff>647700</xdr:rowOff>
        </xdr:to>
        <xdr:sp macro="" textlink="">
          <xdr:nvSpPr>
            <xdr:cNvPr id="12178" name="Spinner 914" hidden="1">
              <a:extLst>
                <a:ext uri="{63B3BB69-23CF-44E3-9099-C40C66FF867C}">
                  <a14:compatExt spid="_x0000_s12178"/>
                </a:ext>
                <a:ext uri="{FF2B5EF4-FFF2-40B4-BE49-F238E27FC236}">
                  <a16:creationId xmlns:a16="http://schemas.microsoft.com/office/drawing/2014/main" id="{00000000-0008-0000-0700-00009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65</xdr:row>
          <xdr:rowOff>142875</xdr:rowOff>
        </xdr:from>
        <xdr:to>
          <xdr:col>33</xdr:col>
          <xdr:colOff>885825</xdr:colOff>
          <xdr:row>65</xdr:row>
          <xdr:rowOff>581025</xdr:rowOff>
        </xdr:to>
        <xdr:sp macro="" textlink="">
          <xdr:nvSpPr>
            <xdr:cNvPr id="12179" name="Spinner 915" hidden="1">
              <a:extLst>
                <a:ext uri="{63B3BB69-23CF-44E3-9099-C40C66FF867C}">
                  <a14:compatExt spid="_x0000_s12179"/>
                </a:ext>
                <a:ext uri="{FF2B5EF4-FFF2-40B4-BE49-F238E27FC236}">
                  <a16:creationId xmlns:a16="http://schemas.microsoft.com/office/drawing/2014/main" id="{00000000-0008-0000-0700-00009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66</xdr:row>
          <xdr:rowOff>190500</xdr:rowOff>
        </xdr:from>
        <xdr:to>
          <xdr:col>33</xdr:col>
          <xdr:colOff>876300</xdr:colOff>
          <xdr:row>66</xdr:row>
          <xdr:rowOff>638175</xdr:rowOff>
        </xdr:to>
        <xdr:sp macro="" textlink="">
          <xdr:nvSpPr>
            <xdr:cNvPr id="12180" name="Spinner 916" hidden="1">
              <a:extLst>
                <a:ext uri="{63B3BB69-23CF-44E3-9099-C40C66FF867C}">
                  <a14:compatExt spid="_x0000_s12180"/>
                </a:ext>
                <a:ext uri="{FF2B5EF4-FFF2-40B4-BE49-F238E27FC236}">
                  <a16:creationId xmlns:a16="http://schemas.microsoft.com/office/drawing/2014/main" id="{00000000-0008-0000-0700-00009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67</xdr:row>
          <xdr:rowOff>85725</xdr:rowOff>
        </xdr:from>
        <xdr:to>
          <xdr:col>33</xdr:col>
          <xdr:colOff>895350</xdr:colOff>
          <xdr:row>67</xdr:row>
          <xdr:rowOff>533400</xdr:rowOff>
        </xdr:to>
        <xdr:sp macro="" textlink="">
          <xdr:nvSpPr>
            <xdr:cNvPr id="12181" name="Spinner 917" hidden="1">
              <a:extLst>
                <a:ext uri="{63B3BB69-23CF-44E3-9099-C40C66FF867C}">
                  <a14:compatExt spid="_x0000_s12181"/>
                </a:ext>
                <a:ext uri="{FF2B5EF4-FFF2-40B4-BE49-F238E27FC236}">
                  <a16:creationId xmlns:a16="http://schemas.microsoft.com/office/drawing/2014/main" id="{00000000-0008-0000-0700-00009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68</xdr:row>
          <xdr:rowOff>38100</xdr:rowOff>
        </xdr:from>
        <xdr:to>
          <xdr:col>33</xdr:col>
          <xdr:colOff>904875</xdr:colOff>
          <xdr:row>68</xdr:row>
          <xdr:rowOff>600075</xdr:rowOff>
        </xdr:to>
        <xdr:sp macro="" textlink="">
          <xdr:nvSpPr>
            <xdr:cNvPr id="12182" name="Spinner 918" hidden="1">
              <a:extLst>
                <a:ext uri="{63B3BB69-23CF-44E3-9099-C40C66FF867C}">
                  <a14:compatExt spid="_x0000_s12182"/>
                </a:ext>
                <a:ext uri="{FF2B5EF4-FFF2-40B4-BE49-F238E27FC236}">
                  <a16:creationId xmlns:a16="http://schemas.microsoft.com/office/drawing/2014/main" id="{00000000-0008-0000-0700-00009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69</xdr:row>
          <xdr:rowOff>38100</xdr:rowOff>
        </xdr:from>
        <xdr:to>
          <xdr:col>33</xdr:col>
          <xdr:colOff>885825</xdr:colOff>
          <xdr:row>69</xdr:row>
          <xdr:rowOff>581025</xdr:rowOff>
        </xdr:to>
        <xdr:sp macro="" textlink="">
          <xdr:nvSpPr>
            <xdr:cNvPr id="12183" name="Spinner 919" hidden="1">
              <a:extLst>
                <a:ext uri="{63B3BB69-23CF-44E3-9099-C40C66FF867C}">
                  <a14:compatExt spid="_x0000_s12183"/>
                </a:ext>
                <a:ext uri="{FF2B5EF4-FFF2-40B4-BE49-F238E27FC236}">
                  <a16:creationId xmlns:a16="http://schemas.microsoft.com/office/drawing/2014/main" id="{00000000-0008-0000-0700-00009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64</xdr:row>
          <xdr:rowOff>28575</xdr:rowOff>
        </xdr:from>
        <xdr:to>
          <xdr:col>38</xdr:col>
          <xdr:colOff>809625</xdr:colOff>
          <xdr:row>64</xdr:row>
          <xdr:rowOff>638175</xdr:rowOff>
        </xdr:to>
        <xdr:sp macro="" textlink="">
          <xdr:nvSpPr>
            <xdr:cNvPr id="12184" name="Spinner 920" hidden="1">
              <a:extLst>
                <a:ext uri="{63B3BB69-23CF-44E3-9099-C40C66FF867C}">
                  <a14:compatExt spid="_x0000_s12184"/>
                </a:ext>
                <a:ext uri="{FF2B5EF4-FFF2-40B4-BE49-F238E27FC236}">
                  <a16:creationId xmlns:a16="http://schemas.microsoft.com/office/drawing/2014/main" id="{00000000-0008-0000-0700-00009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65</xdr:row>
          <xdr:rowOff>28575</xdr:rowOff>
        </xdr:from>
        <xdr:to>
          <xdr:col>38</xdr:col>
          <xdr:colOff>800100</xdr:colOff>
          <xdr:row>65</xdr:row>
          <xdr:rowOff>638175</xdr:rowOff>
        </xdr:to>
        <xdr:sp macro="" textlink="">
          <xdr:nvSpPr>
            <xdr:cNvPr id="12185" name="Spinner 921" hidden="1">
              <a:extLst>
                <a:ext uri="{63B3BB69-23CF-44E3-9099-C40C66FF867C}">
                  <a14:compatExt spid="_x0000_s12185"/>
                </a:ext>
                <a:ext uri="{FF2B5EF4-FFF2-40B4-BE49-F238E27FC236}">
                  <a16:creationId xmlns:a16="http://schemas.microsoft.com/office/drawing/2014/main" id="{00000000-0008-0000-0700-00009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66</xdr:row>
          <xdr:rowOff>19050</xdr:rowOff>
        </xdr:from>
        <xdr:to>
          <xdr:col>38</xdr:col>
          <xdr:colOff>819150</xdr:colOff>
          <xdr:row>66</xdr:row>
          <xdr:rowOff>619125</xdr:rowOff>
        </xdr:to>
        <xdr:sp macro="" textlink="">
          <xdr:nvSpPr>
            <xdr:cNvPr id="12186" name="Spinner 922" hidden="1">
              <a:extLst>
                <a:ext uri="{63B3BB69-23CF-44E3-9099-C40C66FF867C}">
                  <a14:compatExt spid="_x0000_s12186"/>
                </a:ext>
                <a:ext uri="{FF2B5EF4-FFF2-40B4-BE49-F238E27FC236}">
                  <a16:creationId xmlns:a16="http://schemas.microsoft.com/office/drawing/2014/main" id="{00000000-0008-0000-0700-00009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124</xdr:row>
          <xdr:rowOff>47625</xdr:rowOff>
        </xdr:from>
        <xdr:to>
          <xdr:col>25</xdr:col>
          <xdr:colOff>876300</xdr:colOff>
          <xdr:row>124</xdr:row>
          <xdr:rowOff>628650</xdr:rowOff>
        </xdr:to>
        <xdr:sp macro="" textlink="">
          <xdr:nvSpPr>
            <xdr:cNvPr id="12193" name="Spinner 929" hidden="1">
              <a:extLst>
                <a:ext uri="{63B3BB69-23CF-44E3-9099-C40C66FF867C}">
                  <a14:compatExt spid="_x0000_s12193"/>
                </a:ext>
                <a:ext uri="{FF2B5EF4-FFF2-40B4-BE49-F238E27FC236}">
                  <a16:creationId xmlns:a16="http://schemas.microsoft.com/office/drawing/2014/main" id="{00000000-0008-0000-0700-0000A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125</xdr:row>
          <xdr:rowOff>57150</xdr:rowOff>
        </xdr:from>
        <xdr:to>
          <xdr:col>25</xdr:col>
          <xdr:colOff>876300</xdr:colOff>
          <xdr:row>125</xdr:row>
          <xdr:rowOff>647700</xdr:rowOff>
        </xdr:to>
        <xdr:sp macro="" textlink="">
          <xdr:nvSpPr>
            <xdr:cNvPr id="12194" name="Spinner 930" hidden="1">
              <a:extLst>
                <a:ext uri="{63B3BB69-23CF-44E3-9099-C40C66FF867C}">
                  <a14:compatExt spid="_x0000_s12194"/>
                </a:ext>
                <a:ext uri="{FF2B5EF4-FFF2-40B4-BE49-F238E27FC236}">
                  <a16:creationId xmlns:a16="http://schemas.microsoft.com/office/drawing/2014/main" id="{00000000-0008-0000-0700-0000A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126</xdr:row>
          <xdr:rowOff>95250</xdr:rowOff>
        </xdr:from>
        <xdr:to>
          <xdr:col>25</xdr:col>
          <xdr:colOff>885825</xdr:colOff>
          <xdr:row>126</xdr:row>
          <xdr:rowOff>628650</xdr:rowOff>
        </xdr:to>
        <xdr:sp macro="" textlink="">
          <xdr:nvSpPr>
            <xdr:cNvPr id="12195" name="Spinner 931" hidden="1">
              <a:extLst>
                <a:ext uri="{63B3BB69-23CF-44E3-9099-C40C66FF867C}">
                  <a14:compatExt spid="_x0000_s12195"/>
                </a:ext>
                <a:ext uri="{FF2B5EF4-FFF2-40B4-BE49-F238E27FC236}">
                  <a16:creationId xmlns:a16="http://schemas.microsoft.com/office/drawing/2014/main" id="{00000000-0008-0000-0700-0000A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127</xdr:row>
          <xdr:rowOff>114300</xdr:rowOff>
        </xdr:from>
        <xdr:to>
          <xdr:col>25</xdr:col>
          <xdr:colOff>895350</xdr:colOff>
          <xdr:row>127</xdr:row>
          <xdr:rowOff>571500</xdr:rowOff>
        </xdr:to>
        <xdr:sp macro="" textlink="">
          <xdr:nvSpPr>
            <xdr:cNvPr id="12196" name="Spinner 932" hidden="1">
              <a:extLst>
                <a:ext uri="{63B3BB69-23CF-44E3-9099-C40C66FF867C}">
                  <a14:compatExt spid="_x0000_s12196"/>
                </a:ext>
                <a:ext uri="{FF2B5EF4-FFF2-40B4-BE49-F238E27FC236}">
                  <a16:creationId xmlns:a16="http://schemas.microsoft.com/office/drawing/2014/main" id="{00000000-0008-0000-0700-0000A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128</xdr:row>
          <xdr:rowOff>28575</xdr:rowOff>
        </xdr:from>
        <xdr:to>
          <xdr:col>25</xdr:col>
          <xdr:colOff>895350</xdr:colOff>
          <xdr:row>128</xdr:row>
          <xdr:rowOff>657225</xdr:rowOff>
        </xdr:to>
        <xdr:sp macro="" textlink="">
          <xdr:nvSpPr>
            <xdr:cNvPr id="12197" name="Spinner 933" hidden="1">
              <a:extLst>
                <a:ext uri="{63B3BB69-23CF-44E3-9099-C40C66FF867C}">
                  <a14:compatExt spid="_x0000_s12197"/>
                </a:ext>
                <a:ext uri="{FF2B5EF4-FFF2-40B4-BE49-F238E27FC236}">
                  <a16:creationId xmlns:a16="http://schemas.microsoft.com/office/drawing/2014/main" id="{00000000-0008-0000-0700-0000A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129</xdr:row>
          <xdr:rowOff>28575</xdr:rowOff>
        </xdr:from>
        <xdr:to>
          <xdr:col>25</xdr:col>
          <xdr:colOff>895350</xdr:colOff>
          <xdr:row>129</xdr:row>
          <xdr:rowOff>638175</xdr:rowOff>
        </xdr:to>
        <xdr:sp macro="" textlink="">
          <xdr:nvSpPr>
            <xdr:cNvPr id="12198" name="Spinner 934" hidden="1">
              <a:extLst>
                <a:ext uri="{63B3BB69-23CF-44E3-9099-C40C66FF867C}">
                  <a14:compatExt spid="_x0000_s12198"/>
                </a:ext>
                <a:ext uri="{FF2B5EF4-FFF2-40B4-BE49-F238E27FC236}">
                  <a16:creationId xmlns:a16="http://schemas.microsoft.com/office/drawing/2014/main" id="{00000000-0008-0000-0700-0000A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124</xdr:row>
          <xdr:rowOff>38100</xdr:rowOff>
        </xdr:from>
        <xdr:to>
          <xdr:col>29</xdr:col>
          <xdr:colOff>885825</xdr:colOff>
          <xdr:row>124</xdr:row>
          <xdr:rowOff>619125</xdr:rowOff>
        </xdr:to>
        <xdr:sp macro="" textlink="">
          <xdr:nvSpPr>
            <xdr:cNvPr id="12199" name="Spinner 935" hidden="1">
              <a:extLst>
                <a:ext uri="{63B3BB69-23CF-44E3-9099-C40C66FF867C}">
                  <a14:compatExt spid="_x0000_s12199"/>
                </a:ext>
                <a:ext uri="{FF2B5EF4-FFF2-40B4-BE49-F238E27FC236}">
                  <a16:creationId xmlns:a16="http://schemas.microsoft.com/office/drawing/2014/main" id="{00000000-0008-0000-0700-0000A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125</xdr:row>
          <xdr:rowOff>57150</xdr:rowOff>
        </xdr:from>
        <xdr:to>
          <xdr:col>29</xdr:col>
          <xdr:colOff>895350</xdr:colOff>
          <xdr:row>125</xdr:row>
          <xdr:rowOff>619125</xdr:rowOff>
        </xdr:to>
        <xdr:sp macro="" textlink="">
          <xdr:nvSpPr>
            <xdr:cNvPr id="12200" name="Spinner 936" hidden="1">
              <a:extLst>
                <a:ext uri="{63B3BB69-23CF-44E3-9099-C40C66FF867C}">
                  <a14:compatExt spid="_x0000_s12200"/>
                </a:ext>
                <a:ext uri="{FF2B5EF4-FFF2-40B4-BE49-F238E27FC236}">
                  <a16:creationId xmlns:a16="http://schemas.microsoft.com/office/drawing/2014/main" id="{00000000-0008-0000-0700-0000A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126</xdr:row>
          <xdr:rowOff>28575</xdr:rowOff>
        </xdr:from>
        <xdr:to>
          <xdr:col>29</xdr:col>
          <xdr:colOff>885825</xdr:colOff>
          <xdr:row>126</xdr:row>
          <xdr:rowOff>638175</xdr:rowOff>
        </xdr:to>
        <xdr:sp macro="" textlink="">
          <xdr:nvSpPr>
            <xdr:cNvPr id="12201" name="Spinner 937" hidden="1">
              <a:extLst>
                <a:ext uri="{63B3BB69-23CF-44E3-9099-C40C66FF867C}">
                  <a14:compatExt spid="_x0000_s12201"/>
                </a:ext>
                <a:ext uri="{FF2B5EF4-FFF2-40B4-BE49-F238E27FC236}">
                  <a16:creationId xmlns:a16="http://schemas.microsoft.com/office/drawing/2014/main" id="{00000000-0008-0000-0700-0000A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127</xdr:row>
          <xdr:rowOff>38100</xdr:rowOff>
        </xdr:from>
        <xdr:to>
          <xdr:col>29</xdr:col>
          <xdr:colOff>885825</xdr:colOff>
          <xdr:row>127</xdr:row>
          <xdr:rowOff>619125</xdr:rowOff>
        </xdr:to>
        <xdr:sp macro="" textlink="">
          <xdr:nvSpPr>
            <xdr:cNvPr id="12202" name="Spinner 938" hidden="1">
              <a:extLst>
                <a:ext uri="{63B3BB69-23CF-44E3-9099-C40C66FF867C}">
                  <a14:compatExt spid="_x0000_s12202"/>
                </a:ext>
                <a:ext uri="{FF2B5EF4-FFF2-40B4-BE49-F238E27FC236}">
                  <a16:creationId xmlns:a16="http://schemas.microsoft.com/office/drawing/2014/main" id="{00000000-0008-0000-0700-0000A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128</xdr:row>
          <xdr:rowOff>19050</xdr:rowOff>
        </xdr:from>
        <xdr:to>
          <xdr:col>29</xdr:col>
          <xdr:colOff>885825</xdr:colOff>
          <xdr:row>128</xdr:row>
          <xdr:rowOff>619125</xdr:rowOff>
        </xdr:to>
        <xdr:sp macro="" textlink="">
          <xdr:nvSpPr>
            <xdr:cNvPr id="12203" name="Spinner 939" hidden="1">
              <a:extLst>
                <a:ext uri="{63B3BB69-23CF-44E3-9099-C40C66FF867C}">
                  <a14:compatExt spid="_x0000_s12203"/>
                </a:ext>
                <a:ext uri="{FF2B5EF4-FFF2-40B4-BE49-F238E27FC236}">
                  <a16:creationId xmlns:a16="http://schemas.microsoft.com/office/drawing/2014/main" id="{00000000-0008-0000-0700-0000A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129</xdr:row>
          <xdr:rowOff>57150</xdr:rowOff>
        </xdr:from>
        <xdr:to>
          <xdr:col>29</xdr:col>
          <xdr:colOff>885825</xdr:colOff>
          <xdr:row>129</xdr:row>
          <xdr:rowOff>638175</xdr:rowOff>
        </xdr:to>
        <xdr:sp macro="" textlink="">
          <xdr:nvSpPr>
            <xdr:cNvPr id="12204" name="Spinner 940" hidden="1">
              <a:extLst>
                <a:ext uri="{63B3BB69-23CF-44E3-9099-C40C66FF867C}">
                  <a14:compatExt spid="_x0000_s12204"/>
                </a:ext>
                <a:ext uri="{FF2B5EF4-FFF2-40B4-BE49-F238E27FC236}">
                  <a16:creationId xmlns:a16="http://schemas.microsoft.com/office/drawing/2014/main" id="{00000000-0008-0000-0700-0000A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124</xdr:row>
          <xdr:rowOff>76200</xdr:rowOff>
        </xdr:from>
        <xdr:to>
          <xdr:col>33</xdr:col>
          <xdr:colOff>885825</xdr:colOff>
          <xdr:row>124</xdr:row>
          <xdr:rowOff>619125</xdr:rowOff>
        </xdr:to>
        <xdr:sp macro="" textlink="">
          <xdr:nvSpPr>
            <xdr:cNvPr id="12207" name="Spinner 943" hidden="1">
              <a:extLst>
                <a:ext uri="{63B3BB69-23CF-44E3-9099-C40C66FF867C}">
                  <a14:compatExt spid="_x0000_s12207"/>
                </a:ext>
                <a:ext uri="{FF2B5EF4-FFF2-40B4-BE49-F238E27FC236}">
                  <a16:creationId xmlns:a16="http://schemas.microsoft.com/office/drawing/2014/main" id="{00000000-0008-0000-0700-0000A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125</xdr:row>
          <xdr:rowOff>38100</xdr:rowOff>
        </xdr:from>
        <xdr:to>
          <xdr:col>33</xdr:col>
          <xdr:colOff>885825</xdr:colOff>
          <xdr:row>125</xdr:row>
          <xdr:rowOff>647700</xdr:rowOff>
        </xdr:to>
        <xdr:sp macro="" textlink="">
          <xdr:nvSpPr>
            <xdr:cNvPr id="12208" name="Spinner 944" hidden="1">
              <a:extLst>
                <a:ext uri="{63B3BB69-23CF-44E3-9099-C40C66FF867C}">
                  <a14:compatExt spid="_x0000_s12208"/>
                </a:ext>
                <a:ext uri="{FF2B5EF4-FFF2-40B4-BE49-F238E27FC236}">
                  <a16:creationId xmlns:a16="http://schemas.microsoft.com/office/drawing/2014/main" id="{00000000-0008-0000-0700-0000B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126</xdr:row>
          <xdr:rowOff>57150</xdr:rowOff>
        </xdr:from>
        <xdr:to>
          <xdr:col>33</xdr:col>
          <xdr:colOff>885825</xdr:colOff>
          <xdr:row>126</xdr:row>
          <xdr:rowOff>628650</xdr:rowOff>
        </xdr:to>
        <xdr:sp macro="" textlink="">
          <xdr:nvSpPr>
            <xdr:cNvPr id="12209" name="Spinner 945" hidden="1">
              <a:extLst>
                <a:ext uri="{63B3BB69-23CF-44E3-9099-C40C66FF867C}">
                  <a14:compatExt spid="_x0000_s12209"/>
                </a:ext>
                <a:ext uri="{FF2B5EF4-FFF2-40B4-BE49-F238E27FC236}">
                  <a16:creationId xmlns:a16="http://schemas.microsoft.com/office/drawing/2014/main" id="{00000000-0008-0000-0700-0000B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127</xdr:row>
          <xdr:rowOff>85725</xdr:rowOff>
        </xdr:from>
        <xdr:to>
          <xdr:col>33</xdr:col>
          <xdr:colOff>876300</xdr:colOff>
          <xdr:row>127</xdr:row>
          <xdr:rowOff>638175</xdr:rowOff>
        </xdr:to>
        <xdr:sp macro="" textlink="">
          <xdr:nvSpPr>
            <xdr:cNvPr id="12210" name="Spinner 946" hidden="1">
              <a:extLst>
                <a:ext uri="{63B3BB69-23CF-44E3-9099-C40C66FF867C}">
                  <a14:compatExt spid="_x0000_s12210"/>
                </a:ext>
                <a:ext uri="{FF2B5EF4-FFF2-40B4-BE49-F238E27FC236}">
                  <a16:creationId xmlns:a16="http://schemas.microsoft.com/office/drawing/2014/main" id="{00000000-0008-0000-0700-0000B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128</xdr:row>
          <xdr:rowOff>76200</xdr:rowOff>
        </xdr:from>
        <xdr:to>
          <xdr:col>33</xdr:col>
          <xdr:colOff>885825</xdr:colOff>
          <xdr:row>128</xdr:row>
          <xdr:rowOff>609600</xdr:rowOff>
        </xdr:to>
        <xdr:sp macro="" textlink="">
          <xdr:nvSpPr>
            <xdr:cNvPr id="12211" name="Spinner 947" hidden="1">
              <a:extLst>
                <a:ext uri="{63B3BB69-23CF-44E3-9099-C40C66FF867C}">
                  <a14:compatExt spid="_x0000_s12211"/>
                </a:ext>
                <a:ext uri="{FF2B5EF4-FFF2-40B4-BE49-F238E27FC236}">
                  <a16:creationId xmlns:a16="http://schemas.microsoft.com/office/drawing/2014/main" id="{00000000-0008-0000-0700-0000B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129</xdr:row>
          <xdr:rowOff>66675</xdr:rowOff>
        </xdr:from>
        <xdr:to>
          <xdr:col>33</xdr:col>
          <xdr:colOff>904875</xdr:colOff>
          <xdr:row>129</xdr:row>
          <xdr:rowOff>619125</xdr:rowOff>
        </xdr:to>
        <xdr:sp macro="" textlink="">
          <xdr:nvSpPr>
            <xdr:cNvPr id="12212" name="Spinner 948" hidden="1">
              <a:extLst>
                <a:ext uri="{63B3BB69-23CF-44E3-9099-C40C66FF867C}">
                  <a14:compatExt spid="_x0000_s12212"/>
                </a:ext>
                <a:ext uri="{FF2B5EF4-FFF2-40B4-BE49-F238E27FC236}">
                  <a16:creationId xmlns:a16="http://schemas.microsoft.com/office/drawing/2014/main" id="{00000000-0008-0000-0700-0000B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124</xdr:row>
          <xdr:rowOff>28575</xdr:rowOff>
        </xdr:from>
        <xdr:to>
          <xdr:col>38</xdr:col>
          <xdr:colOff>809625</xdr:colOff>
          <xdr:row>124</xdr:row>
          <xdr:rowOff>638175</xdr:rowOff>
        </xdr:to>
        <xdr:sp macro="" textlink="">
          <xdr:nvSpPr>
            <xdr:cNvPr id="12213" name="Spinner 949" hidden="1">
              <a:extLst>
                <a:ext uri="{63B3BB69-23CF-44E3-9099-C40C66FF867C}">
                  <a14:compatExt spid="_x0000_s12213"/>
                </a:ext>
                <a:ext uri="{FF2B5EF4-FFF2-40B4-BE49-F238E27FC236}">
                  <a16:creationId xmlns:a16="http://schemas.microsoft.com/office/drawing/2014/main" id="{00000000-0008-0000-0700-0000B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125</xdr:row>
          <xdr:rowOff>28575</xdr:rowOff>
        </xdr:from>
        <xdr:to>
          <xdr:col>38</xdr:col>
          <xdr:colOff>800100</xdr:colOff>
          <xdr:row>125</xdr:row>
          <xdr:rowOff>638175</xdr:rowOff>
        </xdr:to>
        <xdr:sp macro="" textlink="">
          <xdr:nvSpPr>
            <xdr:cNvPr id="12214" name="Spinner 950" hidden="1">
              <a:extLst>
                <a:ext uri="{63B3BB69-23CF-44E3-9099-C40C66FF867C}">
                  <a14:compatExt spid="_x0000_s12214"/>
                </a:ext>
                <a:ext uri="{FF2B5EF4-FFF2-40B4-BE49-F238E27FC236}">
                  <a16:creationId xmlns:a16="http://schemas.microsoft.com/office/drawing/2014/main" id="{00000000-0008-0000-0700-0000B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126</xdr:row>
          <xdr:rowOff>19050</xdr:rowOff>
        </xdr:from>
        <xdr:to>
          <xdr:col>38</xdr:col>
          <xdr:colOff>819150</xdr:colOff>
          <xdr:row>126</xdr:row>
          <xdr:rowOff>619125</xdr:rowOff>
        </xdr:to>
        <xdr:sp macro="" textlink="">
          <xdr:nvSpPr>
            <xdr:cNvPr id="12215" name="Spinner 951" hidden="1">
              <a:extLst>
                <a:ext uri="{63B3BB69-23CF-44E3-9099-C40C66FF867C}">
                  <a14:compatExt spid="_x0000_s12215"/>
                </a:ext>
                <a:ext uri="{FF2B5EF4-FFF2-40B4-BE49-F238E27FC236}">
                  <a16:creationId xmlns:a16="http://schemas.microsoft.com/office/drawing/2014/main" id="{00000000-0008-0000-0700-0000B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154</xdr:row>
          <xdr:rowOff>0</xdr:rowOff>
        </xdr:from>
        <xdr:to>
          <xdr:col>5</xdr:col>
          <xdr:colOff>419100</xdr:colOff>
          <xdr:row>154</xdr:row>
          <xdr:rowOff>695325</xdr:rowOff>
        </xdr:to>
        <xdr:sp macro="" textlink="">
          <xdr:nvSpPr>
            <xdr:cNvPr id="12216" name="Spinner 952" hidden="1">
              <a:extLst>
                <a:ext uri="{63B3BB69-23CF-44E3-9099-C40C66FF867C}">
                  <a14:compatExt spid="_x0000_s12216"/>
                </a:ext>
                <a:ext uri="{FF2B5EF4-FFF2-40B4-BE49-F238E27FC236}">
                  <a16:creationId xmlns:a16="http://schemas.microsoft.com/office/drawing/2014/main" id="{00000000-0008-0000-0700-0000B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156</xdr:row>
          <xdr:rowOff>47625</xdr:rowOff>
        </xdr:from>
        <xdr:to>
          <xdr:col>5</xdr:col>
          <xdr:colOff>438150</xdr:colOff>
          <xdr:row>156</xdr:row>
          <xdr:rowOff>714375</xdr:rowOff>
        </xdr:to>
        <xdr:sp macro="" textlink="">
          <xdr:nvSpPr>
            <xdr:cNvPr id="12217" name="Spinner 953" hidden="1">
              <a:extLst>
                <a:ext uri="{63B3BB69-23CF-44E3-9099-C40C66FF867C}">
                  <a14:compatExt spid="_x0000_s12217"/>
                </a:ext>
                <a:ext uri="{FF2B5EF4-FFF2-40B4-BE49-F238E27FC236}">
                  <a16:creationId xmlns:a16="http://schemas.microsoft.com/office/drawing/2014/main" id="{00000000-0008-0000-0700-0000B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157</xdr:row>
          <xdr:rowOff>47625</xdr:rowOff>
        </xdr:from>
        <xdr:to>
          <xdr:col>5</xdr:col>
          <xdr:colOff>457200</xdr:colOff>
          <xdr:row>157</xdr:row>
          <xdr:rowOff>704850</xdr:rowOff>
        </xdr:to>
        <xdr:sp macro="" textlink="">
          <xdr:nvSpPr>
            <xdr:cNvPr id="12218" name="Spinner 954" hidden="1">
              <a:extLst>
                <a:ext uri="{63B3BB69-23CF-44E3-9099-C40C66FF867C}">
                  <a14:compatExt spid="_x0000_s12218"/>
                </a:ext>
                <a:ext uri="{FF2B5EF4-FFF2-40B4-BE49-F238E27FC236}">
                  <a16:creationId xmlns:a16="http://schemas.microsoft.com/office/drawing/2014/main" id="{00000000-0008-0000-0700-0000B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158</xdr:row>
          <xdr:rowOff>104775</xdr:rowOff>
        </xdr:from>
        <xdr:to>
          <xdr:col>5</xdr:col>
          <xdr:colOff>438150</xdr:colOff>
          <xdr:row>158</xdr:row>
          <xdr:rowOff>733425</xdr:rowOff>
        </xdr:to>
        <xdr:sp macro="" textlink="">
          <xdr:nvSpPr>
            <xdr:cNvPr id="12219" name="Spinner 955" hidden="1">
              <a:extLst>
                <a:ext uri="{63B3BB69-23CF-44E3-9099-C40C66FF867C}">
                  <a14:compatExt spid="_x0000_s12219"/>
                </a:ext>
                <a:ext uri="{FF2B5EF4-FFF2-40B4-BE49-F238E27FC236}">
                  <a16:creationId xmlns:a16="http://schemas.microsoft.com/office/drawing/2014/main" id="{00000000-0008-0000-0700-0000B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159</xdr:row>
          <xdr:rowOff>85725</xdr:rowOff>
        </xdr:from>
        <xdr:to>
          <xdr:col>5</xdr:col>
          <xdr:colOff>438150</xdr:colOff>
          <xdr:row>159</xdr:row>
          <xdr:rowOff>733425</xdr:rowOff>
        </xdr:to>
        <xdr:sp macro="" textlink="">
          <xdr:nvSpPr>
            <xdr:cNvPr id="12220" name="Spinner 956" hidden="1">
              <a:extLst>
                <a:ext uri="{63B3BB69-23CF-44E3-9099-C40C66FF867C}">
                  <a14:compatExt spid="_x0000_s12220"/>
                </a:ext>
                <a:ext uri="{FF2B5EF4-FFF2-40B4-BE49-F238E27FC236}">
                  <a16:creationId xmlns:a16="http://schemas.microsoft.com/office/drawing/2014/main" id="{00000000-0008-0000-0700-0000B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160</xdr:row>
          <xdr:rowOff>95250</xdr:rowOff>
        </xdr:from>
        <xdr:to>
          <xdr:col>5</xdr:col>
          <xdr:colOff>438150</xdr:colOff>
          <xdr:row>160</xdr:row>
          <xdr:rowOff>714375</xdr:rowOff>
        </xdr:to>
        <xdr:sp macro="" textlink="">
          <xdr:nvSpPr>
            <xdr:cNvPr id="12221" name="Spinner 957" hidden="1">
              <a:extLst>
                <a:ext uri="{63B3BB69-23CF-44E3-9099-C40C66FF867C}">
                  <a14:compatExt spid="_x0000_s12221"/>
                </a:ext>
                <a:ext uri="{FF2B5EF4-FFF2-40B4-BE49-F238E27FC236}">
                  <a16:creationId xmlns:a16="http://schemas.microsoft.com/office/drawing/2014/main" id="{00000000-0008-0000-0700-0000B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161</xdr:row>
          <xdr:rowOff>28575</xdr:rowOff>
        </xdr:from>
        <xdr:to>
          <xdr:col>5</xdr:col>
          <xdr:colOff>438150</xdr:colOff>
          <xdr:row>161</xdr:row>
          <xdr:rowOff>695325</xdr:rowOff>
        </xdr:to>
        <xdr:sp macro="" textlink="">
          <xdr:nvSpPr>
            <xdr:cNvPr id="12222" name="Spinner 958" hidden="1">
              <a:extLst>
                <a:ext uri="{63B3BB69-23CF-44E3-9099-C40C66FF867C}">
                  <a14:compatExt spid="_x0000_s12222"/>
                </a:ext>
                <a:ext uri="{FF2B5EF4-FFF2-40B4-BE49-F238E27FC236}">
                  <a16:creationId xmlns:a16="http://schemas.microsoft.com/office/drawing/2014/main" id="{00000000-0008-0000-0700-0000B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155</xdr:row>
          <xdr:rowOff>9525</xdr:rowOff>
        </xdr:from>
        <xdr:to>
          <xdr:col>5</xdr:col>
          <xdr:colOff>419100</xdr:colOff>
          <xdr:row>155</xdr:row>
          <xdr:rowOff>695325</xdr:rowOff>
        </xdr:to>
        <xdr:sp macro="" textlink="">
          <xdr:nvSpPr>
            <xdr:cNvPr id="12223" name="Spinner 959" hidden="1">
              <a:extLst>
                <a:ext uri="{63B3BB69-23CF-44E3-9099-C40C66FF867C}">
                  <a14:compatExt spid="_x0000_s12223"/>
                </a:ext>
                <a:ext uri="{FF2B5EF4-FFF2-40B4-BE49-F238E27FC236}">
                  <a16:creationId xmlns:a16="http://schemas.microsoft.com/office/drawing/2014/main" id="{00000000-0008-0000-0700-0000B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154</xdr:row>
          <xdr:rowOff>47625</xdr:rowOff>
        </xdr:from>
        <xdr:to>
          <xdr:col>9</xdr:col>
          <xdr:colOff>447675</xdr:colOff>
          <xdr:row>154</xdr:row>
          <xdr:rowOff>695325</xdr:rowOff>
        </xdr:to>
        <xdr:sp macro="" textlink="">
          <xdr:nvSpPr>
            <xdr:cNvPr id="12224" name="Spinner 960" hidden="1">
              <a:extLst>
                <a:ext uri="{63B3BB69-23CF-44E3-9099-C40C66FF867C}">
                  <a14:compatExt spid="_x0000_s12224"/>
                </a:ext>
                <a:ext uri="{FF2B5EF4-FFF2-40B4-BE49-F238E27FC236}">
                  <a16:creationId xmlns:a16="http://schemas.microsoft.com/office/drawing/2014/main" id="{00000000-0008-0000-0700-0000C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155</xdr:row>
          <xdr:rowOff>85725</xdr:rowOff>
        </xdr:from>
        <xdr:to>
          <xdr:col>9</xdr:col>
          <xdr:colOff>466725</xdr:colOff>
          <xdr:row>155</xdr:row>
          <xdr:rowOff>723900</xdr:rowOff>
        </xdr:to>
        <xdr:sp macro="" textlink="">
          <xdr:nvSpPr>
            <xdr:cNvPr id="12225" name="Spinner 961" hidden="1">
              <a:extLst>
                <a:ext uri="{63B3BB69-23CF-44E3-9099-C40C66FF867C}">
                  <a14:compatExt spid="_x0000_s12225"/>
                </a:ext>
                <a:ext uri="{FF2B5EF4-FFF2-40B4-BE49-F238E27FC236}">
                  <a16:creationId xmlns:a16="http://schemas.microsoft.com/office/drawing/2014/main" id="{00000000-0008-0000-0700-0000C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156</xdr:row>
          <xdr:rowOff>85725</xdr:rowOff>
        </xdr:from>
        <xdr:to>
          <xdr:col>9</xdr:col>
          <xdr:colOff>476250</xdr:colOff>
          <xdr:row>156</xdr:row>
          <xdr:rowOff>714375</xdr:rowOff>
        </xdr:to>
        <xdr:sp macro="" textlink="">
          <xdr:nvSpPr>
            <xdr:cNvPr id="12226" name="Spinner 962" hidden="1">
              <a:extLst>
                <a:ext uri="{63B3BB69-23CF-44E3-9099-C40C66FF867C}">
                  <a14:compatExt spid="_x0000_s12226"/>
                </a:ext>
                <a:ext uri="{FF2B5EF4-FFF2-40B4-BE49-F238E27FC236}">
                  <a16:creationId xmlns:a16="http://schemas.microsoft.com/office/drawing/2014/main" id="{00000000-0008-0000-0700-0000C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157</xdr:row>
          <xdr:rowOff>38100</xdr:rowOff>
        </xdr:from>
        <xdr:to>
          <xdr:col>9</xdr:col>
          <xdr:colOff>466725</xdr:colOff>
          <xdr:row>157</xdr:row>
          <xdr:rowOff>666750</xdr:rowOff>
        </xdr:to>
        <xdr:sp macro="" textlink="">
          <xdr:nvSpPr>
            <xdr:cNvPr id="12227" name="Spinner 963" hidden="1">
              <a:extLst>
                <a:ext uri="{63B3BB69-23CF-44E3-9099-C40C66FF867C}">
                  <a14:compatExt spid="_x0000_s12227"/>
                </a:ext>
                <a:ext uri="{FF2B5EF4-FFF2-40B4-BE49-F238E27FC236}">
                  <a16:creationId xmlns:a16="http://schemas.microsoft.com/office/drawing/2014/main" id="{00000000-0008-0000-0700-0000C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158</xdr:row>
          <xdr:rowOff>47625</xdr:rowOff>
        </xdr:from>
        <xdr:to>
          <xdr:col>9</xdr:col>
          <xdr:colOff>457200</xdr:colOff>
          <xdr:row>158</xdr:row>
          <xdr:rowOff>695325</xdr:rowOff>
        </xdr:to>
        <xdr:sp macro="" textlink="">
          <xdr:nvSpPr>
            <xdr:cNvPr id="12228" name="Spinner 964" hidden="1">
              <a:extLst>
                <a:ext uri="{63B3BB69-23CF-44E3-9099-C40C66FF867C}">
                  <a14:compatExt spid="_x0000_s12228"/>
                </a:ext>
                <a:ext uri="{FF2B5EF4-FFF2-40B4-BE49-F238E27FC236}">
                  <a16:creationId xmlns:a16="http://schemas.microsoft.com/office/drawing/2014/main" id="{00000000-0008-0000-0700-0000C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159</xdr:row>
          <xdr:rowOff>57150</xdr:rowOff>
        </xdr:from>
        <xdr:to>
          <xdr:col>9</xdr:col>
          <xdr:colOff>466725</xdr:colOff>
          <xdr:row>159</xdr:row>
          <xdr:rowOff>704850</xdr:rowOff>
        </xdr:to>
        <xdr:sp macro="" textlink="">
          <xdr:nvSpPr>
            <xdr:cNvPr id="12229" name="Spinner 965" hidden="1">
              <a:extLst>
                <a:ext uri="{63B3BB69-23CF-44E3-9099-C40C66FF867C}">
                  <a14:compatExt spid="_x0000_s12229"/>
                </a:ext>
                <a:ext uri="{FF2B5EF4-FFF2-40B4-BE49-F238E27FC236}">
                  <a16:creationId xmlns:a16="http://schemas.microsoft.com/office/drawing/2014/main" id="{00000000-0008-0000-0700-0000C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160</xdr:row>
          <xdr:rowOff>47625</xdr:rowOff>
        </xdr:from>
        <xdr:to>
          <xdr:col>9</xdr:col>
          <xdr:colOff>476250</xdr:colOff>
          <xdr:row>160</xdr:row>
          <xdr:rowOff>676275</xdr:rowOff>
        </xdr:to>
        <xdr:sp macro="" textlink="">
          <xdr:nvSpPr>
            <xdr:cNvPr id="12230" name="Spinner 966" hidden="1">
              <a:extLst>
                <a:ext uri="{63B3BB69-23CF-44E3-9099-C40C66FF867C}">
                  <a14:compatExt spid="_x0000_s12230"/>
                </a:ext>
                <a:ext uri="{FF2B5EF4-FFF2-40B4-BE49-F238E27FC236}">
                  <a16:creationId xmlns:a16="http://schemas.microsoft.com/office/drawing/2014/main" id="{00000000-0008-0000-0700-0000C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161</xdr:row>
          <xdr:rowOff>104775</xdr:rowOff>
        </xdr:from>
        <xdr:to>
          <xdr:col>9</xdr:col>
          <xdr:colOff>447675</xdr:colOff>
          <xdr:row>161</xdr:row>
          <xdr:rowOff>723900</xdr:rowOff>
        </xdr:to>
        <xdr:sp macro="" textlink="">
          <xdr:nvSpPr>
            <xdr:cNvPr id="12231" name="Spinner 967" hidden="1">
              <a:extLst>
                <a:ext uri="{63B3BB69-23CF-44E3-9099-C40C66FF867C}">
                  <a14:compatExt spid="_x0000_s12231"/>
                </a:ext>
                <a:ext uri="{FF2B5EF4-FFF2-40B4-BE49-F238E27FC236}">
                  <a16:creationId xmlns:a16="http://schemas.microsoft.com/office/drawing/2014/main" id="{00000000-0008-0000-0700-0000C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154</xdr:row>
          <xdr:rowOff>47625</xdr:rowOff>
        </xdr:from>
        <xdr:to>
          <xdr:col>13</xdr:col>
          <xdr:colOff>447675</xdr:colOff>
          <xdr:row>154</xdr:row>
          <xdr:rowOff>695325</xdr:rowOff>
        </xdr:to>
        <xdr:sp macro="" textlink="">
          <xdr:nvSpPr>
            <xdr:cNvPr id="12232" name="Spinner 968" hidden="1">
              <a:extLst>
                <a:ext uri="{63B3BB69-23CF-44E3-9099-C40C66FF867C}">
                  <a14:compatExt spid="_x0000_s12232"/>
                </a:ext>
                <a:ext uri="{FF2B5EF4-FFF2-40B4-BE49-F238E27FC236}">
                  <a16:creationId xmlns:a16="http://schemas.microsoft.com/office/drawing/2014/main" id="{00000000-0008-0000-0700-0000C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155</xdr:row>
          <xdr:rowOff>95250</xdr:rowOff>
        </xdr:from>
        <xdr:to>
          <xdr:col>13</xdr:col>
          <xdr:colOff>466725</xdr:colOff>
          <xdr:row>155</xdr:row>
          <xdr:rowOff>733425</xdr:rowOff>
        </xdr:to>
        <xdr:sp macro="" textlink="">
          <xdr:nvSpPr>
            <xdr:cNvPr id="12233" name="Spinner 969" hidden="1">
              <a:extLst>
                <a:ext uri="{63B3BB69-23CF-44E3-9099-C40C66FF867C}">
                  <a14:compatExt spid="_x0000_s12233"/>
                </a:ext>
                <a:ext uri="{FF2B5EF4-FFF2-40B4-BE49-F238E27FC236}">
                  <a16:creationId xmlns:a16="http://schemas.microsoft.com/office/drawing/2014/main" id="{00000000-0008-0000-0700-0000C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156</xdr:row>
          <xdr:rowOff>28575</xdr:rowOff>
        </xdr:from>
        <xdr:to>
          <xdr:col>13</xdr:col>
          <xdr:colOff>476250</xdr:colOff>
          <xdr:row>156</xdr:row>
          <xdr:rowOff>676275</xdr:rowOff>
        </xdr:to>
        <xdr:sp macro="" textlink="">
          <xdr:nvSpPr>
            <xdr:cNvPr id="12234" name="Spinner 970" hidden="1">
              <a:extLst>
                <a:ext uri="{63B3BB69-23CF-44E3-9099-C40C66FF867C}">
                  <a14:compatExt spid="_x0000_s12234"/>
                </a:ext>
                <a:ext uri="{FF2B5EF4-FFF2-40B4-BE49-F238E27FC236}">
                  <a16:creationId xmlns:a16="http://schemas.microsoft.com/office/drawing/2014/main" id="{00000000-0008-0000-0700-0000C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157</xdr:row>
          <xdr:rowOff>28575</xdr:rowOff>
        </xdr:from>
        <xdr:to>
          <xdr:col>13</xdr:col>
          <xdr:colOff>476250</xdr:colOff>
          <xdr:row>157</xdr:row>
          <xdr:rowOff>666750</xdr:rowOff>
        </xdr:to>
        <xdr:sp macro="" textlink="">
          <xdr:nvSpPr>
            <xdr:cNvPr id="12235" name="Spinner 971" hidden="1">
              <a:extLst>
                <a:ext uri="{63B3BB69-23CF-44E3-9099-C40C66FF867C}">
                  <a14:compatExt spid="_x0000_s12235"/>
                </a:ext>
                <a:ext uri="{FF2B5EF4-FFF2-40B4-BE49-F238E27FC236}">
                  <a16:creationId xmlns:a16="http://schemas.microsoft.com/office/drawing/2014/main" id="{00000000-0008-0000-0700-0000C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158</xdr:row>
          <xdr:rowOff>57150</xdr:rowOff>
        </xdr:from>
        <xdr:to>
          <xdr:col>13</xdr:col>
          <xdr:colOff>485775</xdr:colOff>
          <xdr:row>158</xdr:row>
          <xdr:rowOff>685800</xdr:rowOff>
        </xdr:to>
        <xdr:sp macro="" textlink="">
          <xdr:nvSpPr>
            <xdr:cNvPr id="12236" name="Spinner 972" hidden="1">
              <a:extLst>
                <a:ext uri="{63B3BB69-23CF-44E3-9099-C40C66FF867C}">
                  <a14:compatExt spid="_x0000_s12236"/>
                </a:ext>
                <a:ext uri="{FF2B5EF4-FFF2-40B4-BE49-F238E27FC236}">
                  <a16:creationId xmlns:a16="http://schemas.microsoft.com/office/drawing/2014/main" id="{00000000-0008-0000-0700-0000C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159</xdr:row>
          <xdr:rowOff>28575</xdr:rowOff>
        </xdr:from>
        <xdr:to>
          <xdr:col>13</xdr:col>
          <xdr:colOff>485775</xdr:colOff>
          <xdr:row>159</xdr:row>
          <xdr:rowOff>657225</xdr:rowOff>
        </xdr:to>
        <xdr:sp macro="" textlink="">
          <xdr:nvSpPr>
            <xdr:cNvPr id="12237" name="Spinner 973" hidden="1">
              <a:extLst>
                <a:ext uri="{63B3BB69-23CF-44E3-9099-C40C66FF867C}">
                  <a14:compatExt spid="_x0000_s12237"/>
                </a:ext>
                <a:ext uri="{FF2B5EF4-FFF2-40B4-BE49-F238E27FC236}">
                  <a16:creationId xmlns:a16="http://schemas.microsoft.com/office/drawing/2014/main" id="{00000000-0008-0000-0700-0000C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160</xdr:row>
          <xdr:rowOff>66675</xdr:rowOff>
        </xdr:from>
        <xdr:to>
          <xdr:col>13</xdr:col>
          <xdr:colOff>485775</xdr:colOff>
          <xdr:row>160</xdr:row>
          <xdr:rowOff>676275</xdr:rowOff>
        </xdr:to>
        <xdr:sp macro="" textlink="">
          <xdr:nvSpPr>
            <xdr:cNvPr id="12238" name="Spinner 974" hidden="1">
              <a:extLst>
                <a:ext uri="{63B3BB69-23CF-44E3-9099-C40C66FF867C}">
                  <a14:compatExt spid="_x0000_s12238"/>
                </a:ext>
                <a:ext uri="{FF2B5EF4-FFF2-40B4-BE49-F238E27FC236}">
                  <a16:creationId xmlns:a16="http://schemas.microsoft.com/office/drawing/2014/main" id="{00000000-0008-0000-0700-0000C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161</xdr:row>
          <xdr:rowOff>38100</xdr:rowOff>
        </xdr:from>
        <xdr:to>
          <xdr:col>13</xdr:col>
          <xdr:colOff>466725</xdr:colOff>
          <xdr:row>161</xdr:row>
          <xdr:rowOff>657225</xdr:rowOff>
        </xdr:to>
        <xdr:sp macro="" textlink="">
          <xdr:nvSpPr>
            <xdr:cNvPr id="12239" name="Spinner 975" hidden="1">
              <a:extLst>
                <a:ext uri="{63B3BB69-23CF-44E3-9099-C40C66FF867C}">
                  <a14:compatExt spid="_x0000_s12239"/>
                </a:ext>
                <a:ext uri="{FF2B5EF4-FFF2-40B4-BE49-F238E27FC236}">
                  <a16:creationId xmlns:a16="http://schemas.microsoft.com/office/drawing/2014/main" id="{00000000-0008-0000-0700-0000C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154</xdr:row>
          <xdr:rowOff>47625</xdr:rowOff>
        </xdr:from>
        <xdr:to>
          <xdr:col>18</xdr:col>
          <xdr:colOff>857250</xdr:colOff>
          <xdr:row>154</xdr:row>
          <xdr:rowOff>704850</xdr:rowOff>
        </xdr:to>
        <xdr:sp macro="" textlink="">
          <xdr:nvSpPr>
            <xdr:cNvPr id="12240" name="Spinner 976" hidden="1">
              <a:extLst>
                <a:ext uri="{63B3BB69-23CF-44E3-9099-C40C66FF867C}">
                  <a14:compatExt spid="_x0000_s12240"/>
                </a:ext>
                <a:ext uri="{FF2B5EF4-FFF2-40B4-BE49-F238E27FC236}">
                  <a16:creationId xmlns:a16="http://schemas.microsoft.com/office/drawing/2014/main" id="{00000000-0008-0000-0700-0000D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</xdr:colOff>
          <xdr:row>155</xdr:row>
          <xdr:rowOff>57150</xdr:rowOff>
        </xdr:from>
        <xdr:to>
          <xdr:col>18</xdr:col>
          <xdr:colOff>857250</xdr:colOff>
          <xdr:row>155</xdr:row>
          <xdr:rowOff>714375</xdr:rowOff>
        </xdr:to>
        <xdr:sp macro="" textlink="">
          <xdr:nvSpPr>
            <xdr:cNvPr id="12241" name="Spinner 977" hidden="1">
              <a:extLst>
                <a:ext uri="{63B3BB69-23CF-44E3-9099-C40C66FF867C}">
                  <a14:compatExt spid="_x0000_s12241"/>
                </a:ext>
                <a:ext uri="{FF2B5EF4-FFF2-40B4-BE49-F238E27FC236}">
                  <a16:creationId xmlns:a16="http://schemas.microsoft.com/office/drawing/2014/main" id="{00000000-0008-0000-0700-0000D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156</xdr:row>
          <xdr:rowOff>9525</xdr:rowOff>
        </xdr:from>
        <xdr:to>
          <xdr:col>19</xdr:col>
          <xdr:colOff>0</xdr:colOff>
          <xdr:row>156</xdr:row>
          <xdr:rowOff>695325</xdr:rowOff>
        </xdr:to>
        <xdr:sp macro="" textlink="">
          <xdr:nvSpPr>
            <xdr:cNvPr id="12242" name="Spinner 978" hidden="1">
              <a:extLst>
                <a:ext uri="{63B3BB69-23CF-44E3-9099-C40C66FF867C}">
                  <a14:compatExt spid="_x0000_s12242"/>
                </a:ext>
                <a:ext uri="{FF2B5EF4-FFF2-40B4-BE49-F238E27FC236}">
                  <a16:creationId xmlns:a16="http://schemas.microsoft.com/office/drawing/2014/main" id="{00000000-0008-0000-0700-0000D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154</xdr:row>
          <xdr:rowOff>104775</xdr:rowOff>
        </xdr:from>
        <xdr:to>
          <xdr:col>25</xdr:col>
          <xdr:colOff>876300</xdr:colOff>
          <xdr:row>154</xdr:row>
          <xdr:rowOff>695325</xdr:rowOff>
        </xdr:to>
        <xdr:sp macro="" textlink="">
          <xdr:nvSpPr>
            <xdr:cNvPr id="12243" name="Spinner 979" hidden="1">
              <a:extLst>
                <a:ext uri="{63B3BB69-23CF-44E3-9099-C40C66FF867C}">
                  <a14:compatExt spid="_x0000_s12243"/>
                </a:ext>
                <a:ext uri="{FF2B5EF4-FFF2-40B4-BE49-F238E27FC236}">
                  <a16:creationId xmlns:a16="http://schemas.microsoft.com/office/drawing/2014/main" id="{00000000-0008-0000-0700-0000D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155</xdr:row>
          <xdr:rowOff>76200</xdr:rowOff>
        </xdr:from>
        <xdr:to>
          <xdr:col>25</xdr:col>
          <xdr:colOff>876300</xdr:colOff>
          <xdr:row>155</xdr:row>
          <xdr:rowOff>666750</xdr:rowOff>
        </xdr:to>
        <xdr:sp macro="" textlink="">
          <xdr:nvSpPr>
            <xdr:cNvPr id="12244" name="Spinner 980" hidden="1">
              <a:extLst>
                <a:ext uri="{63B3BB69-23CF-44E3-9099-C40C66FF867C}">
                  <a14:compatExt spid="_x0000_s12244"/>
                </a:ext>
                <a:ext uri="{FF2B5EF4-FFF2-40B4-BE49-F238E27FC236}">
                  <a16:creationId xmlns:a16="http://schemas.microsoft.com/office/drawing/2014/main" id="{00000000-0008-0000-0700-0000D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156</xdr:row>
          <xdr:rowOff>28575</xdr:rowOff>
        </xdr:from>
        <xdr:to>
          <xdr:col>25</xdr:col>
          <xdr:colOff>885825</xdr:colOff>
          <xdr:row>156</xdr:row>
          <xdr:rowOff>695325</xdr:rowOff>
        </xdr:to>
        <xdr:sp macro="" textlink="">
          <xdr:nvSpPr>
            <xdr:cNvPr id="12245" name="Spinner 981" hidden="1">
              <a:extLst>
                <a:ext uri="{63B3BB69-23CF-44E3-9099-C40C66FF867C}">
                  <a14:compatExt spid="_x0000_s12245"/>
                </a:ext>
                <a:ext uri="{FF2B5EF4-FFF2-40B4-BE49-F238E27FC236}">
                  <a16:creationId xmlns:a16="http://schemas.microsoft.com/office/drawing/2014/main" id="{00000000-0008-0000-0700-0000D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157</xdr:row>
          <xdr:rowOff>28575</xdr:rowOff>
        </xdr:from>
        <xdr:to>
          <xdr:col>25</xdr:col>
          <xdr:colOff>866775</xdr:colOff>
          <xdr:row>157</xdr:row>
          <xdr:rowOff>647700</xdr:rowOff>
        </xdr:to>
        <xdr:sp macro="" textlink="">
          <xdr:nvSpPr>
            <xdr:cNvPr id="12246" name="Spinner 982" hidden="1">
              <a:extLst>
                <a:ext uri="{63B3BB69-23CF-44E3-9099-C40C66FF867C}">
                  <a14:compatExt spid="_x0000_s12246"/>
                </a:ext>
                <a:ext uri="{FF2B5EF4-FFF2-40B4-BE49-F238E27FC236}">
                  <a16:creationId xmlns:a16="http://schemas.microsoft.com/office/drawing/2014/main" id="{00000000-0008-0000-0700-0000D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158</xdr:row>
          <xdr:rowOff>47625</xdr:rowOff>
        </xdr:from>
        <xdr:to>
          <xdr:col>25</xdr:col>
          <xdr:colOff>876300</xdr:colOff>
          <xdr:row>158</xdr:row>
          <xdr:rowOff>676275</xdr:rowOff>
        </xdr:to>
        <xdr:sp macro="" textlink="">
          <xdr:nvSpPr>
            <xdr:cNvPr id="12247" name="Spinner 983" hidden="1">
              <a:extLst>
                <a:ext uri="{63B3BB69-23CF-44E3-9099-C40C66FF867C}">
                  <a14:compatExt spid="_x0000_s12247"/>
                </a:ext>
                <a:ext uri="{FF2B5EF4-FFF2-40B4-BE49-F238E27FC236}">
                  <a16:creationId xmlns:a16="http://schemas.microsoft.com/office/drawing/2014/main" id="{00000000-0008-0000-0700-0000D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159</xdr:row>
          <xdr:rowOff>57150</xdr:rowOff>
        </xdr:from>
        <xdr:to>
          <xdr:col>25</xdr:col>
          <xdr:colOff>876300</xdr:colOff>
          <xdr:row>159</xdr:row>
          <xdr:rowOff>676275</xdr:rowOff>
        </xdr:to>
        <xdr:sp macro="" textlink="">
          <xdr:nvSpPr>
            <xdr:cNvPr id="12248" name="Spinner 984" hidden="1">
              <a:extLst>
                <a:ext uri="{63B3BB69-23CF-44E3-9099-C40C66FF867C}">
                  <a14:compatExt spid="_x0000_s12248"/>
                </a:ext>
                <a:ext uri="{FF2B5EF4-FFF2-40B4-BE49-F238E27FC236}">
                  <a16:creationId xmlns:a16="http://schemas.microsoft.com/office/drawing/2014/main" id="{00000000-0008-0000-0700-0000D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154</xdr:row>
          <xdr:rowOff>123825</xdr:rowOff>
        </xdr:from>
        <xdr:to>
          <xdr:col>29</xdr:col>
          <xdr:colOff>895350</xdr:colOff>
          <xdr:row>154</xdr:row>
          <xdr:rowOff>704850</xdr:rowOff>
        </xdr:to>
        <xdr:sp macro="" textlink="">
          <xdr:nvSpPr>
            <xdr:cNvPr id="12249" name="Spinner 985" hidden="1">
              <a:extLst>
                <a:ext uri="{63B3BB69-23CF-44E3-9099-C40C66FF867C}">
                  <a14:compatExt spid="_x0000_s12249"/>
                </a:ext>
                <a:ext uri="{FF2B5EF4-FFF2-40B4-BE49-F238E27FC236}">
                  <a16:creationId xmlns:a16="http://schemas.microsoft.com/office/drawing/2014/main" id="{00000000-0008-0000-0700-0000D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155</xdr:row>
          <xdr:rowOff>123825</xdr:rowOff>
        </xdr:from>
        <xdr:to>
          <xdr:col>29</xdr:col>
          <xdr:colOff>895350</xdr:colOff>
          <xdr:row>155</xdr:row>
          <xdr:rowOff>695325</xdr:rowOff>
        </xdr:to>
        <xdr:sp macro="" textlink="">
          <xdr:nvSpPr>
            <xdr:cNvPr id="12250" name="Spinner 986" hidden="1">
              <a:extLst>
                <a:ext uri="{63B3BB69-23CF-44E3-9099-C40C66FF867C}">
                  <a14:compatExt spid="_x0000_s12250"/>
                </a:ext>
                <a:ext uri="{FF2B5EF4-FFF2-40B4-BE49-F238E27FC236}">
                  <a16:creationId xmlns:a16="http://schemas.microsoft.com/office/drawing/2014/main" id="{00000000-0008-0000-0700-0000D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156</xdr:row>
          <xdr:rowOff>85725</xdr:rowOff>
        </xdr:from>
        <xdr:to>
          <xdr:col>29</xdr:col>
          <xdr:colOff>885825</xdr:colOff>
          <xdr:row>156</xdr:row>
          <xdr:rowOff>695325</xdr:rowOff>
        </xdr:to>
        <xdr:sp macro="" textlink="">
          <xdr:nvSpPr>
            <xdr:cNvPr id="12251" name="Spinner 987" hidden="1">
              <a:extLst>
                <a:ext uri="{63B3BB69-23CF-44E3-9099-C40C66FF867C}">
                  <a14:compatExt spid="_x0000_s12251"/>
                </a:ext>
                <a:ext uri="{FF2B5EF4-FFF2-40B4-BE49-F238E27FC236}">
                  <a16:creationId xmlns:a16="http://schemas.microsoft.com/office/drawing/2014/main" id="{00000000-0008-0000-0700-0000D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157</xdr:row>
          <xdr:rowOff>104775</xdr:rowOff>
        </xdr:from>
        <xdr:to>
          <xdr:col>29</xdr:col>
          <xdr:colOff>885825</xdr:colOff>
          <xdr:row>157</xdr:row>
          <xdr:rowOff>685800</xdr:rowOff>
        </xdr:to>
        <xdr:sp macro="" textlink="">
          <xdr:nvSpPr>
            <xdr:cNvPr id="12252" name="Spinner 988" hidden="1">
              <a:extLst>
                <a:ext uri="{63B3BB69-23CF-44E3-9099-C40C66FF867C}">
                  <a14:compatExt spid="_x0000_s12252"/>
                </a:ext>
                <a:ext uri="{FF2B5EF4-FFF2-40B4-BE49-F238E27FC236}">
                  <a16:creationId xmlns:a16="http://schemas.microsoft.com/office/drawing/2014/main" id="{00000000-0008-0000-0700-0000D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158</xdr:row>
          <xdr:rowOff>47625</xdr:rowOff>
        </xdr:from>
        <xdr:to>
          <xdr:col>29</xdr:col>
          <xdr:colOff>885825</xdr:colOff>
          <xdr:row>158</xdr:row>
          <xdr:rowOff>657225</xdr:rowOff>
        </xdr:to>
        <xdr:sp macro="" textlink="">
          <xdr:nvSpPr>
            <xdr:cNvPr id="12253" name="Spinner 989" hidden="1">
              <a:extLst>
                <a:ext uri="{63B3BB69-23CF-44E3-9099-C40C66FF867C}">
                  <a14:compatExt spid="_x0000_s12253"/>
                </a:ext>
                <a:ext uri="{FF2B5EF4-FFF2-40B4-BE49-F238E27FC236}">
                  <a16:creationId xmlns:a16="http://schemas.microsoft.com/office/drawing/2014/main" id="{00000000-0008-0000-0700-0000D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159</xdr:row>
          <xdr:rowOff>66675</xdr:rowOff>
        </xdr:from>
        <xdr:to>
          <xdr:col>29</xdr:col>
          <xdr:colOff>885825</xdr:colOff>
          <xdr:row>159</xdr:row>
          <xdr:rowOff>647700</xdr:rowOff>
        </xdr:to>
        <xdr:sp macro="" textlink="">
          <xdr:nvSpPr>
            <xdr:cNvPr id="12254" name="Spinner 990" hidden="1">
              <a:extLst>
                <a:ext uri="{63B3BB69-23CF-44E3-9099-C40C66FF867C}">
                  <a14:compatExt spid="_x0000_s12254"/>
                </a:ext>
                <a:ext uri="{FF2B5EF4-FFF2-40B4-BE49-F238E27FC236}">
                  <a16:creationId xmlns:a16="http://schemas.microsoft.com/office/drawing/2014/main" id="{00000000-0008-0000-0700-0000D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154</xdr:row>
          <xdr:rowOff>142875</xdr:rowOff>
        </xdr:from>
        <xdr:to>
          <xdr:col>33</xdr:col>
          <xdr:colOff>866775</xdr:colOff>
          <xdr:row>154</xdr:row>
          <xdr:rowOff>676275</xdr:rowOff>
        </xdr:to>
        <xdr:sp macro="" textlink="">
          <xdr:nvSpPr>
            <xdr:cNvPr id="12255" name="Spinner 991" hidden="1">
              <a:extLst>
                <a:ext uri="{63B3BB69-23CF-44E3-9099-C40C66FF867C}">
                  <a14:compatExt spid="_x0000_s12255"/>
                </a:ext>
                <a:ext uri="{FF2B5EF4-FFF2-40B4-BE49-F238E27FC236}">
                  <a16:creationId xmlns:a16="http://schemas.microsoft.com/office/drawing/2014/main" id="{00000000-0008-0000-0700-0000D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155</xdr:row>
          <xdr:rowOff>76200</xdr:rowOff>
        </xdr:from>
        <xdr:to>
          <xdr:col>33</xdr:col>
          <xdr:colOff>876300</xdr:colOff>
          <xdr:row>155</xdr:row>
          <xdr:rowOff>685800</xdr:rowOff>
        </xdr:to>
        <xdr:sp macro="" textlink="">
          <xdr:nvSpPr>
            <xdr:cNvPr id="12256" name="Spinner 992" hidden="1">
              <a:extLst>
                <a:ext uri="{63B3BB69-23CF-44E3-9099-C40C66FF867C}">
                  <a14:compatExt spid="_x0000_s12256"/>
                </a:ext>
                <a:ext uri="{FF2B5EF4-FFF2-40B4-BE49-F238E27FC236}">
                  <a16:creationId xmlns:a16="http://schemas.microsoft.com/office/drawing/2014/main" id="{00000000-0008-0000-0700-0000E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156</xdr:row>
          <xdr:rowOff>104775</xdr:rowOff>
        </xdr:from>
        <xdr:to>
          <xdr:col>33</xdr:col>
          <xdr:colOff>876300</xdr:colOff>
          <xdr:row>156</xdr:row>
          <xdr:rowOff>676275</xdr:rowOff>
        </xdr:to>
        <xdr:sp macro="" textlink="">
          <xdr:nvSpPr>
            <xdr:cNvPr id="12257" name="Spinner 993" hidden="1">
              <a:extLst>
                <a:ext uri="{63B3BB69-23CF-44E3-9099-C40C66FF867C}">
                  <a14:compatExt spid="_x0000_s12257"/>
                </a:ext>
                <a:ext uri="{FF2B5EF4-FFF2-40B4-BE49-F238E27FC236}">
                  <a16:creationId xmlns:a16="http://schemas.microsoft.com/office/drawing/2014/main" id="{00000000-0008-0000-0700-0000E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157</xdr:row>
          <xdr:rowOff>133350</xdr:rowOff>
        </xdr:from>
        <xdr:to>
          <xdr:col>33</xdr:col>
          <xdr:colOff>876300</xdr:colOff>
          <xdr:row>157</xdr:row>
          <xdr:rowOff>685800</xdr:rowOff>
        </xdr:to>
        <xdr:sp macro="" textlink="">
          <xdr:nvSpPr>
            <xdr:cNvPr id="12258" name="Spinner 994" hidden="1">
              <a:extLst>
                <a:ext uri="{63B3BB69-23CF-44E3-9099-C40C66FF867C}">
                  <a14:compatExt spid="_x0000_s12258"/>
                </a:ext>
                <a:ext uri="{FF2B5EF4-FFF2-40B4-BE49-F238E27FC236}">
                  <a16:creationId xmlns:a16="http://schemas.microsoft.com/office/drawing/2014/main" id="{00000000-0008-0000-0700-0000E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158</xdr:row>
          <xdr:rowOff>123825</xdr:rowOff>
        </xdr:from>
        <xdr:to>
          <xdr:col>33</xdr:col>
          <xdr:colOff>885825</xdr:colOff>
          <xdr:row>158</xdr:row>
          <xdr:rowOff>666750</xdr:rowOff>
        </xdr:to>
        <xdr:sp macro="" textlink="">
          <xdr:nvSpPr>
            <xdr:cNvPr id="12259" name="Spinner 995" hidden="1">
              <a:extLst>
                <a:ext uri="{63B3BB69-23CF-44E3-9099-C40C66FF867C}">
                  <a14:compatExt spid="_x0000_s12259"/>
                </a:ext>
                <a:ext uri="{FF2B5EF4-FFF2-40B4-BE49-F238E27FC236}">
                  <a16:creationId xmlns:a16="http://schemas.microsoft.com/office/drawing/2014/main" id="{00000000-0008-0000-0700-0000E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159</xdr:row>
          <xdr:rowOff>104775</xdr:rowOff>
        </xdr:from>
        <xdr:to>
          <xdr:col>33</xdr:col>
          <xdr:colOff>895350</xdr:colOff>
          <xdr:row>159</xdr:row>
          <xdr:rowOff>657225</xdr:rowOff>
        </xdr:to>
        <xdr:sp macro="" textlink="">
          <xdr:nvSpPr>
            <xdr:cNvPr id="12260" name="Spinner 996" hidden="1">
              <a:extLst>
                <a:ext uri="{63B3BB69-23CF-44E3-9099-C40C66FF867C}">
                  <a14:compatExt spid="_x0000_s12260"/>
                </a:ext>
                <a:ext uri="{FF2B5EF4-FFF2-40B4-BE49-F238E27FC236}">
                  <a16:creationId xmlns:a16="http://schemas.microsoft.com/office/drawing/2014/main" id="{00000000-0008-0000-0700-0000E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154</xdr:row>
          <xdr:rowOff>38100</xdr:rowOff>
        </xdr:from>
        <xdr:to>
          <xdr:col>38</xdr:col>
          <xdr:colOff>819150</xdr:colOff>
          <xdr:row>154</xdr:row>
          <xdr:rowOff>733425</xdr:rowOff>
        </xdr:to>
        <xdr:sp macro="" textlink="">
          <xdr:nvSpPr>
            <xdr:cNvPr id="12261" name="Spinner 997" hidden="1">
              <a:extLst>
                <a:ext uri="{63B3BB69-23CF-44E3-9099-C40C66FF867C}">
                  <a14:compatExt spid="_x0000_s12261"/>
                </a:ext>
                <a:ext uri="{FF2B5EF4-FFF2-40B4-BE49-F238E27FC236}">
                  <a16:creationId xmlns:a16="http://schemas.microsoft.com/office/drawing/2014/main" id="{00000000-0008-0000-0700-0000E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155</xdr:row>
          <xdr:rowOff>28575</xdr:rowOff>
        </xdr:from>
        <xdr:to>
          <xdr:col>38</xdr:col>
          <xdr:colOff>800100</xdr:colOff>
          <xdr:row>155</xdr:row>
          <xdr:rowOff>714375</xdr:rowOff>
        </xdr:to>
        <xdr:sp macro="" textlink="">
          <xdr:nvSpPr>
            <xdr:cNvPr id="12262" name="Spinner 998" hidden="1">
              <a:extLst>
                <a:ext uri="{63B3BB69-23CF-44E3-9099-C40C66FF867C}">
                  <a14:compatExt spid="_x0000_s12262"/>
                </a:ext>
                <a:ext uri="{FF2B5EF4-FFF2-40B4-BE49-F238E27FC236}">
                  <a16:creationId xmlns:a16="http://schemas.microsoft.com/office/drawing/2014/main" id="{00000000-0008-0000-0700-0000E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156</xdr:row>
          <xdr:rowOff>104775</xdr:rowOff>
        </xdr:from>
        <xdr:to>
          <xdr:col>38</xdr:col>
          <xdr:colOff>819150</xdr:colOff>
          <xdr:row>156</xdr:row>
          <xdr:rowOff>714375</xdr:rowOff>
        </xdr:to>
        <xdr:sp macro="" textlink="">
          <xdr:nvSpPr>
            <xdr:cNvPr id="12263" name="Spinner 999" hidden="1">
              <a:extLst>
                <a:ext uri="{63B3BB69-23CF-44E3-9099-C40C66FF867C}">
                  <a14:compatExt spid="_x0000_s12263"/>
                </a:ext>
                <a:ext uri="{FF2B5EF4-FFF2-40B4-BE49-F238E27FC236}">
                  <a16:creationId xmlns:a16="http://schemas.microsoft.com/office/drawing/2014/main" id="{00000000-0008-0000-0700-0000E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183</xdr:row>
          <xdr:rowOff>66675</xdr:rowOff>
        </xdr:from>
        <xdr:to>
          <xdr:col>25</xdr:col>
          <xdr:colOff>876300</xdr:colOff>
          <xdr:row>183</xdr:row>
          <xdr:rowOff>647700</xdr:rowOff>
        </xdr:to>
        <xdr:sp macro="" textlink="">
          <xdr:nvSpPr>
            <xdr:cNvPr id="12285" name="Spinner 1021" hidden="1">
              <a:extLst>
                <a:ext uri="{63B3BB69-23CF-44E3-9099-C40C66FF867C}">
                  <a14:compatExt spid="_x0000_s12285"/>
                </a:ext>
                <a:ext uri="{FF2B5EF4-FFF2-40B4-BE49-F238E27FC236}">
                  <a16:creationId xmlns:a16="http://schemas.microsoft.com/office/drawing/2014/main" id="{00000000-0008-0000-0700-0000F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184</xdr:row>
          <xdr:rowOff>38100</xdr:rowOff>
        </xdr:from>
        <xdr:to>
          <xdr:col>25</xdr:col>
          <xdr:colOff>885825</xdr:colOff>
          <xdr:row>184</xdr:row>
          <xdr:rowOff>657225</xdr:rowOff>
        </xdr:to>
        <xdr:sp macro="" textlink="">
          <xdr:nvSpPr>
            <xdr:cNvPr id="12286" name="Spinner 1022" hidden="1">
              <a:extLst>
                <a:ext uri="{63B3BB69-23CF-44E3-9099-C40C66FF867C}">
                  <a14:compatExt spid="_x0000_s12286"/>
                </a:ext>
                <a:ext uri="{FF2B5EF4-FFF2-40B4-BE49-F238E27FC236}">
                  <a16:creationId xmlns:a16="http://schemas.microsoft.com/office/drawing/2014/main" id="{00000000-0008-0000-0700-0000F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185</xdr:row>
          <xdr:rowOff>66675</xdr:rowOff>
        </xdr:from>
        <xdr:to>
          <xdr:col>25</xdr:col>
          <xdr:colOff>866775</xdr:colOff>
          <xdr:row>185</xdr:row>
          <xdr:rowOff>647700</xdr:rowOff>
        </xdr:to>
        <xdr:sp macro="" textlink="">
          <xdr:nvSpPr>
            <xdr:cNvPr id="12287" name="Spinner 1023" hidden="1">
              <a:extLst>
                <a:ext uri="{63B3BB69-23CF-44E3-9099-C40C66FF867C}">
                  <a14:compatExt spid="_x0000_s12287"/>
                </a:ext>
                <a:ext uri="{FF2B5EF4-FFF2-40B4-BE49-F238E27FC236}">
                  <a16:creationId xmlns:a16="http://schemas.microsoft.com/office/drawing/2014/main" id="{00000000-0008-0000-0700-0000F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186</xdr:row>
          <xdr:rowOff>66675</xdr:rowOff>
        </xdr:from>
        <xdr:to>
          <xdr:col>25</xdr:col>
          <xdr:colOff>895350</xdr:colOff>
          <xdr:row>186</xdr:row>
          <xdr:rowOff>571500</xdr:rowOff>
        </xdr:to>
        <xdr:sp macro="" textlink="">
          <xdr:nvSpPr>
            <xdr:cNvPr id="22528" name="Spinner 1024" hidden="1">
              <a:extLst>
                <a:ext uri="{63B3BB69-23CF-44E3-9099-C40C66FF867C}">
                  <a14:compatExt spid="_x0000_s22528"/>
                </a:ext>
                <a:ext uri="{FF2B5EF4-FFF2-40B4-BE49-F238E27FC236}">
                  <a16:creationId xmlns:a16="http://schemas.microsoft.com/office/drawing/2014/main" id="{00000000-0008-0000-0700-00000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187</xdr:row>
          <xdr:rowOff>47625</xdr:rowOff>
        </xdr:from>
        <xdr:to>
          <xdr:col>25</xdr:col>
          <xdr:colOff>895350</xdr:colOff>
          <xdr:row>187</xdr:row>
          <xdr:rowOff>581025</xdr:rowOff>
        </xdr:to>
        <xdr:sp macro="" textlink="">
          <xdr:nvSpPr>
            <xdr:cNvPr id="22529" name="Spinner 1025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188</xdr:row>
          <xdr:rowOff>57150</xdr:rowOff>
        </xdr:from>
        <xdr:to>
          <xdr:col>25</xdr:col>
          <xdr:colOff>885825</xdr:colOff>
          <xdr:row>188</xdr:row>
          <xdr:rowOff>581025</xdr:rowOff>
        </xdr:to>
        <xdr:sp macro="" textlink="">
          <xdr:nvSpPr>
            <xdr:cNvPr id="22530" name="Spinner 1026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183</xdr:row>
          <xdr:rowOff>209550</xdr:rowOff>
        </xdr:from>
        <xdr:to>
          <xdr:col>29</xdr:col>
          <xdr:colOff>895350</xdr:colOff>
          <xdr:row>183</xdr:row>
          <xdr:rowOff>647700</xdr:rowOff>
        </xdr:to>
        <xdr:sp macro="" textlink="">
          <xdr:nvSpPr>
            <xdr:cNvPr id="22531" name="Spinner 1027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7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184</xdr:row>
          <xdr:rowOff>57150</xdr:rowOff>
        </xdr:from>
        <xdr:to>
          <xdr:col>29</xdr:col>
          <xdr:colOff>895350</xdr:colOff>
          <xdr:row>184</xdr:row>
          <xdr:rowOff>514350</xdr:rowOff>
        </xdr:to>
        <xdr:sp macro="" textlink="">
          <xdr:nvSpPr>
            <xdr:cNvPr id="22532" name="Spinner 1028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7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185</xdr:row>
          <xdr:rowOff>142875</xdr:rowOff>
        </xdr:from>
        <xdr:to>
          <xdr:col>29</xdr:col>
          <xdr:colOff>885825</xdr:colOff>
          <xdr:row>185</xdr:row>
          <xdr:rowOff>590550</xdr:rowOff>
        </xdr:to>
        <xdr:sp macro="" textlink="">
          <xdr:nvSpPr>
            <xdr:cNvPr id="22533" name="Spinner 1029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7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186</xdr:row>
          <xdr:rowOff>66675</xdr:rowOff>
        </xdr:from>
        <xdr:to>
          <xdr:col>29</xdr:col>
          <xdr:colOff>885825</xdr:colOff>
          <xdr:row>186</xdr:row>
          <xdr:rowOff>514350</xdr:rowOff>
        </xdr:to>
        <xdr:sp macro="" textlink="">
          <xdr:nvSpPr>
            <xdr:cNvPr id="22534" name="Spinner 1030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7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187</xdr:row>
          <xdr:rowOff>76200</xdr:rowOff>
        </xdr:from>
        <xdr:to>
          <xdr:col>29</xdr:col>
          <xdr:colOff>885825</xdr:colOff>
          <xdr:row>187</xdr:row>
          <xdr:rowOff>523875</xdr:rowOff>
        </xdr:to>
        <xdr:sp macro="" textlink="">
          <xdr:nvSpPr>
            <xdr:cNvPr id="22535" name="Spinner 1031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7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188</xdr:row>
          <xdr:rowOff>66675</xdr:rowOff>
        </xdr:from>
        <xdr:to>
          <xdr:col>29</xdr:col>
          <xdr:colOff>895350</xdr:colOff>
          <xdr:row>188</xdr:row>
          <xdr:rowOff>504825</xdr:rowOff>
        </xdr:to>
        <xdr:sp macro="" textlink="">
          <xdr:nvSpPr>
            <xdr:cNvPr id="22536" name="Spinner 1032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7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28575</xdr:colOff>
          <xdr:row>183</xdr:row>
          <xdr:rowOff>66675</xdr:rowOff>
        </xdr:from>
        <xdr:to>
          <xdr:col>33</xdr:col>
          <xdr:colOff>847725</xdr:colOff>
          <xdr:row>183</xdr:row>
          <xdr:rowOff>685800</xdr:rowOff>
        </xdr:to>
        <xdr:sp macro="" textlink="">
          <xdr:nvSpPr>
            <xdr:cNvPr id="22537" name="Spinner 1033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7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184</xdr:row>
          <xdr:rowOff>95250</xdr:rowOff>
        </xdr:from>
        <xdr:to>
          <xdr:col>33</xdr:col>
          <xdr:colOff>895350</xdr:colOff>
          <xdr:row>184</xdr:row>
          <xdr:rowOff>533400</xdr:rowOff>
        </xdr:to>
        <xdr:sp macro="" textlink="">
          <xdr:nvSpPr>
            <xdr:cNvPr id="22538" name="Spinner 1034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7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185</xdr:row>
          <xdr:rowOff>114300</xdr:rowOff>
        </xdr:from>
        <xdr:to>
          <xdr:col>33</xdr:col>
          <xdr:colOff>876300</xdr:colOff>
          <xdr:row>185</xdr:row>
          <xdr:rowOff>561975</xdr:rowOff>
        </xdr:to>
        <xdr:sp macro="" textlink="">
          <xdr:nvSpPr>
            <xdr:cNvPr id="22539" name="Spinner 1035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7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186</xdr:row>
          <xdr:rowOff>104775</xdr:rowOff>
        </xdr:from>
        <xdr:to>
          <xdr:col>33</xdr:col>
          <xdr:colOff>904875</xdr:colOff>
          <xdr:row>186</xdr:row>
          <xdr:rowOff>542925</xdr:rowOff>
        </xdr:to>
        <xdr:sp macro="" textlink="">
          <xdr:nvSpPr>
            <xdr:cNvPr id="22540" name="Spinner 1036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7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95250</xdr:colOff>
          <xdr:row>187</xdr:row>
          <xdr:rowOff>38100</xdr:rowOff>
        </xdr:from>
        <xdr:to>
          <xdr:col>33</xdr:col>
          <xdr:colOff>914400</xdr:colOff>
          <xdr:row>187</xdr:row>
          <xdr:rowOff>600075</xdr:rowOff>
        </xdr:to>
        <xdr:sp macro="" textlink="">
          <xdr:nvSpPr>
            <xdr:cNvPr id="22541" name="Spinner 1037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7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188</xdr:row>
          <xdr:rowOff>47625</xdr:rowOff>
        </xdr:from>
        <xdr:to>
          <xdr:col>33</xdr:col>
          <xdr:colOff>904875</xdr:colOff>
          <xdr:row>188</xdr:row>
          <xdr:rowOff>600075</xdr:rowOff>
        </xdr:to>
        <xdr:sp macro="" textlink="">
          <xdr:nvSpPr>
            <xdr:cNvPr id="22542" name="Spinner 1038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7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183</xdr:row>
          <xdr:rowOff>123825</xdr:rowOff>
        </xdr:from>
        <xdr:to>
          <xdr:col>38</xdr:col>
          <xdr:colOff>800100</xdr:colOff>
          <xdr:row>183</xdr:row>
          <xdr:rowOff>733425</xdr:rowOff>
        </xdr:to>
        <xdr:sp macro="" textlink="">
          <xdr:nvSpPr>
            <xdr:cNvPr id="22543" name="Spinner 1039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7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184</xdr:row>
          <xdr:rowOff>9525</xdr:rowOff>
        </xdr:from>
        <xdr:to>
          <xdr:col>38</xdr:col>
          <xdr:colOff>790575</xdr:colOff>
          <xdr:row>184</xdr:row>
          <xdr:rowOff>638175</xdr:rowOff>
        </xdr:to>
        <xdr:sp macro="" textlink="">
          <xdr:nvSpPr>
            <xdr:cNvPr id="22544" name="Spinner 1040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7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9525</xdr:colOff>
          <xdr:row>185</xdr:row>
          <xdr:rowOff>9525</xdr:rowOff>
        </xdr:from>
        <xdr:to>
          <xdr:col>38</xdr:col>
          <xdr:colOff>809625</xdr:colOff>
          <xdr:row>185</xdr:row>
          <xdr:rowOff>619125</xdr:rowOff>
        </xdr:to>
        <xdr:sp macro="" textlink="">
          <xdr:nvSpPr>
            <xdr:cNvPr id="22545" name="Spinner 1041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7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220</xdr:row>
          <xdr:rowOff>19050</xdr:rowOff>
        </xdr:from>
        <xdr:to>
          <xdr:col>5</xdr:col>
          <xdr:colOff>428625</xdr:colOff>
          <xdr:row>220</xdr:row>
          <xdr:rowOff>771525</xdr:rowOff>
        </xdr:to>
        <xdr:sp macro="" textlink="">
          <xdr:nvSpPr>
            <xdr:cNvPr id="22546" name="Spinner 1042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7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219</xdr:row>
          <xdr:rowOff>19050</xdr:rowOff>
        </xdr:from>
        <xdr:to>
          <xdr:col>5</xdr:col>
          <xdr:colOff>419100</xdr:colOff>
          <xdr:row>219</xdr:row>
          <xdr:rowOff>752475</xdr:rowOff>
        </xdr:to>
        <xdr:sp macro="" textlink="">
          <xdr:nvSpPr>
            <xdr:cNvPr id="22547" name="Spinner 1043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7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218</xdr:row>
          <xdr:rowOff>19050</xdr:rowOff>
        </xdr:from>
        <xdr:to>
          <xdr:col>5</xdr:col>
          <xdr:colOff>428625</xdr:colOff>
          <xdr:row>218</xdr:row>
          <xdr:rowOff>762000</xdr:rowOff>
        </xdr:to>
        <xdr:sp macro="" textlink="">
          <xdr:nvSpPr>
            <xdr:cNvPr id="22548" name="Spinner 1044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7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217</xdr:row>
          <xdr:rowOff>19050</xdr:rowOff>
        </xdr:from>
        <xdr:to>
          <xdr:col>5</xdr:col>
          <xdr:colOff>428625</xdr:colOff>
          <xdr:row>217</xdr:row>
          <xdr:rowOff>762000</xdr:rowOff>
        </xdr:to>
        <xdr:sp macro="" textlink="">
          <xdr:nvSpPr>
            <xdr:cNvPr id="22549" name="Spinner 1045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7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216</xdr:row>
          <xdr:rowOff>19050</xdr:rowOff>
        </xdr:from>
        <xdr:to>
          <xdr:col>5</xdr:col>
          <xdr:colOff>428625</xdr:colOff>
          <xdr:row>216</xdr:row>
          <xdr:rowOff>752475</xdr:rowOff>
        </xdr:to>
        <xdr:sp macro="" textlink="">
          <xdr:nvSpPr>
            <xdr:cNvPr id="22550" name="Spinner 1046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7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215</xdr:row>
          <xdr:rowOff>19050</xdr:rowOff>
        </xdr:from>
        <xdr:to>
          <xdr:col>5</xdr:col>
          <xdr:colOff>419100</xdr:colOff>
          <xdr:row>215</xdr:row>
          <xdr:rowOff>781050</xdr:rowOff>
        </xdr:to>
        <xdr:sp macro="" textlink="">
          <xdr:nvSpPr>
            <xdr:cNvPr id="22551" name="Spinner 1047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7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214</xdr:row>
          <xdr:rowOff>19050</xdr:rowOff>
        </xdr:from>
        <xdr:to>
          <xdr:col>5</xdr:col>
          <xdr:colOff>428625</xdr:colOff>
          <xdr:row>214</xdr:row>
          <xdr:rowOff>742950</xdr:rowOff>
        </xdr:to>
        <xdr:sp macro="" textlink="">
          <xdr:nvSpPr>
            <xdr:cNvPr id="22552" name="Spinner 1048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7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213</xdr:row>
          <xdr:rowOff>19050</xdr:rowOff>
        </xdr:from>
        <xdr:to>
          <xdr:col>5</xdr:col>
          <xdr:colOff>438150</xdr:colOff>
          <xdr:row>213</xdr:row>
          <xdr:rowOff>742950</xdr:rowOff>
        </xdr:to>
        <xdr:sp macro="" textlink="">
          <xdr:nvSpPr>
            <xdr:cNvPr id="22553" name="Spinner 1049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7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220</xdr:row>
          <xdr:rowOff>19050</xdr:rowOff>
        </xdr:from>
        <xdr:to>
          <xdr:col>9</xdr:col>
          <xdr:colOff>428625</xdr:colOff>
          <xdr:row>220</xdr:row>
          <xdr:rowOff>762000</xdr:rowOff>
        </xdr:to>
        <xdr:sp macro="" textlink="">
          <xdr:nvSpPr>
            <xdr:cNvPr id="22554" name="Spinner 1050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7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219</xdr:row>
          <xdr:rowOff>19050</xdr:rowOff>
        </xdr:from>
        <xdr:to>
          <xdr:col>9</xdr:col>
          <xdr:colOff>428625</xdr:colOff>
          <xdr:row>219</xdr:row>
          <xdr:rowOff>752475</xdr:rowOff>
        </xdr:to>
        <xdr:sp macro="" textlink="">
          <xdr:nvSpPr>
            <xdr:cNvPr id="22555" name="Spinner 1051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7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218</xdr:row>
          <xdr:rowOff>19050</xdr:rowOff>
        </xdr:from>
        <xdr:to>
          <xdr:col>9</xdr:col>
          <xdr:colOff>438150</xdr:colOff>
          <xdr:row>218</xdr:row>
          <xdr:rowOff>762000</xdr:rowOff>
        </xdr:to>
        <xdr:sp macro="" textlink="">
          <xdr:nvSpPr>
            <xdr:cNvPr id="22556" name="Spinner 1052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7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217</xdr:row>
          <xdr:rowOff>19050</xdr:rowOff>
        </xdr:from>
        <xdr:to>
          <xdr:col>9</xdr:col>
          <xdr:colOff>438150</xdr:colOff>
          <xdr:row>217</xdr:row>
          <xdr:rowOff>762000</xdr:rowOff>
        </xdr:to>
        <xdr:sp macro="" textlink="">
          <xdr:nvSpPr>
            <xdr:cNvPr id="22557" name="Spinner 1053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7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216</xdr:row>
          <xdr:rowOff>19050</xdr:rowOff>
        </xdr:from>
        <xdr:to>
          <xdr:col>9</xdr:col>
          <xdr:colOff>438150</xdr:colOff>
          <xdr:row>216</xdr:row>
          <xdr:rowOff>752475</xdr:rowOff>
        </xdr:to>
        <xdr:sp macro="" textlink="">
          <xdr:nvSpPr>
            <xdr:cNvPr id="22558" name="Spinner 1054" hidden="1">
              <a:extLst>
                <a:ext uri="{63B3BB69-23CF-44E3-9099-C40C66FF867C}">
                  <a14:compatExt spid="_x0000_s22558"/>
                </a:ext>
                <a:ext uri="{FF2B5EF4-FFF2-40B4-BE49-F238E27FC236}">
                  <a16:creationId xmlns:a16="http://schemas.microsoft.com/office/drawing/2014/main" id="{00000000-0008-0000-0700-00001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215</xdr:row>
          <xdr:rowOff>19050</xdr:rowOff>
        </xdr:from>
        <xdr:to>
          <xdr:col>9</xdr:col>
          <xdr:colOff>428625</xdr:colOff>
          <xdr:row>215</xdr:row>
          <xdr:rowOff>781050</xdr:rowOff>
        </xdr:to>
        <xdr:sp macro="" textlink="">
          <xdr:nvSpPr>
            <xdr:cNvPr id="22559" name="Spinner 1055" hidden="1">
              <a:extLst>
                <a:ext uri="{63B3BB69-23CF-44E3-9099-C40C66FF867C}">
                  <a14:compatExt spid="_x0000_s22559"/>
                </a:ext>
                <a:ext uri="{FF2B5EF4-FFF2-40B4-BE49-F238E27FC236}">
                  <a16:creationId xmlns:a16="http://schemas.microsoft.com/office/drawing/2014/main" id="{00000000-0008-0000-0700-00001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214</xdr:row>
          <xdr:rowOff>19050</xdr:rowOff>
        </xdr:from>
        <xdr:to>
          <xdr:col>9</xdr:col>
          <xdr:colOff>438150</xdr:colOff>
          <xdr:row>214</xdr:row>
          <xdr:rowOff>742950</xdr:rowOff>
        </xdr:to>
        <xdr:sp macro="" textlink="">
          <xdr:nvSpPr>
            <xdr:cNvPr id="22560" name="Spinner 1056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7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213</xdr:row>
          <xdr:rowOff>19050</xdr:rowOff>
        </xdr:from>
        <xdr:to>
          <xdr:col>9</xdr:col>
          <xdr:colOff>447675</xdr:colOff>
          <xdr:row>213</xdr:row>
          <xdr:rowOff>742950</xdr:rowOff>
        </xdr:to>
        <xdr:sp macro="" textlink="">
          <xdr:nvSpPr>
            <xdr:cNvPr id="22561" name="Spinner 1057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7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219</xdr:row>
          <xdr:rowOff>19050</xdr:rowOff>
        </xdr:from>
        <xdr:to>
          <xdr:col>13</xdr:col>
          <xdr:colOff>428625</xdr:colOff>
          <xdr:row>219</xdr:row>
          <xdr:rowOff>752475</xdr:rowOff>
        </xdr:to>
        <xdr:sp macro="" textlink="">
          <xdr:nvSpPr>
            <xdr:cNvPr id="22563" name="Spinner 1059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7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218</xdr:row>
          <xdr:rowOff>19050</xdr:rowOff>
        </xdr:from>
        <xdr:to>
          <xdr:col>13</xdr:col>
          <xdr:colOff>438150</xdr:colOff>
          <xdr:row>218</xdr:row>
          <xdr:rowOff>762000</xdr:rowOff>
        </xdr:to>
        <xdr:sp macro="" textlink="">
          <xdr:nvSpPr>
            <xdr:cNvPr id="22564" name="Spinner 1060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7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217</xdr:row>
          <xdr:rowOff>19050</xdr:rowOff>
        </xdr:from>
        <xdr:to>
          <xdr:col>13</xdr:col>
          <xdr:colOff>438150</xdr:colOff>
          <xdr:row>217</xdr:row>
          <xdr:rowOff>762000</xdr:rowOff>
        </xdr:to>
        <xdr:sp macro="" textlink="">
          <xdr:nvSpPr>
            <xdr:cNvPr id="22565" name="Spinner 1061" hidden="1">
              <a:extLst>
                <a:ext uri="{63B3BB69-23CF-44E3-9099-C40C66FF867C}">
                  <a14:compatExt spid="_x0000_s22565"/>
                </a:ext>
                <a:ext uri="{FF2B5EF4-FFF2-40B4-BE49-F238E27FC236}">
                  <a16:creationId xmlns:a16="http://schemas.microsoft.com/office/drawing/2014/main" id="{00000000-0008-0000-0700-00002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216</xdr:row>
          <xdr:rowOff>19050</xdr:rowOff>
        </xdr:from>
        <xdr:to>
          <xdr:col>13</xdr:col>
          <xdr:colOff>438150</xdr:colOff>
          <xdr:row>216</xdr:row>
          <xdr:rowOff>752475</xdr:rowOff>
        </xdr:to>
        <xdr:sp macro="" textlink="">
          <xdr:nvSpPr>
            <xdr:cNvPr id="22566" name="Spinner 1062" hidden="1">
              <a:extLst>
                <a:ext uri="{63B3BB69-23CF-44E3-9099-C40C66FF867C}">
                  <a14:compatExt spid="_x0000_s22566"/>
                </a:ext>
                <a:ext uri="{FF2B5EF4-FFF2-40B4-BE49-F238E27FC236}">
                  <a16:creationId xmlns:a16="http://schemas.microsoft.com/office/drawing/2014/main" id="{00000000-0008-0000-0700-00002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215</xdr:row>
          <xdr:rowOff>19050</xdr:rowOff>
        </xdr:from>
        <xdr:to>
          <xdr:col>13</xdr:col>
          <xdr:colOff>428625</xdr:colOff>
          <xdr:row>215</xdr:row>
          <xdr:rowOff>781050</xdr:rowOff>
        </xdr:to>
        <xdr:sp macro="" textlink="">
          <xdr:nvSpPr>
            <xdr:cNvPr id="22567" name="Spinner 1063" hidden="1">
              <a:extLst>
                <a:ext uri="{63B3BB69-23CF-44E3-9099-C40C66FF867C}">
                  <a14:compatExt spid="_x0000_s22567"/>
                </a:ext>
                <a:ext uri="{FF2B5EF4-FFF2-40B4-BE49-F238E27FC236}">
                  <a16:creationId xmlns:a16="http://schemas.microsoft.com/office/drawing/2014/main" id="{00000000-0008-0000-0700-00002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214</xdr:row>
          <xdr:rowOff>19050</xdr:rowOff>
        </xdr:from>
        <xdr:to>
          <xdr:col>13</xdr:col>
          <xdr:colOff>438150</xdr:colOff>
          <xdr:row>214</xdr:row>
          <xdr:rowOff>742950</xdr:rowOff>
        </xdr:to>
        <xdr:sp macro="" textlink="">
          <xdr:nvSpPr>
            <xdr:cNvPr id="22568" name="Spinner 1064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7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213</xdr:row>
          <xdr:rowOff>19050</xdr:rowOff>
        </xdr:from>
        <xdr:to>
          <xdr:col>13</xdr:col>
          <xdr:colOff>447675</xdr:colOff>
          <xdr:row>213</xdr:row>
          <xdr:rowOff>742950</xdr:rowOff>
        </xdr:to>
        <xdr:sp macro="" textlink="">
          <xdr:nvSpPr>
            <xdr:cNvPr id="22569" name="Spinner 1065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7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213</xdr:row>
          <xdr:rowOff>28575</xdr:rowOff>
        </xdr:from>
        <xdr:to>
          <xdr:col>18</xdr:col>
          <xdr:colOff>876300</xdr:colOff>
          <xdr:row>214</xdr:row>
          <xdr:rowOff>0</xdr:rowOff>
        </xdr:to>
        <xdr:sp macro="" textlink="">
          <xdr:nvSpPr>
            <xdr:cNvPr id="22570" name="Spinner 1066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7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214</xdr:row>
          <xdr:rowOff>19050</xdr:rowOff>
        </xdr:from>
        <xdr:to>
          <xdr:col>18</xdr:col>
          <xdr:colOff>866775</xdr:colOff>
          <xdr:row>215</xdr:row>
          <xdr:rowOff>0</xdr:rowOff>
        </xdr:to>
        <xdr:sp macro="" textlink="">
          <xdr:nvSpPr>
            <xdr:cNvPr id="22571" name="Spinner 1067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7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215</xdr:row>
          <xdr:rowOff>38100</xdr:rowOff>
        </xdr:from>
        <xdr:to>
          <xdr:col>18</xdr:col>
          <xdr:colOff>876300</xdr:colOff>
          <xdr:row>216</xdr:row>
          <xdr:rowOff>0</xdr:rowOff>
        </xdr:to>
        <xdr:sp macro="" textlink="">
          <xdr:nvSpPr>
            <xdr:cNvPr id="22572" name="Spinner 1068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7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219</xdr:row>
          <xdr:rowOff>28575</xdr:rowOff>
        </xdr:from>
        <xdr:to>
          <xdr:col>19</xdr:col>
          <xdr:colOff>0</xdr:colOff>
          <xdr:row>220</xdr:row>
          <xdr:rowOff>0</xdr:rowOff>
        </xdr:to>
        <xdr:sp macro="" textlink="">
          <xdr:nvSpPr>
            <xdr:cNvPr id="22573" name="Spinner 1069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7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213</xdr:row>
          <xdr:rowOff>47625</xdr:rowOff>
        </xdr:from>
        <xdr:to>
          <xdr:col>25</xdr:col>
          <xdr:colOff>876300</xdr:colOff>
          <xdr:row>213</xdr:row>
          <xdr:rowOff>628650</xdr:rowOff>
        </xdr:to>
        <xdr:sp macro="" textlink="">
          <xdr:nvSpPr>
            <xdr:cNvPr id="22574" name="Spinner 1070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7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214</xdr:row>
          <xdr:rowOff>19050</xdr:rowOff>
        </xdr:from>
        <xdr:to>
          <xdr:col>25</xdr:col>
          <xdr:colOff>866775</xdr:colOff>
          <xdr:row>214</xdr:row>
          <xdr:rowOff>638175</xdr:rowOff>
        </xdr:to>
        <xdr:sp macro="" textlink="">
          <xdr:nvSpPr>
            <xdr:cNvPr id="22575" name="Spinner 1071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7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215</xdr:row>
          <xdr:rowOff>38100</xdr:rowOff>
        </xdr:from>
        <xdr:to>
          <xdr:col>25</xdr:col>
          <xdr:colOff>876300</xdr:colOff>
          <xdr:row>215</xdr:row>
          <xdr:rowOff>619125</xdr:rowOff>
        </xdr:to>
        <xdr:sp macro="" textlink="">
          <xdr:nvSpPr>
            <xdr:cNvPr id="22576" name="Spinner 1072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7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216</xdr:row>
          <xdr:rowOff>57150</xdr:rowOff>
        </xdr:from>
        <xdr:to>
          <xdr:col>25</xdr:col>
          <xdr:colOff>885825</xdr:colOff>
          <xdr:row>216</xdr:row>
          <xdr:rowOff>561975</xdr:rowOff>
        </xdr:to>
        <xdr:sp macro="" textlink="">
          <xdr:nvSpPr>
            <xdr:cNvPr id="22577" name="Spinner 1073" hidden="1">
              <a:extLst>
                <a:ext uri="{63B3BB69-23CF-44E3-9099-C40C66FF867C}">
                  <a14:compatExt spid="_x0000_s22577"/>
                </a:ext>
                <a:ext uri="{FF2B5EF4-FFF2-40B4-BE49-F238E27FC236}">
                  <a16:creationId xmlns:a16="http://schemas.microsoft.com/office/drawing/2014/main" id="{00000000-0008-0000-0700-00003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217</xdr:row>
          <xdr:rowOff>47625</xdr:rowOff>
        </xdr:from>
        <xdr:to>
          <xdr:col>25</xdr:col>
          <xdr:colOff>885825</xdr:colOff>
          <xdr:row>217</xdr:row>
          <xdr:rowOff>571500</xdr:rowOff>
        </xdr:to>
        <xdr:sp macro="" textlink="">
          <xdr:nvSpPr>
            <xdr:cNvPr id="22578" name="Spinner 1074" hidden="1">
              <a:extLst>
                <a:ext uri="{63B3BB69-23CF-44E3-9099-C40C66FF867C}">
                  <a14:compatExt spid="_x0000_s22578"/>
                </a:ext>
                <a:ext uri="{FF2B5EF4-FFF2-40B4-BE49-F238E27FC236}">
                  <a16:creationId xmlns:a16="http://schemas.microsoft.com/office/drawing/2014/main" id="{00000000-0008-0000-0700-00003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218</xdr:row>
          <xdr:rowOff>47625</xdr:rowOff>
        </xdr:from>
        <xdr:to>
          <xdr:col>25</xdr:col>
          <xdr:colOff>885825</xdr:colOff>
          <xdr:row>218</xdr:row>
          <xdr:rowOff>723900</xdr:rowOff>
        </xdr:to>
        <xdr:sp macro="" textlink="">
          <xdr:nvSpPr>
            <xdr:cNvPr id="22579" name="Spinner 1075" hidden="1">
              <a:extLst>
                <a:ext uri="{63B3BB69-23CF-44E3-9099-C40C66FF867C}">
                  <a14:compatExt spid="_x0000_s22579"/>
                </a:ext>
                <a:ext uri="{FF2B5EF4-FFF2-40B4-BE49-F238E27FC236}">
                  <a16:creationId xmlns:a16="http://schemas.microsoft.com/office/drawing/2014/main" id="{00000000-0008-0000-0700-00003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213</xdr:row>
          <xdr:rowOff>95250</xdr:rowOff>
        </xdr:from>
        <xdr:to>
          <xdr:col>29</xdr:col>
          <xdr:colOff>895350</xdr:colOff>
          <xdr:row>213</xdr:row>
          <xdr:rowOff>752475</xdr:rowOff>
        </xdr:to>
        <xdr:sp macro="" textlink="">
          <xdr:nvSpPr>
            <xdr:cNvPr id="22580" name="Spinner 1076" hidden="1">
              <a:extLst>
                <a:ext uri="{63B3BB69-23CF-44E3-9099-C40C66FF867C}">
                  <a14:compatExt spid="_x0000_s22580"/>
                </a:ext>
                <a:ext uri="{FF2B5EF4-FFF2-40B4-BE49-F238E27FC236}">
                  <a16:creationId xmlns:a16="http://schemas.microsoft.com/office/drawing/2014/main" id="{00000000-0008-0000-0700-00003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214</xdr:row>
          <xdr:rowOff>95250</xdr:rowOff>
        </xdr:from>
        <xdr:to>
          <xdr:col>29</xdr:col>
          <xdr:colOff>895350</xdr:colOff>
          <xdr:row>214</xdr:row>
          <xdr:rowOff>762000</xdr:rowOff>
        </xdr:to>
        <xdr:sp macro="" textlink="">
          <xdr:nvSpPr>
            <xdr:cNvPr id="22581" name="Spinner 1077" hidden="1">
              <a:extLst>
                <a:ext uri="{63B3BB69-23CF-44E3-9099-C40C66FF867C}">
                  <a14:compatExt spid="_x0000_s22581"/>
                </a:ext>
                <a:ext uri="{FF2B5EF4-FFF2-40B4-BE49-F238E27FC236}">
                  <a16:creationId xmlns:a16="http://schemas.microsoft.com/office/drawing/2014/main" id="{00000000-0008-0000-0700-00003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215</xdr:row>
          <xdr:rowOff>104775</xdr:rowOff>
        </xdr:from>
        <xdr:to>
          <xdr:col>29</xdr:col>
          <xdr:colOff>885825</xdr:colOff>
          <xdr:row>215</xdr:row>
          <xdr:rowOff>752475</xdr:rowOff>
        </xdr:to>
        <xdr:sp macro="" textlink="">
          <xdr:nvSpPr>
            <xdr:cNvPr id="22582" name="Spinner 1078" hidden="1">
              <a:extLst>
                <a:ext uri="{63B3BB69-23CF-44E3-9099-C40C66FF867C}">
                  <a14:compatExt spid="_x0000_s22582"/>
                </a:ext>
                <a:ext uri="{FF2B5EF4-FFF2-40B4-BE49-F238E27FC236}">
                  <a16:creationId xmlns:a16="http://schemas.microsoft.com/office/drawing/2014/main" id="{00000000-0008-0000-0700-00003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216</xdr:row>
          <xdr:rowOff>66675</xdr:rowOff>
        </xdr:from>
        <xdr:to>
          <xdr:col>29</xdr:col>
          <xdr:colOff>876300</xdr:colOff>
          <xdr:row>216</xdr:row>
          <xdr:rowOff>733425</xdr:rowOff>
        </xdr:to>
        <xdr:sp macro="" textlink="">
          <xdr:nvSpPr>
            <xdr:cNvPr id="22583" name="Spinner 1079" hidden="1">
              <a:extLst>
                <a:ext uri="{63B3BB69-23CF-44E3-9099-C40C66FF867C}">
                  <a14:compatExt spid="_x0000_s22583"/>
                </a:ext>
                <a:ext uri="{FF2B5EF4-FFF2-40B4-BE49-F238E27FC236}">
                  <a16:creationId xmlns:a16="http://schemas.microsoft.com/office/drawing/2014/main" id="{00000000-0008-0000-0700-00003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217</xdr:row>
          <xdr:rowOff>66675</xdr:rowOff>
        </xdr:from>
        <xdr:to>
          <xdr:col>29</xdr:col>
          <xdr:colOff>876300</xdr:colOff>
          <xdr:row>217</xdr:row>
          <xdr:rowOff>752475</xdr:rowOff>
        </xdr:to>
        <xdr:sp macro="" textlink="">
          <xdr:nvSpPr>
            <xdr:cNvPr id="22584" name="Spinner 1080" hidden="1">
              <a:extLst>
                <a:ext uri="{63B3BB69-23CF-44E3-9099-C40C66FF867C}">
                  <a14:compatExt spid="_x0000_s22584"/>
                </a:ext>
                <a:ext uri="{FF2B5EF4-FFF2-40B4-BE49-F238E27FC236}">
                  <a16:creationId xmlns:a16="http://schemas.microsoft.com/office/drawing/2014/main" id="{00000000-0008-0000-0700-00003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218</xdr:row>
          <xdr:rowOff>47625</xdr:rowOff>
        </xdr:from>
        <xdr:to>
          <xdr:col>29</xdr:col>
          <xdr:colOff>885825</xdr:colOff>
          <xdr:row>218</xdr:row>
          <xdr:rowOff>714375</xdr:rowOff>
        </xdr:to>
        <xdr:sp macro="" textlink="">
          <xdr:nvSpPr>
            <xdr:cNvPr id="22585" name="Spinner 1081" hidden="1">
              <a:extLst>
                <a:ext uri="{63B3BB69-23CF-44E3-9099-C40C66FF867C}">
                  <a14:compatExt spid="_x0000_s22585"/>
                </a:ext>
                <a:ext uri="{FF2B5EF4-FFF2-40B4-BE49-F238E27FC236}">
                  <a16:creationId xmlns:a16="http://schemas.microsoft.com/office/drawing/2014/main" id="{00000000-0008-0000-0700-00003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213</xdr:row>
          <xdr:rowOff>104775</xdr:rowOff>
        </xdr:from>
        <xdr:to>
          <xdr:col>33</xdr:col>
          <xdr:colOff>895350</xdr:colOff>
          <xdr:row>213</xdr:row>
          <xdr:rowOff>647700</xdr:rowOff>
        </xdr:to>
        <xdr:sp macro="" textlink="">
          <xdr:nvSpPr>
            <xdr:cNvPr id="22586" name="Spinner 1082" hidden="1">
              <a:extLst>
                <a:ext uri="{63B3BB69-23CF-44E3-9099-C40C66FF867C}">
                  <a14:compatExt spid="_x0000_s22586"/>
                </a:ext>
                <a:ext uri="{FF2B5EF4-FFF2-40B4-BE49-F238E27FC236}">
                  <a16:creationId xmlns:a16="http://schemas.microsoft.com/office/drawing/2014/main" id="{00000000-0008-0000-0700-00003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214</xdr:row>
          <xdr:rowOff>57150</xdr:rowOff>
        </xdr:from>
        <xdr:to>
          <xdr:col>33</xdr:col>
          <xdr:colOff>885825</xdr:colOff>
          <xdr:row>214</xdr:row>
          <xdr:rowOff>733425</xdr:rowOff>
        </xdr:to>
        <xdr:sp macro="" textlink="">
          <xdr:nvSpPr>
            <xdr:cNvPr id="22587" name="Spinner 1083" hidden="1">
              <a:extLst>
                <a:ext uri="{63B3BB69-23CF-44E3-9099-C40C66FF867C}">
                  <a14:compatExt spid="_x0000_s22587"/>
                </a:ext>
                <a:ext uri="{FF2B5EF4-FFF2-40B4-BE49-F238E27FC236}">
                  <a16:creationId xmlns:a16="http://schemas.microsoft.com/office/drawing/2014/main" id="{00000000-0008-0000-0700-00003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215</xdr:row>
          <xdr:rowOff>66675</xdr:rowOff>
        </xdr:from>
        <xdr:to>
          <xdr:col>33</xdr:col>
          <xdr:colOff>876300</xdr:colOff>
          <xdr:row>215</xdr:row>
          <xdr:rowOff>714375</xdr:rowOff>
        </xdr:to>
        <xdr:sp macro="" textlink="">
          <xdr:nvSpPr>
            <xdr:cNvPr id="22588" name="Spinner 1084" hidden="1">
              <a:extLst>
                <a:ext uri="{63B3BB69-23CF-44E3-9099-C40C66FF867C}">
                  <a14:compatExt spid="_x0000_s22588"/>
                </a:ext>
                <a:ext uri="{FF2B5EF4-FFF2-40B4-BE49-F238E27FC236}">
                  <a16:creationId xmlns:a16="http://schemas.microsoft.com/office/drawing/2014/main" id="{00000000-0008-0000-0700-00003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216</xdr:row>
          <xdr:rowOff>85725</xdr:rowOff>
        </xdr:from>
        <xdr:to>
          <xdr:col>33</xdr:col>
          <xdr:colOff>895350</xdr:colOff>
          <xdr:row>216</xdr:row>
          <xdr:rowOff>704850</xdr:rowOff>
        </xdr:to>
        <xdr:sp macro="" textlink="">
          <xdr:nvSpPr>
            <xdr:cNvPr id="22589" name="Spinner 1085" hidden="1">
              <a:extLst>
                <a:ext uri="{63B3BB69-23CF-44E3-9099-C40C66FF867C}">
                  <a14:compatExt spid="_x0000_s22589"/>
                </a:ext>
                <a:ext uri="{FF2B5EF4-FFF2-40B4-BE49-F238E27FC236}">
                  <a16:creationId xmlns:a16="http://schemas.microsoft.com/office/drawing/2014/main" id="{00000000-0008-0000-0700-00003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217</xdr:row>
          <xdr:rowOff>38100</xdr:rowOff>
        </xdr:from>
        <xdr:to>
          <xdr:col>33</xdr:col>
          <xdr:colOff>904875</xdr:colOff>
          <xdr:row>217</xdr:row>
          <xdr:rowOff>771525</xdr:rowOff>
        </xdr:to>
        <xdr:sp macro="" textlink="">
          <xdr:nvSpPr>
            <xdr:cNvPr id="22590" name="Spinner 1086" hidden="1">
              <a:extLst>
                <a:ext uri="{63B3BB69-23CF-44E3-9099-C40C66FF867C}">
                  <a14:compatExt spid="_x0000_s22590"/>
                </a:ext>
                <a:ext uri="{FF2B5EF4-FFF2-40B4-BE49-F238E27FC236}">
                  <a16:creationId xmlns:a16="http://schemas.microsoft.com/office/drawing/2014/main" id="{00000000-0008-0000-0700-00003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218</xdr:row>
          <xdr:rowOff>38100</xdr:rowOff>
        </xdr:from>
        <xdr:to>
          <xdr:col>33</xdr:col>
          <xdr:colOff>885825</xdr:colOff>
          <xdr:row>218</xdr:row>
          <xdr:rowOff>733425</xdr:rowOff>
        </xdr:to>
        <xdr:sp macro="" textlink="">
          <xdr:nvSpPr>
            <xdr:cNvPr id="22591" name="Spinner 1087" hidden="1">
              <a:extLst>
                <a:ext uri="{63B3BB69-23CF-44E3-9099-C40C66FF867C}">
                  <a14:compatExt spid="_x0000_s22591"/>
                </a:ext>
                <a:ext uri="{FF2B5EF4-FFF2-40B4-BE49-F238E27FC236}">
                  <a16:creationId xmlns:a16="http://schemas.microsoft.com/office/drawing/2014/main" id="{00000000-0008-0000-0700-00003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213</xdr:row>
          <xdr:rowOff>28575</xdr:rowOff>
        </xdr:from>
        <xdr:to>
          <xdr:col>38</xdr:col>
          <xdr:colOff>809625</xdr:colOff>
          <xdr:row>213</xdr:row>
          <xdr:rowOff>638175</xdr:rowOff>
        </xdr:to>
        <xdr:sp macro="" textlink="">
          <xdr:nvSpPr>
            <xdr:cNvPr id="22592" name="Spinner 1088" hidden="1">
              <a:extLst>
                <a:ext uri="{63B3BB69-23CF-44E3-9099-C40C66FF867C}">
                  <a14:compatExt spid="_x0000_s22592"/>
                </a:ext>
                <a:ext uri="{FF2B5EF4-FFF2-40B4-BE49-F238E27FC236}">
                  <a16:creationId xmlns:a16="http://schemas.microsoft.com/office/drawing/2014/main" id="{00000000-0008-0000-0700-00004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214</xdr:row>
          <xdr:rowOff>28575</xdr:rowOff>
        </xdr:from>
        <xdr:to>
          <xdr:col>38</xdr:col>
          <xdr:colOff>800100</xdr:colOff>
          <xdr:row>214</xdr:row>
          <xdr:rowOff>638175</xdr:rowOff>
        </xdr:to>
        <xdr:sp macro="" textlink="">
          <xdr:nvSpPr>
            <xdr:cNvPr id="22593" name="Spinner 1089" hidden="1">
              <a:extLst>
                <a:ext uri="{63B3BB69-23CF-44E3-9099-C40C66FF867C}">
                  <a14:compatExt spid="_x0000_s22593"/>
                </a:ext>
                <a:ext uri="{FF2B5EF4-FFF2-40B4-BE49-F238E27FC236}">
                  <a16:creationId xmlns:a16="http://schemas.microsoft.com/office/drawing/2014/main" id="{00000000-0008-0000-0700-00004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215</xdr:row>
          <xdr:rowOff>19050</xdr:rowOff>
        </xdr:from>
        <xdr:to>
          <xdr:col>38</xdr:col>
          <xdr:colOff>819150</xdr:colOff>
          <xdr:row>215</xdr:row>
          <xdr:rowOff>619125</xdr:rowOff>
        </xdr:to>
        <xdr:sp macro="" textlink="">
          <xdr:nvSpPr>
            <xdr:cNvPr id="22594" name="Spinner 1090" hidden="1">
              <a:extLst>
                <a:ext uri="{63B3BB69-23CF-44E3-9099-C40C66FF867C}">
                  <a14:compatExt spid="_x0000_s22594"/>
                </a:ext>
                <a:ext uri="{FF2B5EF4-FFF2-40B4-BE49-F238E27FC236}">
                  <a16:creationId xmlns:a16="http://schemas.microsoft.com/office/drawing/2014/main" id="{00000000-0008-0000-0700-00004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220</xdr:row>
          <xdr:rowOff>19050</xdr:rowOff>
        </xdr:from>
        <xdr:to>
          <xdr:col>13</xdr:col>
          <xdr:colOff>428625</xdr:colOff>
          <xdr:row>220</xdr:row>
          <xdr:rowOff>752475</xdr:rowOff>
        </xdr:to>
        <xdr:sp macro="" textlink="">
          <xdr:nvSpPr>
            <xdr:cNvPr id="22595" name="Spinner 1091" hidden="1">
              <a:extLst>
                <a:ext uri="{63B3BB69-23CF-44E3-9099-C40C66FF867C}">
                  <a14:compatExt spid="_x0000_s22595"/>
                </a:ext>
                <a:ext uri="{FF2B5EF4-FFF2-40B4-BE49-F238E27FC236}">
                  <a16:creationId xmlns:a16="http://schemas.microsoft.com/office/drawing/2014/main" id="{00000000-0008-0000-0700-00004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250</xdr:row>
          <xdr:rowOff>19050</xdr:rowOff>
        </xdr:from>
        <xdr:to>
          <xdr:col>5</xdr:col>
          <xdr:colOff>428625</xdr:colOff>
          <xdr:row>250</xdr:row>
          <xdr:rowOff>771525</xdr:rowOff>
        </xdr:to>
        <xdr:sp macro="" textlink="">
          <xdr:nvSpPr>
            <xdr:cNvPr id="22596" name="Spinner 1092" hidden="1">
              <a:extLst>
                <a:ext uri="{63B3BB69-23CF-44E3-9099-C40C66FF867C}">
                  <a14:compatExt spid="_x0000_s22596"/>
                </a:ext>
                <a:ext uri="{FF2B5EF4-FFF2-40B4-BE49-F238E27FC236}">
                  <a16:creationId xmlns:a16="http://schemas.microsoft.com/office/drawing/2014/main" id="{00000000-0008-0000-0700-00004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249</xdr:row>
          <xdr:rowOff>19050</xdr:rowOff>
        </xdr:from>
        <xdr:to>
          <xdr:col>5</xdr:col>
          <xdr:colOff>419100</xdr:colOff>
          <xdr:row>249</xdr:row>
          <xdr:rowOff>752475</xdr:rowOff>
        </xdr:to>
        <xdr:sp macro="" textlink="">
          <xdr:nvSpPr>
            <xdr:cNvPr id="22597" name="Spinner 1093" hidden="1">
              <a:extLst>
                <a:ext uri="{63B3BB69-23CF-44E3-9099-C40C66FF867C}">
                  <a14:compatExt spid="_x0000_s22597"/>
                </a:ext>
                <a:ext uri="{FF2B5EF4-FFF2-40B4-BE49-F238E27FC236}">
                  <a16:creationId xmlns:a16="http://schemas.microsoft.com/office/drawing/2014/main" id="{00000000-0008-0000-0700-00004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248</xdr:row>
          <xdr:rowOff>19050</xdr:rowOff>
        </xdr:from>
        <xdr:to>
          <xdr:col>5</xdr:col>
          <xdr:colOff>428625</xdr:colOff>
          <xdr:row>248</xdr:row>
          <xdr:rowOff>762000</xdr:rowOff>
        </xdr:to>
        <xdr:sp macro="" textlink="">
          <xdr:nvSpPr>
            <xdr:cNvPr id="22598" name="Spinner 1094" hidden="1">
              <a:extLst>
                <a:ext uri="{63B3BB69-23CF-44E3-9099-C40C66FF867C}">
                  <a14:compatExt spid="_x0000_s22598"/>
                </a:ext>
                <a:ext uri="{FF2B5EF4-FFF2-40B4-BE49-F238E27FC236}">
                  <a16:creationId xmlns:a16="http://schemas.microsoft.com/office/drawing/2014/main" id="{00000000-0008-0000-0700-00004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247</xdr:row>
          <xdr:rowOff>19050</xdr:rowOff>
        </xdr:from>
        <xdr:to>
          <xdr:col>5</xdr:col>
          <xdr:colOff>428625</xdr:colOff>
          <xdr:row>247</xdr:row>
          <xdr:rowOff>762000</xdr:rowOff>
        </xdr:to>
        <xdr:sp macro="" textlink="">
          <xdr:nvSpPr>
            <xdr:cNvPr id="22599" name="Spinner 1095" hidden="1">
              <a:extLst>
                <a:ext uri="{63B3BB69-23CF-44E3-9099-C40C66FF867C}">
                  <a14:compatExt spid="_x0000_s22599"/>
                </a:ext>
                <a:ext uri="{FF2B5EF4-FFF2-40B4-BE49-F238E27FC236}">
                  <a16:creationId xmlns:a16="http://schemas.microsoft.com/office/drawing/2014/main" id="{00000000-0008-0000-0700-00004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246</xdr:row>
          <xdr:rowOff>19050</xdr:rowOff>
        </xdr:from>
        <xdr:to>
          <xdr:col>5</xdr:col>
          <xdr:colOff>428625</xdr:colOff>
          <xdr:row>246</xdr:row>
          <xdr:rowOff>752475</xdr:rowOff>
        </xdr:to>
        <xdr:sp macro="" textlink="">
          <xdr:nvSpPr>
            <xdr:cNvPr id="22600" name="Spinner 1096" hidden="1">
              <a:extLst>
                <a:ext uri="{63B3BB69-23CF-44E3-9099-C40C66FF867C}">
                  <a14:compatExt spid="_x0000_s22600"/>
                </a:ext>
                <a:ext uri="{FF2B5EF4-FFF2-40B4-BE49-F238E27FC236}">
                  <a16:creationId xmlns:a16="http://schemas.microsoft.com/office/drawing/2014/main" id="{00000000-0008-0000-0700-00004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245</xdr:row>
          <xdr:rowOff>19050</xdr:rowOff>
        </xdr:from>
        <xdr:to>
          <xdr:col>5</xdr:col>
          <xdr:colOff>419100</xdr:colOff>
          <xdr:row>245</xdr:row>
          <xdr:rowOff>781050</xdr:rowOff>
        </xdr:to>
        <xdr:sp macro="" textlink="">
          <xdr:nvSpPr>
            <xdr:cNvPr id="22601" name="Spinner 1097" hidden="1">
              <a:extLst>
                <a:ext uri="{63B3BB69-23CF-44E3-9099-C40C66FF867C}">
                  <a14:compatExt spid="_x0000_s22601"/>
                </a:ext>
                <a:ext uri="{FF2B5EF4-FFF2-40B4-BE49-F238E27FC236}">
                  <a16:creationId xmlns:a16="http://schemas.microsoft.com/office/drawing/2014/main" id="{00000000-0008-0000-0700-00004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244</xdr:row>
          <xdr:rowOff>19050</xdr:rowOff>
        </xdr:from>
        <xdr:to>
          <xdr:col>5</xdr:col>
          <xdr:colOff>428625</xdr:colOff>
          <xdr:row>244</xdr:row>
          <xdr:rowOff>742950</xdr:rowOff>
        </xdr:to>
        <xdr:sp macro="" textlink="">
          <xdr:nvSpPr>
            <xdr:cNvPr id="22602" name="Spinner 1098" hidden="1">
              <a:extLst>
                <a:ext uri="{63B3BB69-23CF-44E3-9099-C40C66FF867C}">
                  <a14:compatExt spid="_x0000_s22602"/>
                </a:ext>
                <a:ext uri="{FF2B5EF4-FFF2-40B4-BE49-F238E27FC236}">
                  <a16:creationId xmlns:a16="http://schemas.microsoft.com/office/drawing/2014/main" id="{00000000-0008-0000-0700-00004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243</xdr:row>
          <xdr:rowOff>19050</xdr:rowOff>
        </xdr:from>
        <xdr:to>
          <xdr:col>5</xdr:col>
          <xdr:colOff>438150</xdr:colOff>
          <xdr:row>243</xdr:row>
          <xdr:rowOff>742950</xdr:rowOff>
        </xdr:to>
        <xdr:sp macro="" textlink="">
          <xdr:nvSpPr>
            <xdr:cNvPr id="22603" name="Spinner 1099" hidden="1">
              <a:extLst>
                <a:ext uri="{63B3BB69-23CF-44E3-9099-C40C66FF867C}">
                  <a14:compatExt spid="_x0000_s22603"/>
                </a:ext>
                <a:ext uri="{FF2B5EF4-FFF2-40B4-BE49-F238E27FC236}">
                  <a16:creationId xmlns:a16="http://schemas.microsoft.com/office/drawing/2014/main" id="{00000000-0008-0000-0700-00004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250</xdr:row>
          <xdr:rowOff>19050</xdr:rowOff>
        </xdr:from>
        <xdr:to>
          <xdr:col>9</xdr:col>
          <xdr:colOff>428625</xdr:colOff>
          <xdr:row>250</xdr:row>
          <xdr:rowOff>762000</xdr:rowOff>
        </xdr:to>
        <xdr:sp macro="" textlink="">
          <xdr:nvSpPr>
            <xdr:cNvPr id="22604" name="Spinner 1100" hidden="1">
              <a:extLst>
                <a:ext uri="{63B3BB69-23CF-44E3-9099-C40C66FF867C}">
                  <a14:compatExt spid="_x0000_s22604"/>
                </a:ext>
                <a:ext uri="{FF2B5EF4-FFF2-40B4-BE49-F238E27FC236}">
                  <a16:creationId xmlns:a16="http://schemas.microsoft.com/office/drawing/2014/main" id="{00000000-0008-0000-0700-00004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249</xdr:row>
          <xdr:rowOff>19050</xdr:rowOff>
        </xdr:from>
        <xdr:to>
          <xdr:col>9</xdr:col>
          <xdr:colOff>428625</xdr:colOff>
          <xdr:row>249</xdr:row>
          <xdr:rowOff>752475</xdr:rowOff>
        </xdr:to>
        <xdr:sp macro="" textlink="">
          <xdr:nvSpPr>
            <xdr:cNvPr id="22605" name="Spinner 1101" hidden="1">
              <a:extLst>
                <a:ext uri="{63B3BB69-23CF-44E3-9099-C40C66FF867C}">
                  <a14:compatExt spid="_x0000_s22605"/>
                </a:ext>
                <a:ext uri="{FF2B5EF4-FFF2-40B4-BE49-F238E27FC236}">
                  <a16:creationId xmlns:a16="http://schemas.microsoft.com/office/drawing/2014/main" id="{00000000-0008-0000-0700-00004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248</xdr:row>
          <xdr:rowOff>19050</xdr:rowOff>
        </xdr:from>
        <xdr:to>
          <xdr:col>9</xdr:col>
          <xdr:colOff>438150</xdr:colOff>
          <xdr:row>248</xdr:row>
          <xdr:rowOff>762000</xdr:rowOff>
        </xdr:to>
        <xdr:sp macro="" textlink="">
          <xdr:nvSpPr>
            <xdr:cNvPr id="22606" name="Spinner 1102" hidden="1">
              <a:extLst>
                <a:ext uri="{63B3BB69-23CF-44E3-9099-C40C66FF867C}">
                  <a14:compatExt spid="_x0000_s22606"/>
                </a:ext>
                <a:ext uri="{FF2B5EF4-FFF2-40B4-BE49-F238E27FC236}">
                  <a16:creationId xmlns:a16="http://schemas.microsoft.com/office/drawing/2014/main" id="{00000000-0008-0000-0700-00004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247</xdr:row>
          <xdr:rowOff>19050</xdr:rowOff>
        </xdr:from>
        <xdr:to>
          <xdr:col>9</xdr:col>
          <xdr:colOff>438150</xdr:colOff>
          <xdr:row>247</xdr:row>
          <xdr:rowOff>762000</xdr:rowOff>
        </xdr:to>
        <xdr:sp macro="" textlink="">
          <xdr:nvSpPr>
            <xdr:cNvPr id="22607" name="Spinner 1103" hidden="1">
              <a:extLst>
                <a:ext uri="{63B3BB69-23CF-44E3-9099-C40C66FF867C}">
                  <a14:compatExt spid="_x0000_s22607"/>
                </a:ext>
                <a:ext uri="{FF2B5EF4-FFF2-40B4-BE49-F238E27FC236}">
                  <a16:creationId xmlns:a16="http://schemas.microsoft.com/office/drawing/2014/main" id="{00000000-0008-0000-0700-00004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246</xdr:row>
          <xdr:rowOff>19050</xdr:rowOff>
        </xdr:from>
        <xdr:to>
          <xdr:col>9</xdr:col>
          <xdr:colOff>438150</xdr:colOff>
          <xdr:row>246</xdr:row>
          <xdr:rowOff>752475</xdr:rowOff>
        </xdr:to>
        <xdr:sp macro="" textlink="">
          <xdr:nvSpPr>
            <xdr:cNvPr id="22608" name="Spinner 1104" hidden="1">
              <a:extLst>
                <a:ext uri="{63B3BB69-23CF-44E3-9099-C40C66FF867C}">
                  <a14:compatExt spid="_x0000_s22608"/>
                </a:ext>
                <a:ext uri="{FF2B5EF4-FFF2-40B4-BE49-F238E27FC236}">
                  <a16:creationId xmlns:a16="http://schemas.microsoft.com/office/drawing/2014/main" id="{00000000-0008-0000-0700-00005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245</xdr:row>
          <xdr:rowOff>19050</xdr:rowOff>
        </xdr:from>
        <xdr:to>
          <xdr:col>9</xdr:col>
          <xdr:colOff>428625</xdr:colOff>
          <xdr:row>245</xdr:row>
          <xdr:rowOff>781050</xdr:rowOff>
        </xdr:to>
        <xdr:sp macro="" textlink="">
          <xdr:nvSpPr>
            <xdr:cNvPr id="22609" name="Spinner 1105" hidden="1">
              <a:extLst>
                <a:ext uri="{63B3BB69-23CF-44E3-9099-C40C66FF867C}">
                  <a14:compatExt spid="_x0000_s22609"/>
                </a:ext>
                <a:ext uri="{FF2B5EF4-FFF2-40B4-BE49-F238E27FC236}">
                  <a16:creationId xmlns:a16="http://schemas.microsoft.com/office/drawing/2014/main" id="{00000000-0008-0000-0700-00005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244</xdr:row>
          <xdr:rowOff>19050</xdr:rowOff>
        </xdr:from>
        <xdr:to>
          <xdr:col>9</xdr:col>
          <xdr:colOff>438150</xdr:colOff>
          <xdr:row>244</xdr:row>
          <xdr:rowOff>742950</xdr:rowOff>
        </xdr:to>
        <xdr:sp macro="" textlink="">
          <xdr:nvSpPr>
            <xdr:cNvPr id="22610" name="Spinner 1106" hidden="1">
              <a:extLst>
                <a:ext uri="{63B3BB69-23CF-44E3-9099-C40C66FF867C}">
                  <a14:compatExt spid="_x0000_s22610"/>
                </a:ext>
                <a:ext uri="{FF2B5EF4-FFF2-40B4-BE49-F238E27FC236}">
                  <a16:creationId xmlns:a16="http://schemas.microsoft.com/office/drawing/2014/main" id="{00000000-0008-0000-0700-00005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243</xdr:row>
          <xdr:rowOff>19050</xdr:rowOff>
        </xdr:from>
        <xdr:to>
          <xdr:col>9</xdr:col>
          <xdr:colOff>447675</xdr:colOff>
          <xdr:row>243</xdr:row>
          <xdr:rowOff>742950</xdr:rowOff>
        </xdr:to>
        <xdr:sp macro="" textlink="">
          <xdr:nvSpPr>
            <xdr:cNvPr id="22611" name="Spinner 1107" hidden="1">
              <a:extLst>
                <a:ext uri="{63B3BB69-23CF-44E3-9099-C40C66FF867C}">
                  <a14:compatExt spid="_x0000_s22611"/>
                </a:ext>
                <a:ext uri="{FF2B5EF4-FFF2-40B4-BE49-F238E27FC236}">
                  <a16:creationId xmlns:a16="http://schemas.microsoft.com/office/drawing/2014/main" id="{00000000-0008-0000-0700-00005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249</xdr:row>
          <xdr:rowOff>19050</xdr:rowOff>
        </xdr:from>
        <xdr:to>
          <xdr:col>13</xdr:col>
          <xdr:colOff>428625</xdr:colOff>
          <xdr:row>249</xdr:row>
          <xdr:rowOff>752475</xdr:rowOff>
        </xdr:to>
        <xdr:sp macro="" textlink="">
          <xdr:nvSpPr>
            <xdr:cNvPr id="22612" name="Spinner 1108" hidden="1">
              <a:extLst>
                <a:ext uri="{63B3BB69-23CF-44E3-9099-C40C66FF867C}">
                  <a14:compatExt spid="_x0000_s22612"/>
                </a:ext>
                <a:ext uri="{FF2B5EF4-FFF2-40B4-BE49-F238E27FC236}">
                  <a16:creationId xmlns:a16="http://schemas.microsoft.com/office/drawing/2014/main" id="{00000000-0008-0000-0700-00005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248</xdr:row>
          <xdr:rowOff>19050</xdr:rowOff>
        </xdr:from>
        <xdr:to>
          <xdr:col>13</xdr:col>
          <xdr:colOff>438150</xdr:colOff>
          <xdr:row>248</xdr:row>
          <xdr:rowOff>762000</xdr:rowOff>
        </xdr:to>
        <xdr:sp macro="" textlink="">
          <xdr:nvSpPr>
            <xdr:cNvPr id="22613" name="Spinner 1109" hidden="1">
              <a:extLst>
                <a:ext uri="{63B3BB69-23CF-44E3-9099-C40C66FF867C}">
                  <a14:compatExt spid="_x0000_s22613"/>
                </a:ext>
                <a:ext uri="{FF2B5EF4-FFF2-40B4-BE49-F238E27FC236}">
                  <a16:creationId xmlns:a16="http://schemas.microsoft.com/office/drawing/2014/main" id="{00000000-0008-0000-0700-00005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247</xdr:row>
          <xdr:rowOff>19050</xdr:rowOff>
        </xdr:from>
        <xdr:to>
          <xdr:col>13</xdr:col>
          <xdr:colOff>438150</xdr:colOff>
          <xdr:row>247</xdr:row>
          <xdr:rowOff>762000</xdr:rowOff>
        </xdr:to>
        <xdr:sp macro="" textlink="">
          <xdr:nvSpPr>
            <xdr:cNvPr id="22614" name="Spinner 1110" hidden="1">
              <a:extLst>
                <a:ext uri="{63B3BB69-23CF-44E3-9099-C40C66FF867C}">
                  <a14:compatExt spid="_x0000_s22614"/>
                </a:ext>
                <a:ext uri="{FF2B5EF4-FFF2-40B4-BE49-F238E27FC236}">
                  <a16:creationId xmlns:a16="http://schemas.microsoft.com/office/drawing/2014/main" id="{00000000-0008-0000-0700-00005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246</xdr:row>
          <xdr:rowOff>19050</xdr:rowOff>
        </xdr:from>
        <xdr:to>
          <xdr:col>13</xdr:col>
          <xdr:colOff>438150</xdr:colOff>
          <xdr:row>246</xdr:row>
          <xdr:rowOff>752475</xdr:rowOff>
        </xdr:to>
        <xdr:sp macro="" textlink="">
          <xdr:nvSpPr>
            <xdr:cNvPr id="22615" name="Spinner 1111" hidden="1">
              <a:extLst>
                <a:ext uri="{63B3BB69-23CF-44E3-9099-C40C66FF867C}">
                  <a14:compatExt spid="_x0000_s22615"/>
                </a:ext>
                <a:ext uri="{FF2B5EF4-FFF2-40B4-BE49-F238E27FC236}">
                  <a16:creationId xmlns:a16="http://schemas.microsoft.com/office/drawing/2014/main" id="{00000000-0008-0000-0700-00005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245</xdr:row>
          <xdr:rowOff>19050</xdr:rowOff>
        </xdr:from>
        <xdr:to>
          <xdr:col>13</xdr:col>
          <xdr:colOff>428625</xdr:colOff>
          <xdr:row>245</xdr:row>
          <xdr:rowOff>781050</xdr:rowOff>
        </xdr:to>
        <xdr:sp macro="" textlink="">
          <xdr:nvSpPr>
            <xdr:cNvPr id="22616" name="Spinner 1112" hidden="1">
              <a:extLst>
                <a:ext uri="{63B3BB69-23CF-44E3-9099-C40C66FF867C}">
                  <a14:compatExt spid="_x0000_s22616"/>
                </a:ext>
                <a:ext uri="{FF2B5EF4-FFF2-40B4-BE49-F238E27FC236}">
                  <a16:creationId xmlns:a16="http://schemas.microsoft.com/office/drawing/2014/main" id="{00000000-0008-0000-0700-00005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244</xdr:row>
          <xdr:rowOff>19050</xdr:rowOff>
        </xdr:from>
        <xdr:to>
          <xdr:col>13</xdr:col>
          <xdr:colOff>438150</xdr:colOff>
          <xdr:row>244</xdr:row>
          <xdr:rowOff>742950</xdr:rowOff>
        </xdr:to>
        <xdr:sp macro="" textlink="">
          <xdr:nvSpPr>
            <xdr:cNvPr id="22617" name="Spinner 1113" hidden="1">
              <a:extLst>
                <a:ext uri="{63B3BB69-23CF-44E3-9099-C40C66FF867C}">
                  <a14:compatExt spid="_x0000_s22617"/>
                </a:ext>
                <a:ext uri="{FF2B5EF4-FFF2-40B4-BE49-F238E27FC236}">
                  <a16:creationId xmlns:a16="http://schemas.microsoft.com/office/drawing/2014/main" id="{00000000-0008-0000-0700-00005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243</xdr:row>
          <xdr:rowOff>19050</xdr:rowOff>
        </xdr:from>
        <xdr:to>
          <xdr:col>13</xdr:col>
          <xdr:colOff>447675</xdr:colOff>
          <xdr:row>243</xdr:row>
          <xdr:rowOff>742950</xdr:rowOff>
        </xdr:to>
        <xdr:sp macro="" textlink="">
          <xdr:nvSpPr>
            <xdr:cNvPr id="22618" name="Spinner 1114" hidden="1">
              <a:extLst>
                <a:ext uri="{63B3BB69-23CF-44E3-9099-C40C66FF867C}">
                  <a14:compatExt spid="_x0000_s22618"/>
                </a:ext>
                <a:ext uri="{FF2B5EF4-FFF2-40B4-BE49-F238E27FC236}">
                  <a16:creationId xmlns:a16="http://schemas.microsoft.com/office/drawing/2014/main" id="{00000000-0008-0000-0700-00005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243</xdr:row>
          <xdr:rowOff>28575</xdr:rowOff>
        </xdr:from>
        <xdr:to>
          <xdr:col>18</xdr:col>
          <xdr:colOff>876300</xdr:colOff>
          <xdr:row>244</xdr:row>
          <xdr:rowOff>0</xdr:rowOff>
        </xdr:to>
        <xdr:sp macro="" textlink="">
          <xdr:nvSpPr>
            <xdr:cNvPr id="22619" name="Spinner 1115" hidden="1">
              <a:extLst>
                <a:ext uri="{63B3BB69-23CF-44E3-9099-C40C66FF867C}">
                  <a14:compatExt spid="_x0000_s22619"/>
                </a:ext>
                <a:ext uri="{FF2B5EF4-FFF2-40B4-BE49-F238E27FC236}">
                  <a16:creationId xmlns:a16="http://schemas.microsoft.com/office/drawing/2014/main" id="{00000000-0008-0000-0700-00005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244</xdr:row>
          <xdr:rowOff>19050</xdr:rowOff>
        </xdr:from>
        <xdr:to>
          <xdr:col>18</xdr:col>
          <xdr:colOff>866775</xdr:colOff>
          <xdr:row>245</xdr:row>
          <xdr:rowOff>0</xdr:rowOff>
        </xdr:to>
        <xdr:sp macro="" textlink="">
          <xdr:nvSpPr>
            <xdr:cNvPr id="22620" name="Spinner 1116" hidden="1">
              <a:extLst>
                <a:ext uri="{63B3BB69-23CF-44E3-9099-C40C66FF867C}">
                  <a14:compatExt spid="_x0000_s22620"/>
                </a:ext>
                <a:ext uri="{FF2B5EF4-FFF2-40B4-BE49-F238E27FC236}">
                  <a16:creationId xmlns:a16="http://schemas.microsoft.com/office/drawing/2014/main" id="{00000000-0008-0000-0700-00005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245</xdr:row>
          <xdr:rowOff>38100</xdr:rowOff>
        </xdr:from>
        <xdr:to>
          <xdr:col>18</xdr:col>
          <xdr:colOff>876300</xdr:colOff>
          <xdr:row>246</xdr:row>
          <xdr:rowOff>0</xdr:rowOff>
        </xdr:to>
        <xdr:sp macro="" textlink="">
          <xdr:nvSpPr>
            <xdr:cNvPr id="22621" name="Spinner 1117" hidden="1">
              <a:extLst>
                <a:ext uri="{63B3BB69-23CF-44E3-9099-C40C66FF867C}">
                  <a14:compatExt spid="_x0000_s22621"/>
                </a:ext>
                <a:ext uri="{FF2B5EF4-FFF2-40B4-BE49-F238E27FC236}">
                  <a16:creationId xmlns:a16="http://schemas.microsoft.com/office/drawing/2014/main" id="{00000000-0008-0000-0700-00005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249</xdr:row>
          <xdr:rowOff>28575</xdr:rowOff>
        </xdr:from>
        <xdr:to>
          <xdr:col>19</xdr:col>
          <xdr:colOff>0</xdr:colOff>
          <xdr:row>250</xdr:row>
          <xdr:rowOff>0</xdr:rowOff>
        </xdr:to>
        <xdr:sp macro="" textlink="">
          <xdr:nvSpPr>
            <xdr:cNvPr id="22622" name="Spinner 1118" hidden="1">
              <a:extLst>
                <a:ext uri="{63B3BB69-23CF-44E3-9099-C40C66FF867C}">
                  <a14:compatExt spid="_x0000_s22622"/>
                </a:ext>
                <a:ext uri="{FF2B5EF4-FFF2-40B4-BE49-F238E27FC236}">
                  <a16:creationId xmlns:a16="http://schemas.microsoft.com/office/drawing/2014/main" id="{00000000-0008-0000-0700-00005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243</xdr:row>
          <xdr:rowOff>47625</xdr:rowOff>
        </xdr:from>
        <xdr:to>
          <xdr:col>25</xdr:col>
          <xdr:colOff>876300</xdr:colOff>
          <xdr:row>243</xdr:row>
          <xdr:rowOff>628650</xdr:rowOff>
        </xdr:to>
        <xdr:sp macro="" textlink="">
          <xdr:nvSpPr>
            <xdr:cNvPr id="22623" name="Spinner 1119" hidden="1">
              <a:extLst>
                <a:ext uri="{63B3BB69-23CF-44E3-9099-C40C66FF867C}">
                  <a14:compatExt spid="_x0000_s22623"/>
                </a:ext>
                <a:ext uri="{FF2B5EF4-FFF2-40B4-BE49-F238E27FC236}">
                  <a16:creationId xmlns:a16="http://schemas.microsoft.com/office/drawing/2014/main" id="{00000000-0008-0000-0700-00005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244</xdr:row>
          <xdr:rowOff>19050</xdr:rowOff>
        </xdr:from>
        <xdr:to>
          <xdr:col>25</xdr:col>
          <xdr:colOff>866775</xdr:colOff>
          <xdr:row>244</xdr:row>
          <xdr:rowOff>638175</xdr:rowOff>
        </xdr:to>
        <xdr:sp macro="" textlink="">
          <xdr:nvSpPr>
            <xdr:cNvPr id="22624" name="Spinner 1120" hidden="1">
              <a:extLst>
                <a:ext uri="{63B3BB69-23CF-44E3-9099-C40C66FF867C}">
                  <a14:compatExt spid="_x0000_s22624"/>
                </a:ext>
                <a:ext uri="{FF2B5EF4-FFF2-40B4-BE49-F238E27FC236}">
                  <a16:creationId xmlns:a16="http://schemas.microsoft.com/office/drawing/2014/main" id="{00000000-0008-0000-0700-00006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245</xdr:row>
          <xdr:rowOff>38100</xdr:rowOff>
        </xdr:from>
        <xdr:to>
          <xdr:col>25</xdr:col>
          <xdr:colOff>876300</xdr:colOff>
          <xdr:row>245</xdr:row>
          <xdr:rowOff>619125</xdr:rowOff>
        </xdr:to>
        <xdr:sp macro="" textlink="">
          <xdr:nvSpPr>
            <xdr:cNvPr id="22625" name="Spinner 1121" hidden="1">
              <a:extLst>
                <a:ext uri="{63B3BB69-23CF-44E3-9099-C40C66FF867C}">
                  <a14:compatExt spid="_x0000_s22625"/>
                </a:ext>
                <a:ext uri="{FF2B5EF4-FFF2-40B4-BE49-F238E27FC236}">
                  <a16:creationId xmlns:a16="http://schemas.microsoft.com/office/drawing/2014/main" id="{00000000-0008-0000-0700-00006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246</xdr:row>
          <xdr:rowOff>57150</xdr:rowOff>
        </xdr:from>
        <xdr:to>
          <xdr:col>25</xdr:col>
          <xdr:colOff>885825</xdr:colOff>
          <xdr:row>246</xdr:row>
          <xdr:rowOff>561975</xdr:rowOff>
        </xdr:to>
        <xdr:sp macro="" textlink="">
          <xdr:nvSpPr>
            <xdr:cNvPr id="22626" name="Spinner 1122" hidden="1">
              <a:extLst>
                <a:ext uri="{63B3BB69-23CF-44E3-9099-C40C66FF867C}">
                  <a14:compatExt spid="_x0000_s22626"/>
                </a:ext>
                <a:ext uri="{FF2B5EF4-FFF2-40B4-BE49-F238E27FC236}">
                  <a16:creationId xmlns:a16="http://schemas.microsoft.com/office/drawing/2014/main" id="{00000000-0008-0000-0700-00006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247</xdr:row>
          <xdr:rowOff>47625</xdr:rowOff>
        </xdr:from>
        <xdr:to>
          <xdr:col>25</xdr:col>
          <xdr:colOff>885825</xdr:colOff>
          <xdr:row>247</xdr:row>
          <xdr:rowOff>571500</xdr:rowOff>
        </xdr:to>
        <xdr:sp macro="" textlink="">
          <xdr:nvSpPr>
            <xdr:cNvPr id="22627" name="Spinner 1123" hidden="1">
              <a:extLst>
                <a:ext uri="{63B3BB69-23CF-44E3-9099-C40C66FF867C}">
                  <a14:compatExt spid="_x0000_s22627"/>
                </a:ext>
                <a:ext uri="{FF2B5EF4-FFF2-40B4-BE49-F238E27FC236}">
                  <a16:creationId xmlns:a16="http://schemas.microsoft.com/office/drawing/2014/main" id="{00000000-0008-0000-0700-00006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248</xdr:row>
          <xdr:rowOff>47625</xdr:rowOff>
        </xdr:from>
        <xdr:to>
          <xdr:col>25</xdr:col>
          <xdr:colOff>885825</xdr:colOff>
          <xdr:row>248</xdr:row>
          <xdr:rowOff>723900</xdr:rowOff>
        </xdr:to>
        <xdr:sp macro="" textlink="">
          <xdr:nvSpPr>
            <xdr:cNvPr id="22628" name="Spinner 1124" hidden="1">
              <a:extLst>
                <a:ext uri="{63B3BB69-23CF-44E3-9099-C40C66FF867C}">
                  <a14:compatExt spid="_x0000_s22628"/>
                </a:ext>
                <a:ext uri="{FF2B5EF4-FFF2-40B4-BE49-F238E27FC236}">
                  <a16:creationId xmlns:a16="http://schemas.microsoft.com/office/drawing/2014/main" id="{00000000-0008-0000-0700-00006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243</xdr:row>
          <xdr:rowOff>95250</xdr:rowOff>
        </xdr:from>
        <xdr:to>
          <xdr:col>29</xdr:col>
          <xdr:colOff>895350</xdr:colOff>
          <xdr:row>243</xdr:row>
          <xdr:rowOff>752475</xdr:rowOff>
        </xdr:to>
        <xdr:sp macro="" textlink="">
          <xdr:nvSpPr>
            <xdr:cNvPr id="22629" name="Spinner 1125" hidden="1">
              <a:extLst>
                <a:ext uri="{63B3BB69-23CF-44E3-9099-C40C66FF867C}">
                  <a14:compatExt spid="_x0000_s22629"/>
                </a:ext>
                <a:ext uri="{FF2B5EF4-FFF2-40B4-BE49-F238E27FC236}">
                  <a16:creationId xmlns:a16="http://schemas.microsoft.com/office/drawing/2014/main" id="{00000000-0008-0000-0700-00006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244</xdr:row>
          <xdr:rowOff>95250</xdr:rowOff>
        </xdr:from>
        <xdr:to>
          <xdr:col>29</xdr:col>
          <xdr:colOff>895350</xdr:colOff>
          <xdr:row>244</xdr:row>
          <xdr:rowOff>762000</xdr:rowOff>
        </xdr:to>
        <xdr:sp macro="" textlink="">
          <xdr:nvSpPr>
            <xdr:cNvPr id="22630" name="Spinner 1126" hidden="1">
              <a:extLst>
                <a:ext uri="{63B3BB69-23CF-44E3-9099-C40C66FF867C}">
                  <a14:compatExt spid="_x0000_s22630"/>
                </a:ext>
                <a:ext uri="{FF2B5EF4-FFF2-40B4-BE49-F238E27FC236}">
                  <a16:creationId xmlns:a16="http://schemas.microsoft.com/office/drawing/2014/main" id="{00000000-0008-0000-0700-00006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245</xdr:row>
          <xdr:rowOff>104775</xdr:rowOff>
        </xdr:from>
        <xdr:to>
          <xdr:col>29</xdr:col>
          <xdr:colOff>885825</xdr:colOff>
          <xdr:row>245</xdr:row>
          <xdr:rowOff>752475</xdr:rowOff>
        </xdr:to>
        <xdr:sp macro="" textlink="">
          <xdr:nvSpPr>
            <xdr:cNvPr id="22631" name="Spinner 1127" hidden="1">
              <a:extLst>
                <a:ext uri="{63B3BB69-23CF-44E3-9099-C40C66FF867C}">
                  <a14:compatExt spid="_x0000_s22631"/>
                </a:ext>
                <a:ext uri="{FF2B5EF4-FFF2-40B4-BE49-F238E27FC236}">
                  <a16:creationId xmlns:a16="http://schemas.microsoft.com/office/drawing/2014/main" id="{00000000-0008-0000-0700-00006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246</xdr:row>
          <xdr:rowOff>66675</xdr:rowOff>
        </xdr:from>
        <xdr:to>
          <xdr:col>29</xdr:col>
          <xdr:colOff>876300</xdr:colOff>
          <xdr:row>246</xdr:row>
          <xdr:rowOff>733425</xdr:rowOff>
        </xdr:to>
        <xdr:sp macro="" textlink="">
          <xdr:nvSpPr>
            <xdr:cNvPr id="22632" name="Spinner 1128" hidden="1">
              <a:extLst>
                <a:ext uri="{63B3BB69-23CF-44E3-9099-C40C66FF867C}">
                  <a14:compatExt spid="_x0000_s22632"/>
                </a:ext>
                <a:ext uri="{FF2B5EF4-FFF2-40B4-BE49-F238E27FC236}">
                  <a16:creationId xmlns:a16="http://schemas.microsoft.com/office/drawing/2014/main" id="{00000000-0008-0000-0700-00006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247</xdr:row>
          <xdr:rowOff>66675</xdr:rowOff>
        </xdr:from>
        <xdr:to>
          <xdr:col>29</xdr:col>
          <xdr:colOff>876300</xdr:colOff>
          <xdr:row>247</xdr:row>
          <xdr:rowOff>752475</xdr:rowOff>
        </xdr:to>
        <xdr:sp macro="" textlink="">
          <xdr:nvSpPr>
            <xdr:cNvPr id="22633" name="Spinner 1129" hidden="1">
              <a:extLst>
                <a:ext uri="{63B3BB69-23CF-44E3-9099-C40C66FF867C}">
                  <a14:compatExt spid="_x0000_s22633"/>
                </a:ext>
                <a:ext uri="{FF2B5EF4-FFF2-40B4-BE49-F238E27FC236}">
                  <a16:creationId xmlns:a16="http://schemas.microsoft.com/office/drawing/2014/main" id="{00000000-0008-0000-0700-00006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248</xdr:row>
          <xdr:rowOff>47625</xdr:rowOff>
        </xdr:from>
        <xdr:to>
          <xdr:col>29</xdr:col>
          <xdr:colOff>885825</xdr:colOff>
          <xdr:row>248</xdr:row>
          <xdr:rowOff>714375</xdr:rowOff>
        </xdr:to>
        <xdr:sp macro="" textlink="">
          <xdr:nvSpPr>
            <xdr:cNvPr id="22634" name="Spinner 1130" hidden="1">
              <a:extLst>
                <a:ext uri="{63B3BB69-23CF-44E3-9099-C40C66FF867C}">
                  <a14:compatExt spid="_x0000_s22634"/>
                </a:ext>
                <a:ext uri="{FF2B5EF4-FFF2-40B4-BE49-F238E27FC236}">
                  <a16:creationId xmlns:a16="http://schemas.microsoft.com/office/drawing/2014/main" id="{00000000-0008-0000-0700-00006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243</xdr:row>
          <xdr:rowOff>104775</xdr:rowOff>
        </xdr:from>
        <xdr:to>
          <xdr:col>33</xdr:col>
          <xdr:colOff>895350</xdr:colOff>
          <xdr:row>243</xdr:row>
          <xdr:rowOff>647700</xdr:rowOff>
        </xdr:to>
        <xdr:sp macro="" textlink="">
          <xdr:nvSpPr>
            <xdr:cNvPr id="22635" name="Spinner 1131" hidden="1">
              <a:extLst>
                <a:ext uri="{63B3BB69-23CF-44E3-9099-C40C66FF867C}">
                  <a14:compatExt spid="_x0000_s22635"/>
                </a:ext>
                <a:ext uri="{FF2B5EF4-FFF2-40B4-BE49-F238E27FC236}">
                  <a16:creationId xmlns:a16="http://schemas.microsoft.com/office/drawing/2014/main" id="{00000000-0008-0000-0700-00006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244</xdr:row>
          <xdr:rowOff>57150</xdr:rowOff>
        </xdr:from>
        <xdr:to>
          <xdr:col>33</xdr:col>
          <xdr:colOff>885825</xdr:colOff>
          <xdr:row>244</xdr:row>
          <xdr:rowOff>733425</xdr:rowOff>
        </xdr:to>
        <xdr:sp macro="" textlink="">
          <xdr:nvSpPr>
            <xdr:cNvPr id="22636" name="Spinner 1132" hidden="1">
              <a:extLst>
                <a:ext uri="{63B3BB69-23CF-44E3-9099-C40C66FF867C}">
                  <a14:compatExt spid="_x0000_s22636"/>
                </a:ext>
                <a:ext uri="{FF2B5EF4-FFF2-40B4-BE49-F238E27FC236}">
                  <a16:creationId xmlns:a16="http://schemas.microsoft.com/office/drawing/2014/main" id="{00000000-0008-0000-0700-00006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245</xdr:row>
          <xdr:rowOff>66675</xdr:rowOff>
        </xdr:from>
        <xdr:to>
          <xdr:col>33</xdr:col>
          <xdr:colOff>876300</xdr:colOff>
          <xdr:row>245</xdr:row>
          <xdr:rowOff>714375</xdr:rowOff>
        </xdr:to>
        <xdr:sp macro="" textlink="">
          <xdr:nvSpPr>
            <xdr:cNvPr id="22637" name="Spinner 1133" hidden="1">
              <a:extLst>
                <a:ext uri="{63B3BB69-23CF-44E3-9099-C40C66FF867C}">
                  <a14:compatExt spid="_x0000_s22637"/>
                </a:ext>
                <a:ext uri="{FF2B5EF4-FFF2-40B4-BE49-F238E27FC236}">
                  <a16:creationId xmlns:a16="http://schemas.microsoft.com/office/drawing/2014/main" id="{00000000-0008-0000-0700-00006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246</xdr:row>
          <xdr:rowOff>85725</xdr:rowOff>
        </xdr:from>
        <xdr:to>
          <xdr:col>33</xdr:col>
          <xdr:colOff>895350</xdr:colOff>
          <xdr:row>246</xdr:row>
          <xdr:rowOff>704850</xdr:rowOff>
        </xdr:to>
        <xdr:sp macro="" textlink="">
          <xdr:nvSpPr>
            <xdr:cNvPr id="22638" name="Spinner 1134" hidden="1">
              <a:extLst>
                <a:ext uri="{63B3BB69-23CF-44E3-9099-C40C66FF867C}">
                  <a14:compatExt spid="_x0000_s22638"/>
                </a:ext>
                <a:ext uri="{FF2B5EF4-FFF2-40B4-BE49-F238E27FC236}">
                  <a16:creationId xmlns:a16="http://schemas.microsoft.com/office/drawing/2014/main" id="{00000000-0008-0000-0700-00006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247</xdr:row>
          <xdr:rowOff>38100</xdr:rowOff>
        </xdr:from>
        <xdr:to>
          <xdr:col>33</xdr:col>
          <xdr:colOff>904875</xdr:colOff>
          <xdr:row>247</xdr:row>
          <xdr:rowOff>771525</xdr:rowOff>
        </xdr:to>
        <xdr:sp macro="" textlink="">
          <xdr:nvSpPr>
            <xdr:cNvPr id="22639" name="Spinner 1135" hidden="1">
              <a:extLst>
                <a:ext uri="{63B3BB69-23CF-44E3-9099-C40C66FF867C}">
                  <a14:compatExt spid="_x0000_s22639"/>
                </a:ext>
                <a:ext uri="{FF2B5EF4-FFF2-40B4-BE49-F238E27FC236}">
                  <a16:creationId xmlns:a16="http://schemas.microsoft.com/office/drawing/2014/main" id="{00000000-0008-0000-0700-00006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248</xdr:row>
          <xdr:rowOff>38100</xdr:rowOff>
        </xdr:from>
        <xdr:to>
          <xdr:col>33</xdr:col>
          <xdr:colOff>885825</xdr:colOff>
          <xdr:row>248</xdr:row>
          <xdr:rowOff>733425</xdr:rowOff>
        </xdr:to>
        <xdr:sp macro="" textlink="">
          <xdr:nvSpPr>
            <xdr:cNvPr id="22640" name="Spinner 1136" hidden="1">
              <a:extLst>
                <a:ext uri="{63B3BB69-23CF-44E3-9099-C40C66FF867C}">
                  <a14:compatExt spid="_x0000_s22640"/>
                </a:ext>
                <a:ext uri="{FF2B5EF4-FFF2-40B4-BE49-F238E27FC236}">
                  <a16:creationId xmlns:a16="http://schemas.microsoft.com/office/drawing/2014/main" id="{00000000-0008-0000-0700-00007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243</xdr:row>
          <xdr:rowOff>28575</xdr:rowOff>
        </xdr:from>
        <xdr:to>
          <xdr:col>38</xdr:col>
          <xdr:colOff>809625</xdr:colOff>
          <xdr:row>243</xdr:row>
          <xdr:rowOff>638175</xdr:rowOff>
        </xdr:to>
        <xdr:sp macro="" textlink="">
          <xdr:nvSpPr>
            <xdr:cNvPr id="22641" name="Spinner 1137" hidden="1">
              <a:extLst>
                <a:ext uri="{63B3BB69-23CF-44E3-9099-C40C66FF867C}">
                  <a14:compatExt spid="_x0000_s22641"/>
                </a:ext>
                <a:ext uri="{FF2B5EF4-FFF2-40B4-BE49-F238E27FC236}">
                  <a16:creationId xmlns:a16="http://schemas.microsoft.com/office/drawing/2014/main" id="{00000000-0008-0000-0700-00007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244</xdr:row>
          <xdr:rowOff>28575</xdr:rowOff>
        </xdr:from>
        <xdr:to>
          <xdr:col>38</xdr:col>
          <xdr:colOff>800100</xdr:colOff>
          <xdr:row>244</xdr:row>
          <xdr:rowOff>638175</xdr:rowOff>
        </xdr:to>
        <xdr:sp macro="" textlink="">
          <xdr:nvSpPr>
            <xdr:cNvPr id="22642" name="Spinner 1138" hidden="1">
              <a:extLst>
                <a:ext uri="{63B3BB69-23CF-44E3-9099-C40C66FF867C}">
                  <a14:compatExt spid="_x0000_s22642"/>
                </a:ext>
                <a:ext uri="{FF2B5EF4-FFF2-40B4-BE49-F238E27FC236}">
                  <a16:creationId xmlns:a16="http://schemas.microsoft.com/office/drawing/2014/main" id="{00000000-0008-0000-0700-00007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245</xdr:row>
          <xdr:rowOff>19050</xdr:rowOff>
        </xdr:from>
        <xdr:to>
          <xdr:col>38</xdr:col>
          <xdr:colOff>819150</xdr:colOff>
          <xdr:row>245</xdr:row>
          <xdr:rowOff>619125</xdr:rowOff>
        </xdr:to>
        <xdr:sp macro="" textlink="">
          <xdr:nvSpPr>
            <xdr:cNvPr id="22643" name="Spinner 1139" hidden="1">
              <a:extLst>
                <a:ext uri="{63B3BB69-23CF-44E3-9099-C40C66FF867C}">
                  <a14:compatExt spid="_x0000_s22643"/>
                </a:ext>
                <a:ext uri="{FF2B5EF4-FFF2-40B4-BE49-F238E27FC236}">
                  <a16:creationId xmlns:a16="http://schemas.microsoft.com/office/drawing/2014/main" id="{00000000-0008-0000-0700-00007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250</xdr:row>
          <xdr:rowOff>19050</xdr:rowOff>
        </xdr:from>
        <xdr:to>
          <xdr:col>13</xdr:col>
          <xdr:colOff>428625</xdr:colOff>
          <xdr:row>250</xdr:row>
          <xdr:rowOff>752475</xdr:rowOff>
        </xdr:to>
        <xdr:sp macro="" textlink="">
          <xdr:nvSpPr>
            <xdr:cNvPr id="22644" name="Spinner 1140" hidden="1">
              <a:extLst>
                <a:ext uri="{63B3BB69-23CF-44E3-9099-C40C66FF867C}">
                  <a14:compatExt spid="_x0000_s22644"/>
                </a:ext>
                <a:ext uri="{FF2B5EF4-FFF2-40B4-BE49-F238E27FC236}">
                  <a16:creationId xmlns:a16="http://schemas.microsoft.com/office/drawing/2014/main" id="{00000000-0008-0000-0700-00007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1381124</xdr:colOff>
      <xdr:row>18</xdr:row>
      <xdr:rowOff>0</xdr:rowOff>
    </xdr:from>
    <xdr:to>
      <xdr:col>33</xdr:col>
      <xdr:colOff>514349</xdr:colOff>
      <xdr:row>37</xdr:row>
      <xdr:rowOff>170050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505-A8A7-D6F1-BBCD-78EEDBB9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4" y="4933950"/>
          <a:ext cx="7229475" cy="5599300"/>
        </a:xfrm>
        <a:prstGeom prst="rect">
          <a:avLst/>
        </a:prstGeom>
      </xdr:spPr>
    </xdr:pic>
    <xdr:clientData/>
  </xdr:twoCellAnchor>
  <xdr:twoCellAnchor editAs="oneCell">
    <xdr:from>
      <xdr:col>33</xdr:col>
      <xdr:colOff>647699</xdr:colOff>
      <xdr:row>19</xdr:row>
      <xdr:rowOff>0</xdr:rowOff>
    </xdr:from>
    <xdr:to>
      <xdr:col>50</xdr:col>
      <xdr:colOff>295177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7628C-646B-00FA-84F0-9B997F43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499" y="5219700"/>
          <a:ext cx="12415741" cy="4457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9.571088078701" createdVersion="8" refreshedVersion="8" minRefreshableVersion="3" recordCount="156" xr:uid="{33128184-D2DD-40C8-9D6E-9A5863221F29}">
  <cacheSource type="worksheet">
    <worksheetSource ref="V1:Y157" sheet="WPay Data Analysis" r:id="rId2"/>
  </cacheSource>
  <cacheFields count="4">
    <cacheField name="KPI" numFmtId="0">
      <sharedItems containsBlank="1" count="14">
        <s v="Merchant Count"/>
        <s v="Turnover in '000"/>
        <s v="Avg. Ticket size"/>
        <s v="Gross Margin %"/>
        <s v="Avg Sales Bps - Ex GST (Excluding Deliverit MOR)"/>
        <s v="Avg Sales Bps - Ex GST (MoR)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m u="1"/>
      </sharedItems>
    </cacheField>
    <cacheField name="Measures" numFmtId="0">
      <sharedItems containsString="0" containsBlank="1" containsNumber="1" minValue="0.23" maxValue="48189.8"/>
    </cacheField>
    <cacheField name="Month" numFmtId="0">
      <sharedItems containsBlank="1" count="13">
        <s v="25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  <s v="15 - Mar 24"/>
        <m u="1"/>
      </sharedItems>
    </cacheField>
    <cacheField name="Display" numFmtId="0">
      <sharedItems containsBlank="1" count="3">
        <s v="Yes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29688310182" createdVersion="8" refreshedVersion="8" minRefreshableVersion="3" recordCount="198" xr:uid="{5802455B-DEFA-4C22-8B5E-691E8827866E}">
  <cacheSource type="worksheet">
    <worksheetSource ref="D1:G199" sheet="Total Data Analysis" r:id="rId2"/>
  </cacheSource>
  <cacheFields count="4">
    <cacheField name="KPI" numFmtId="0">
      <sharedItems count="18">
        <s v="Merchant Count"/>
        <s v="Turnover in '000"/>
        <s v="Avg. Ticket size"/>
        <s v="Gross Margin %"/>
        <s v="Avg Sales Bps - Ex GST (Excluding Deliverit MOR)"/>
        <s v="Avg Sales Bps - Ex GST (MoR)"/>
        <s v="Avg Sales Bps"/>
        <s v="Avg Sales in BPs - EX GST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s v="WPAY %"/>
        <s v="ADYEN %"/>
        <s v="MOR % of WPAY"/>
      </sharedItems>
    </cacheField>
    <cacheField name="Measures" numFmtId="0">
      <sharedItems containsSemiMixedTypes="0" containsString="0" containsNumber="1" minValue="0.1497" maxValue="261032.8"/>
    </cacheField>
    <cacheField name="Month" numFmtId="0">
      <sharedItems count="11">
        <s v="26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</sharedItems>
    </cacheField>
    <cacheField name="Displa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14455439812" createdVersion="8" refreshedVersion="8" minRefreshableVersion="3" recordCount="782" xr:uid="{D8A69919-5FDE-4A91-8DA0-B8CA7EDBA1E0}">
  <cacheSource type="worksheet">
    <worksheetSource name="DataTable" r:id="rId2"/>
  </cacheSource>
  <cacheFields count="6">
    <cacheField name="Data Point" numFmtId="0">
      <sharedItems containsBlank="1" count="42">
        <s v="Transaction Fees"/>
        <s v="Authorised fees - Austhorised"/>
        <s v="Authorised fees - refused"/>
        <s v="Commission Amex"/>
        <s v="Comission Other"/>
        <s v="Interchange MC + Visa"/>
        <s v="Interchange Eftpos_australia"/>
        <s v="Commission"/>
        <s v="Scheme fees Visa + master"/>
        <s v="Scheme fees  EftPOS"/>
        <s v="Amex cost in Bps - Ex GST"/>
        <s v="MC &amp; VS cost in Bps - Ex GST"/>
        <s v="Eftpos cost in Bps"/>
        <s v="Total cost Bps - Ex GST"/>
        <s v="-"/>
        <s v="Gross Margin %"/>
        <s v="Avg. Ticket size"/>
        <s v="Turnover in '000"/>
        <s v="Merchant Count"/>
        <s v="Avg Sales Bps"/>
        <s v="MSF Revenue Ex GST in '000"/>
        <s v="Cost in '000 Ex GST"/>
        <s v="Margin in Bps - Ex GST"/>
        <m u="1"/>
        <s v="Commission Amex (convert to AUD)" u="1"/>
        <s v="Commission cup, Alipay, Wechatpay" u="1"/>
        <s v="Interchange issuing" u="1"/>
        <s v="Interchange issuing Eftpos_australia" u="1"/>
        <s v="Commission (processing fees)" u="1"/>
        <s v="Scheme fees Visa + master - EftPOS" u="1"/>
        <s v="Amex cost Bps" u="1"/>
        <s v="Others cost Bps" u="1"/>
        <s v="EftPos cost Bps" u="1"/>
        <s v="Total cost Bps" u="1"/>
        <s v="Gross Margin" u="1"/>
        <s v="Turnover" u="1"/>
        <s v="MSF Revenue Ex GST" u="1"/>
        <s v="Cost in Ex GST" u="1"/>
        <s v="Margin in Bps" u="1"/>
        <s v="MC &amp; VS cost bps" u="1"/>
        <s v="Interchange MC + Visa Eftpos_australia" u="1"/>
        <s v="MC &amp; CS cost bps" u="1"/>
      </sharedItems>
    </cacheField>
    <cacheField name="Acquirer" numFmtId="0">
      <sharedItems count="1">
        <s v="Adyen"/>
      </sharedItems>
    </cacheField>
    <cacheField name="Month" numFmtId="0">
      <sharedItems containsDate="1" containsMixedTypes="1" minDate="2023-02-14T00:00:00" maxDate="2023-12-13T00:00:00" count="44">
        <s v="38 - Feb 25"/>
        <s v="37 - Jan 25"/>
        <s v="36 - Dec 24"/>
        <s v="35 - Nov 24"/>
        <s v="34 - Oct 24"/>
        <s v="33 - Sept 24"/>
        <s v="32 - Aug 24"/>
        <s v="31 - Jul 24"/>
        <s v="30 - Jun 24"/>
        <s v="29 - May 24"/>
        <s v="28 - Apr 24"/>
        <s v="27 - Mar 24"/>
        <s v="26 - Feb 24"/>
        <s v="25 - Jan 24"/>
        <s v="23 - Dec 23"/>
        <s v="22 - Nov 23"/>
        <s v="21 - Oct 23"/>
        <s v="20 - Sept 23"/>
        <s v="19- Aug 23"/>
        <s v="18- Jul 23"/>
        <s v="17- Jun 23"/>
        <s v="16- May 23"/>
        <s v="16- Apr 23"/>
        <s v="15- Mar 23"/>
        <s v="14- Feb 23"/>
        <s v="13- Jan 23"/>
        <d v="2023-12-12T00:00:00"/>
        <s v="11 Nov"/>
        <s v="10 Oct"/>
        <s v="09 Sep"/>
        <s v="08 Aug"/>
        <s v="07 July"/>
        <s v="06 June"/>
        <s v="05 May"/>
        <s v="35 - Dec 24" u="1"/>
        <s v="35 - December 24" u="1"/>
        <s v="35 - November 24" u="1"/>
        <s v="34 - October 24" u="1"/>
        <s v="33 - September 24" u="1"/>
        <s v="32 - August 24" u="1"/>
        <s v="31 - July 24" u="1"/>
        <d v="2023-06-17T00:00:00" u="1"/>
        <d v="2023-02-14T00:00:00" u="1"/>
        <d v="2023-04-16T00:00:00" u="1"/>
      </sharedItems>
    </cacheField>
    <cacheField name="KPI" numFmtId="0">
      <sharedItems containsMixedTypes="1" containsNumber="1" minValue="5.0190007174217059E-2" maxValue="12140.2918300087" count="23">
        <s v="No"/>
        <s v="NA"/>
        <s v="Yes"/>
        <n v="1.6499996731166102" u="1"/>
        <n v="7.9999994242328468E-2" u="1"/>
        <n v="169.47602727272701" u="1"/>
        <n v="0.24970736261011262" u="1"/>
        <n v="0.32037237898951293" u="1"/>
        <n v="0.99586689726800048" u="1"/>
        <n v="1.3943220034641417" u="1"/>
        <n v="0.44231557984360659" u="1"/>
        <n v="0.13668376429735693" u="1"/>
        <n v="0.61667010867630667" u="1"/>
        <n v="26.432048041609676" u="1"/>
        <n v="160" u="1"/>
        <n v="1.783498280634549" u="1"/>
        <n v="5.0190007174217059E-2" u="1"/>
        <n v="1.39418581840221" u="1"/>
        <n v="0.1134985830563474" u="1"/>
        <n v="0.5326609328976204" u="1"/>
        <n v="0.77751570972590334" u="1"/>
        <n v="94.514139999999998" u="1"/>
        <n v="12140.2918300087" u="1"/>
      </sharedItems>
    </cacheField>
    <cacheField name="Amount" numFmtId="0">
      <sharedItems containsBlank="1" containsMixedTypes="1" containsNumber="1" minValue="0" maxValue="212843"/>
    </cacheField>
    <cacheField name="Display" numFmtId="167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265"/>
    <x v="0"/>
    <x v="0"/>
  </r>
  <r>
    <x v="1"/>
    <n v="39794.800000000003"/>
    <x v="0"/>
    <x v="0"/>
  </r>
  <r>
    <x v="2"/>
    <n v="30.86"/>
    <x v="0"/>
    <x v="0"/>
  </r>
  <r>
    <x v="3"/>
    <n v="0.53500000000000003"/>
    <x v="0"/>
    <x v="0"/>
  </r>
  <r>
    <x v="4"/>
    <n v="1.3"/>
    <x v="0"/>
    <x v="0"/>
  </r>
  <r>
    <x v="5"/>
    <n v="1"/>
    <x v="0"/>
    <x v="0"/>
  </r>
  <r>
    <x v="6"/>
    <n v="0.72"/>
    <x v="0"/>
    <x v="0"/>
  </r>
  <r>
    <x v="7"/>
    <n v="0.57999999999999996"/>
    <x v="0"/>
    <x v="0"/>
  </r>
  <r>
    <x v="8"/>
    <n v="1.6"/>
    <x v="0"/>
    <x v="0"/>
  </r>
  <r>
    <x v="9"/>
    <n v="0.25"/>
    <x v="0"/>
    <x v="0"/>
  </r>
  <r>
    <x v="10"/>
    <n v="0.71"/>
    <x v="0"/>
    <x v="0"/>
  </r>
  <r>
    <x v="11"/>
    <n v="494.5"/>
    <x v="0"/>
    <x v="0"/>
  </r>
  <r>
    <x v="12"/>
    <n v="230.2"/>
    <x v="0"/>
    <x v="0"/>
  </r>
  <r>
    <x v="0"/>
    <n v="258"/>
    <x v="1"/>
    <x v="0"/>
  </r>
  <r>
    <x v="1"/>
    <n v="43444.1"/>
    <x v="1"/>
    <x v="0"/>
  </r>
  <r>
    <x v="2"/>
    <n v="32.869999999999997"/>
    <x v="1"/>
    <x v="0"/>
  </r>
  <r>
    <x v="3"/>
    <n v="0.52200000000000002"/>
    <x v="1"/>
    <x v="0"/>
  </r>
  <r>
    <x v="4"/>
    <n v="1.29"/>
    <x v="1"/>
    <x v="0"/>
  </r>
  <r>
    <x v="5"/>
    <n v="1"/>
    <x v="1"/>
    <x v="0"/>
  </r>
  <r>
    <x v="6"/>
    <n v="0.7"/>
    <x v="1"/>
    <x v="0"/>
  </r>
  <r>
    <x v="7"/>
    <n v="0.59"/>
    <x v="1"/>
    <x v="0"/>
  </r>
  <r>
    <x v="8"/>
    <n v="1.59"/>
    <x v="1"/>
    <x v="0"/>
  </r>
  <r>
    <x v="9"/>
    <n v="0.28000000000000003"/>
    <x v="1"/>
    <x v="0"/>
  </r>
  <r>
    <x v="10"/>
    <n v="0.71"/>
    <x v="1"/>
    <x v="0"/>
  </r>
  <r>
    <x v="11"/>
    <n v="537.5"/>
    <x v="1"/>
    <x v="0"/>
  </r>
  <r>
    <x v="12"/>
    <n v="257"/>
    <x v="1"/>
    <x v="0"/>
  </r>
  <r>
    <x v="0"/>
    <n v="252"/>
    <x v="2"/>
    <x v="0"/>
  </r>
  <r>
    <x v="1"/>
    <n v="48189.8"/>
    <x v="2"/>
    <x v="0"/>
  </r>
  <r>
    <x v="2"/>
    <n v="34.99"/>
    <x v="2"/>
    <x v="0"/>
  </r>
  <r>
    <x v="3"/>
    <n v="0.55500000000000005"/>
    <x v="2"/>
    <x v="0"/>
  </r>
  <r>
    <x v="4"/>
    <n v="1.3"/>
    <x v="2"/>
    <x v="0"/>
  </r>
  <r>
    <x v="5"/>
    <n v="1"/>
    <x v="2"/>
    <x v="0"/>
  </r>
  <r>
    <x v="6"/>
    <n v="0.74"/>
    <x v="2"/>
    <x v="0"/>
  </r>
  <r>
    <x v="7"/>
    <n v="0.56000000000000005"/>
    <x v="2"/>
    <x v="0"/>
  </r>
  <r>
    <x v="8"/>
    <n v="1.59"/>
    <x v="2"/>
    <x v="0"/>
  </r>
  <r>
    <x v="9"/>
    <n v="0.23"/>
    <x v="2"/>
    <x v="0"/>
  </r>
  <r>
    <x v="10"/>
    <n v="0.69"/>
    <x v="2"/>
    <x v="0"/>
  </r>
  <r>
    <x v="11"/>
    <n v="600.79999999999995"/>
    <x v="2"/>
    <x v="0"/>
  </r>
  <r>
    <x v="12"/>
    <n v="267.3"/>
    <x v="2"/>
    <x v="0"/>
  </r>
  <r>
    <x v="0"/>
    <n v="236"/>
    <x v="3"/>
    <x v="0"/>
  </r>
  <r>
    <x v="1"/>
    <n v="41614.9"/>
    <x v="3"/>
    <x v="0"/>
  </r>
  <r>
    <x v="2"/>
    <n v="32.020000000000003"/>
    <x v="3"/>
    <x v="0"/>
  </r>
  <r>
    <x v="3"/>
    <n v="0.55200000000000005"/>
    <x v="3"/>
    <x v="0"/>
  </r>
  <r>
    <x v="4"/>
    <n v="1.3"/>
    <x v="3"/>
    <x v="0"/>
  </r>
  <r>
    <x v="5"/>
    <n v="1"/>
    <x v="3"/>
    <x v="0"/>
  </r>
  <r>
    <x v="6"/>
    <n v="0.75"/>
    <x v="3"/>
    <x v="0"/>
  </r>
  <r>
    <x v="7"/>
    <n v="0.55000000000000004"/>
    <x v="3"/>
    <x v="0"/>
  </r>
  <r>
    <x v="8"/>
    <n v="1.59"/>
    <x v="3"/>
    <x v="0"/>
  </r>
  <r>
    <x v="9"/>
    <n v="0.25"/>
    <x v="3"/>
    <x v="0"/>
  </r>
  <r>
    <x v="10"/>
    <n v="0.67"/>
    <x v="3"/>
    <x v="0"/>
  </r>
  <r>
    <x v="11"/>
    <n v="514.70000000000005"/>
    <x v="3"/>
    <x v="0"/>
  </r>
  <r>
    <x v="12"/>
    <n v="230.5"/>
    <x v="3"/>
    <x v="0"/>
  </r>
  <r>
    <x v="0"/>
    <n v="225"/>
    <x v="4"/>
    <x v="0"/>
  </r>
  <r>
    <x v="1"/>
    <n v="36703.4"/>
    <x v="4"/>
    <x v="0"/>
  </r>
  <r>
    <x v="2"/>
    <n v="31.62"/>
    <x v="4"/>
    <x v="0"/>
  </r>
  <r>
    <x v="3"/>
    <n v="0.55800000000000005"/>
    <x v="4"/>
    <x v="0"/>
  </r>
  <r>
    <x v="4"/>
    <n v="1.32"/>
    <x v="4"/>
    <x v="0"/>
  </r>
  <r>
    <x v="5"/>
    <n v="1"/>
    <x v="4"/>
    <x v="0"/>
  </r>
  <r>
    <x v="6"/>
    <n v="0.77"/>
    <x v="4"/>
    <x v="0"/>
  </r>
  <r>
    <x v="7"/>
    <n v="0.55000000000000004"/>
    <x v="4"/>
    <x v="0"/>
  </r>
  <r>
    <x v="8"/>
    <n v="1.61"/>
    <x v="4"/>
    <x v="0"/>
  </r>
  <r>
    <x v="9"/>
    <n v="0.25"/>
    <x v="4"/>
    <x v="0"/>
  </r>
  <r>
    <x v="10"/>
    <n v="0.67"/>
    <x v="4"/>
    <x v="0"/>
  </r>
  <r>
    <x v="11"/>
    <n v="456.4"/>
    <x v="4"/>
    <x v="0"/>
  </r>
  <r>
    <x v="12"/>
    <n v="201.5"/>
    <x v="4"/>
    <x v="0"/>
  </r>
  <r>
    <x v="0"/>
    <n v="203"/>
    <x v="5"/>
    <x v="0"/>
  </r>
  <r>
    <x v="1"/>
    <n v="30143.200000000001"/>
    <x v="5"/>
    <x v="0"/>
  </r>
  <r>
    <x v="2"/>
    <n v="32.1"/>
    <x v="5"/>
    <x v="0"/>
  </r>
  <r>
    <x v="3"/>
    <n v="0.57099999999999995"/>
    <x v="5"/>
    <x v="0"/>
  </r>
  <r>
    <x v="4"/>
    <n v="1.34"/>
    <x v="5"/>
    <x v="0"/>
  </r>
  <r>
    <x v="5"/>
    <n v="1"/>
    <x v="5"/>
    <x v="0"/>
  </r>
  <r>
    <x v="6"/>
    <n v="0.8"/>
    <x v="5"/>
    <x v="0"/>
  </r>
  <r>
    <x v="7"/>
    <n v="0.54"/>
    <x v="5"/>
    <x v="0"/>
  </r>
  <r>
    <x v="8"/>
    <n v="1.64"/>
    <x v="5"/>
    <x v="0"/>
  </r>
  <r>
    <x v="9"/>
    <n v="0.25"/>
    <x v="5"/>
    <x v="0"/>
  </r>
  <r>
    <x v="10"/>
    <n v="0.64"/>
    <x v="5"/>
    <x v="0"/>
  </r>
  <r>
    <x v="11"/>
    <n v="376.3"/>
    <x v="5"/>
    <x v="0"/>
  </r>
  <r>
    <x v="12"/>
    <n v="161.30000000000001"/>
    <x v="5"/>
    <x v="0"/>
  </r>
  <r>
    <x v="0"/>
    <n v="178"/>
    <x v="6"/>
    <x v="1"/>
  </r>
  <r>
    <x v="1"/>
    <n v="27792.799999999999"/>
    <x v="6"/>
    <x v="1"/>
  </r>
  <r>
    <x v="2"/>
    <n v="30.81"/>
    <x v="6"/>
    <x v="1"/>
  </r>
  <r>
    <x v="3"/>
    <n v="0.56899999999999995"/>
    <x v="6"/>
    <x v="1"/>
  </r>
  <r>
    <x v="4"/>
    <n v="1.35"/>
    <x v="6"/>
    <x v="1"/>
  </r>
  <r>
    <x v="5"/>
    <n v="1"/>
    <x v="6"/>
    <x v="1"/>
  </r>
  <r>
    <x v="6"/>
    <n v="0.77"/>
    <x v="6"/>
    <x v="1"/>
  </r>
  <r>
    <x v="7"/>
    <n v="0.54"/>
    <x v="6"/>
    <x v="1"/>
  </r>
  <r>
    <x v="8"/>
    <n v="1.67"/>
    <x v="6"/>
    <x v="1"/>
  </r>
  <r>
    <x v="9"/>
    <n v="0.26"/>
    <x v="6"/>
    <x v="1"/>
  </r>
  <r>
    <x v="10"/>
    <n v="0.64"/>
    <x v="6"/>
    <x v="1"/>
  </r>
  <r>
    <x v="11"/>
    <n v="344.4"/>
    <x v="6"/>
    <x v="1"/>
  </r>
  <r>
    <x v="12"/>
    <n v="148.30000000000001"/>
    <x v="6"/>
    <x v="1"/>
  </r>
  <r>
    <x v="0"/>
    <n v="151"/>
    <x v="7"/>
    <x v="1"/>
  </r>
  <r>
    <x v="1"/>
    <n v="23470.6"/>
    <x v="7"/>
    <x v="1"/>
  </r>
  <r>
    <x v="2"/>
    <n v="31.35"/>
    <x v="7"/>
    <x v="1"/>
  </r>
  <r>
    <x v="3"/>
    <n v="0.55600000000000005"/>
    <x v="7"/>
    <x v="1"/>
  </r>
  <r>
    <x v="4"/>
    <n v="1.34"/>
    <x v="7"/>
    <x v="1"/>
  </r>
  <r>
    <x v="5"/>
    <n v="1"/>
    <x v="7"/>
    <x v="1"/>
  </r>
  <r>
    <x v="6"/>
    <n v="0.76"/>
    <x v="7"/>
    <x v="1"/>
  </r>
  <r>
    <x v="7"/>
    <n v="0.57999999999999996"/>
    <x v="7"/>
    <x v="1"/>
  </r>
  <r>
    <x v="8"/>
    <n v="1.67"/>
    <x v="7"/>
    <x v="1"/>
  </r>
  <r>
    <x v="9"/>
    <n v="0.26"/>
    <x v="7"/>
    <x v="1"/>
  </r>
  <r>
    <x v="10"/>
    <n v="0.63"/>
    <x v="7"/>
    <x v="1"/>
  </r>
  <r>
    <x v="11"/>
    <n v="288.10000000000002"/>
    <x v="7"/>
    <x v="1"/>
  </r>
  <r>
    <x v="12"/>
    <n v="128"/>
    <x v="7"/>
    <x v="1"/>
  </r>
  <r>
    <x v="0"/>
    <n v="128"/>
    <x v="8"/>
    <x v="1"/>
  </r>
  <r>
    <x v="1"/>
    <n v="21451.4"/>
    <x v="8"/>
    <x v="1"/>
  </r>
  <r>
    <x v="2"/>
    <n v="32.299999999999997"/>
    <x v="8"/>
    <x v="1"/>
  </r>
  <r>
    <x v="3"/>
    <n v="0.54600000000000004"/>
    <x v="8"/>
    <x v="1"/>
  </r>
  <r>
    <x v="4"/>
    <n v="1.34"/>
    <x v="8"/>
    <x v="1"/>
  </r>
  <r>
    <x v="5"/>
    <n v="1"/>
    <x v="8"/>
    <x v="1"/>
  </r>
  <r>
    <x v="6"/>
    <n v="0.75"/>
    <x v="8"/>
    <x v="1"/>
  </r>
  <r>
    <x v="7"/>
    <n v="0.59"/>
    <x v="8"/>
    <x v="1"/>
  </r>
  <r>
    <x v="8"/>
    <n v="1.65"/>
    <x v="8"/>
    <x v="1"/>
  </r>
  <r>
    <x v="9"/>
    <n v="0.26"/>
    <x v="8"/>
    <x v="1"/>
  </r>
  <r>
    <x v="10"/>
    <n v="0.62"/>
    <x v="8"/>
    <x v="1"/>
  </r>
  <r>
    <x v="11"/>
    <n v="259.39999999999998"/>
    <x v="8"/>
    <x v="1"/>
  </r>
  <r>
    <x v="12"/>
    <n v="117.7"/>
    <x v="8"/>
    <x v="1"/>
  </r>
  <r>
    <x v="0"/>
    <n v="105"/>
    <x v="9"/>
    <x v="1"/>
  </r>
  <r>
    <x v="1"/>
    <n v="18616"/>
    <x v="9"/>
    <x v="1"/>
  </r>
  <r>
    <x v="2"/>
    <n v="31.73"/>
    <x v="9"/>
    <x v="1"/>
  </r>
  <r>
    <x v="3"/>
    <n v="0.53"/>
    <x v="9"/>
    <x v="1"/>
  </r>
  <r>
    <x v="4"/>
    <n v="1.32"/>
    <x v="9"/>
    <x v="1"/>
  </r>
  <r>
    <x v="5"/>
    <n v="1"/>
    <x v="9"/>
    <x v="1"/>
  </r>
  <r>
    <x v="6"/>
    <n v="0.71"/>
    <x v="9"/>
    <x v="1"/>
  </r>
  <r>
    <x v="7"/>
    <n v="0.61"/>
    <x v="9"/>
    <x v="1"/>
  </r>
  <r>
    <x v="8"/>
    <n v="1.64"/>
    <x v="9"/>
    <x v="1"/>
  </r>
  <r>
    <x v="9"/>
    <n v="0.28000000000000003"/>
    <x v="9"/>
    <x v="1"/>
  </r>
  <r>
    <x v="10"/>
    <n v="0.62"/>
    <x v="9"/>
    <x v="1"/>
  </r>
  <r>
    <x v="11"/>
    <n v="220.7"/>
    <x v="9"/>
    <x v="1"/>
  </r>
  <r>
    <x v="12"/>
    <n v="103.7"/>
    <x v="9"/>
    <x v="1"/>
  </r>
  <r>
    <x v="0"/>
    <n v="83"/>
    <x v="10"/>
    <x v="1"/>
  </r>
  <r>
    <x v="1"/>
    <n v="15680.3"/>
    <x v="10"/>
    <x v="1"/>
  </r>
  <r>
    <x v="2"/>
    <n v="34.14"/>
    <x v="10"/>
    <x v="1"/>
  </r>
  <r>
    <x v="3"/>
    <n v="0.52500000000000002"/>
    <x v="10"/>
    <x v="1"/>
  </r>
  <r>
    <x v="4"/>
    <n v="1.3"/>
    <x v="10"/>
    <x v="1"/>
  </r>
  <r>
    <x v="5"/>
    <n v="1"/>
    <x v="10"/>
    <x v="1"/>
  </r>
  <r>
    <x v="6"/>
    <n v="0.61"/>
    <x v="10"/>
    <x v="1"/>
  </r>
  <r>
    <x v="7"/>
    <n v="0.55000000000000004"/>
    <x v="10"/>
    <x v="1"/>
  </r>
  <r>
    <x v="8"/>
    <n v="1.65"/>
    <x v="10"/>
    <x v="1"/>
  </r>
  <r>
    <x v="9"/>
    <n v="0.26"/>
    <x v="10"/>
    <x v="1"/>
  </r>
  <r>
    <x v="10"/>
    <n v="0.62"/>
    <x v="10"/>
    <x v="1"/>
  </r>
  <r>
    <x v="11"/>
    <n v="183.1"/>
    <x v="10"/>
    <x v="1"/>
  </r>
  <r>
    <x v="12"/>
    <n v="87"/>
    <x v="10"/>
    <x v="1"/>
  </r>
  <r>
    <x v="0"/>
    <n v="62"/>
    <x v="11"/>
    <x v="1"/>
  </r>
  <r>
    <x v="1"/>
    <n v="10345.799999999999"/>
    <x v="11"/>
    <x v="1"/>
  </r>
  <r>
    <x v="2"/>
    <n v="30.87"/>
    <x v="11"/>
    <x v="1"/>
  </r>
  <r>
    <x v="3"/>
    <n v="0.53"/>
    <x v="11"/>
    <x v="1"/>
  </r>
  <r>
    <x v="4"/>
    <n v="1.25"/>
    <x v="11"/>
    <x v="1"/>
  </r>
  <r>
    <x v="5"/>
    <m/>
    <x v="11"/>
    <x v="1"/>
  </r>
  <r>
    <x v="6"/>
    <n v="0.66"/>
    <x v="11"/>
    <x v="1"/>
  </r>
  <r>
    <x v="7"/>
    <n v="0.59"/>
    <x v="11"/>
    <x v="1"/>
  </r>
  <r>
    <x v="8"/>
    <n v="1.65"/>
    <x v="11"/>
    <x v="1"/>
  </r>
  <r>
    <x v="9"/>
    <n v="0.25"/>
    <x v="11"/>
    <x v="1"/>
  </r>
  <r>
    <x v="10"/>
    <n v="0.71"/>
    <x v="11"/>
    <x v="1"/>
  </r>
  <r>
    <x v="11"/>
    <n v="129.4"/>
    <x v="11"/>
    <x v="1"/>
  </r>
  <r>
    <x v="12"/>
    <n v="60.7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1865"/>
    <x v="0"/>
    <x v="0"/>
  </r>
  <r>
    <x v="1"/>
    <n v="219503.8"/>
    <x v="0"/>
    <x v="0"/>
  </r>
  <r>
    <x v="2"/>
    <n v="33.103250880392444"/>
    <x v="0"/>
    <x v="0"/>
  </r>
  <r>
    <x v="3"/>
    <n v="0.47359714743451325"/>
    <x v="0"/>
    <x v="0"/>
  </r>
  <r>
    <x v="4"/>
    <n v="1.3"/>
    <x v="0"/>
    <x v="1"/>
  </r>
  <r>
    <x v="5"/>
    <n v="1"/>
    <x v="0"/>
    <x v="1"/>
  </r>
  <r>
    <x v="6"/>
    <n v="1.45"/>
    <x v="0"/>
    <x v="1"/>
  </r>
  <r>
    <x v="7"/>
    <n v="1.3972938426593584"/>
    <x v="0"/>
    <x v="0"/>
  </r>
  <r>
    <x v="8"/>
    <n v="0.68725181196507368"/>
    <x v="0"/>
    <x v="0"/>
  </r>
  <r>
    <x v="9"/>
    <n v="0.73555389316589959"/>
    <x v="0"/>
    <x v="0"/>
  </r>
  <r>
    <x v="10"/>
    <n v="1.7391797991484366"/>
    <x v="0"/>
    <x v="0"/>
  </r>
  <r>
    <x v="11"/>
    <n v="0.28274818803492618"/>
    <x v="0"/>
    <x v="0"/>
  </r>
  <r>
    <x v="12"/>
    <n v="0.89830208120082577"/>
    <x v="0"/>
    <x v="0"/>
  </r>
  <r>
    <x v="13"/>
    <n v="3106.57"/>
    <x v="0"/>
    <x v="0"/>
  </r>
  <r>
    <x v="14"/>
    <n v="1632.78"/>
    <x v="0"/>
    <x v="0"/>
  </r>
  <r>
    <x v="15"/>
    <n v="0.18129529912684386"/>
    <x v="0"/>
    <x v="1"/>
  </r>
  <r>
    <x v="16"/>
    <n v="0.81870470087315605"/>
    <x v="0"/>
    <x v="1"/>
  </r>
  <r>
    <x v="17"/>
    <n v="0.19455130297792639"/>
    <x v="0"/>
    <x v="1"/>
  </r>
  <r>
    <x v="0"/>
    <n v="1691"/>
    <x v="1"/>
    <x v="0"/>
  </r>
  <r>
    <x v="1"/>
    <n v="235419.1"/>
    <x v="1"/>
    <x v="0"/>
  </r>
  <r>
    <x v="2"/>
    <n v="34.859723273916991"/>
    <x v="1"/>
    <x v="0"/>
  </r>
  <r>
    <x v="3"/>
    <n v="0.47959606137553967"/>
    <x v="1"/>
    <x v="0"/>
  </r>
  <r>
    <x v="4"/>
    <n v="1.29"/>
    <x v="1"/>
    <x v="1"/>
  </r>
  <r>
    <x v="5"/>
    <n v="1"/>
    <x v="1"/>
    <x v="1"/>
  </r>
  <r>
    <x v="6"/>
    <n v="1.45"/>
    <x v="1"/>
    <x v="1"/>
  </r>
  <r>
    <x v="7"/>
    <n v="1.3964609781435715"/>
    <x v="1"/>
    <x v="0"/>
  </r>
  <r>
    <x v="8"/>
    <n v="0.68369079283674616"/>
    <x v="1"/>
    <x v="0"/>
  </r>
  <r>
    <x v="9"/>
    <n v="0.73678286446928576"/>
    <x v="1"/>
    <x v="0"/>
  </r>
  <r>
    <x v="10"/>
    <n v="1.7286282608876589"/>
    <x v="1"/>
    <x v="0"/>
  </r>
  <r>
    <x v="11"/>
    <n v="0.28000000000000003"/>
    <x v="1"/>
    <x v="0"/>
  </r>
  <r>
    <x v="12"/>
    <n v="0.88940127879579389"/>
    <x v="1"/>
    <x v="0"/>
  </r>
  <r>
    <x v="13"/>
    <n v="3312.65"/>
    <x v="1"/>
    <x v="0"/>
  </r>
  <r>
    <x v="14"/>
    <n v="1735.07"/>
    <x v="1"/>
    <x v="0"/>
  </r>
  <r>
    <x v="15"/>
    <n v="0.18453964183730123"/>
    <x v="1"/>
    <x v="1"/>
  </r>
  <r>
    <x v="16"/>
    <n v="0.8154603581626988"/>
    <x v="1"/>
    <x v="1"/>
  </r>
  <r>
    <x v="17"/>
    <n v="0.19605850116884962"/>
    <x v="1"/>
    <x v="1"/>
  </r>
  <r>
    <x v="0"/>
    <n v="1661"/>
    <x v="2"/>
    <x v="0"/>
  </r>
  <r>
    <x v="1"/>
    <n v="261032.8"/>
    <x v="2"/>
    <x v="0"/>
  </r>
  <r>
    <x v="2"/>
    <n v="37.597162000000004"/>
    <x v="2"/>
    <x v="0"/>
  </r>
  <r>
    <x v="3"/>
    <n v="0.48596300000000003"/>
    <x v="2"/>
    <x v="0"/>
  </r>
  <r>
    <x v="4"/>
    <n v="1.3"/>
    <x v="2"/>
    <x v="1"/>
  </r>
  <r>
    <x v="5"/>
    <n v="1"/>
    <x v="2"/>
    <x v="1"/>
  </r>
  <r>
    <x v="6"/>
    <n v="1.45"/>
    <x v="2"/>
    <x v="1"/>
  </r>
  <r>
    <x v="7"/>
    <n v="1.3977093704233419"/>
    <x v="2"/>
    <x v="0"/>
  </r>
  <r>
    <x v="8"/>
    <n v="0.69938999999999996"/>
    <x v="2"/>
    <x v="0"/>
  </r>
  <r>
    <x v="9"/>
    <n v="0.72244000000000008"/>
    <x v="2"/>
    <x v="0"/>
  </r>
  <r>
    <x v="10"/>
    <n v="1.7280740000000001"/>
    <x v="2"/>
    <x v="0"/>
  </r>
  <r>
    <x v="11"/>
    <n v="0.25436600000000004"/>
    <x v="2"/>
    <x v="0"/>
  </r>
  <r>
    <x v="12"/>
    <n v="0.86056200000000005"/>
    <x v="2"/>
    <x v="0"/>
  </r>
  <r>
    <x v="13"/>
    <n v="3687.1099999999997"/>
    <x v="2"/>
    <x v="0"/>
  </r>
  <r>
    <x v="14"/>
    <n v="1887.82"/>
    <x v="2"/>
    <x v="0"/>
  </r>
  <r>
    <x v="15"/>
    <n v="0.18779999999999999"/>
    <x v="2"/>
    <x v="1"/>
  </r>
  <r>
    <x v="16"/>
    <n v="0.81220000000000003"/>
    <x v="2"/>
    <x v="1"/>
  </r>
  <r>
    <x v="17"/>
    <n v="0.21123139969132732"/>
    <x v="2"/>
    <x v="1"/>
  </r>
  <r>
    <x v="0"/>
    <n v="1599"/>
    <x v="3"/>
    <x v="0"/>
  </r>
  <r>
    <x v="1"/>
    <n v="221574.9"/>
    <x v="3"/>
    <x v="0"/>
  </r>
  <r>
    <x v="2"/>
    <n v="33.628156000000004"/>
    <x v="3"/>
    <x v="0"/>
  </r>
  <r>
    <x v="3"/>
    <n v="0.4935216"/>
    <x v="3"/>
    <x v="0"/>
  </r>
  <r>
    <x v="4"/>
    <n v="1.3"/>
    <x v="3"/>
    <x v="1"/>
  </r>
  <r>
    <x v="5"/>
    <n v="1"/>
    <x v="3"/>
    <x v="1"/>
  </r>
  <r>
    <x v="6"/>
    <n v="1.45"/>
    <x v="3"/>
    <x v="1"/>
  </r>
  <r>
    <x v="7"/>
    <n v="1.3977093704233419"/>
    <x v="3"/>
    <x v="0"/>
  </r>
  <r>
    <x v="8"/>
    <n v="0.70938999999999997"/>
    <x v="3"/>
    <x v="0"/>
  </r>
  <r>
    <x v="9"/>
    <n v="0.71244000000000007"/>
    <x v="3"/>
    <x v="0"/>
  </r>
  <r>
    <x v="10"/>
    <n v="1.7361960000000001"/>
    <x v="3"/>
    <x v="0"/>
  </r>
  <r>
    <x v="11"/>
    <n v="0.27436600000000005"/>
    <x v="3"/>
    <x v="0"/>
  </r>
  <r>
    <x v="12"/>
    <n v="0.85680600000000007"/>
    <x v="3"/>
    <x v="0"/>
  </r>
  <r>
    <x v="13"/>
    <n v="3127.5699999999997"/>
    <x v="3"/>
    <x v="0"/>
  </r>
  <r>
    <x v="14"/>
    <n v="1595.92"/>
    <x v="3"/>
    <x v="0"/>
  </r>
  <r>
    <x v="15"/>
    <n v="0.18779999999999999"/>
    <x v="3"/>
    <x v="1"/>
  </r>
  <r>
    <x v="16"/>
    <n v="0.81220000000000003"/>
    <x v="3"/>
    <x v="1"/>
  </r>
  <r>
    <x v="17"/>
    <n v="0.21123139969132732"/>
    <x v="3"/>
    <x v="1"/>
  </r>
  <r>
    <x v="0"/>
    <n v="1468"/>
    <x v="4"/>
    <x v="0"/>
  </r>
  <r>
    <x v="1"/>
    <n v="195356.4"/>
    <x v="4"/>
    <x v="0"/>
  </r>
  <r>
    <x v="2"/>
    <n v="32.196590999999998"/>
    <x v="4"/>
    <x v="0"/>
  </r>
  <r>
    <x v="3"/>
    <n v="0.49465619999999999"/>
    <x v="4"/>
    <x v="0"/>
  </r>
  <r>
    <x v="4"/>
    <n v="1.32"/>
    <x v="4"/>
    <x v="1"/>
  </r>
  <r>
    <x v="5"/>
    <n v="1"/>
    <x v="4"/>
    <x v="1"/>
  </r>
  <r>
    <x v="6"/>
    <n v="1.44"/>
    <x v="4"/>
    <x v="1"/>
  </r>
  <r>
    <x v="7"/>
    <n v="1.392386641489002"/>
    <x v="4"/>
    <x v="0"/>
  </r>
  <r>
    <x v="8"/>
    <n v="0.71315300000000004"/>
    <x v="4"/>
    <x v="0"/>
  </r>
  <r>
    <x v="9"/>
    <n v="0.71242000000000005"/>
    <x v="4"/>
    <x v="0"/>
  </r>
  <r>
    <x v="10"/>
    <n v="1.748057"/>
    <x v="4"/>
    <x v="0"/>
  </r>
  <r>
    <x v="11"/>
    <n v="0.28248400000000001"/>
    <x v="4"/>
    <x v="0"/>
  </r>
  <r>
    <x v="12"/>
    <n v="0.84866200000000003"/>
    <x v="4"/>
    <x v="0"/>
  </r>
  <r>
    <x v="13"/>
    <n v="2748.76"/>
    <x v="4"/>
    <x v="0"/>
  </r>
  <r>
    <x v="14"/>
    <n v="1399.23"/>
    <x v="4"/>
    <x v="0"/>
  </r>
  <r>
    <x v="15"/>
    <n v="0.18790000000000001"/>
    <x v="5"/>
    <x v="1"/>
  </r>
  <r>
    <x v="16"/>
    <n v="0.81210000000000004"/>
    <x v="5"/>
    <x v="1"/>
  </r>
  <r>
    <x v="17"/>
    <n v="0.22977794472888438"/>
    <x v="5"/>
    <x v="1"/>
  </r>
  <r>
    <x v="0"/>
    <n v="1397"/>
    <x v="5"/>
    <x v="0"/>
  </r>
  <r>
    <x v="1"/>
    <n v="178675.20000000001"/>
    <x v="5"/>
    <x v="0"/>
  </r>
  <r>
    <x v="2"/>
    <n v="32.582154000000003"/>
    <x v="5"/>
    <x v="0"/>
  </r>
  <r>
    <x v="3"/>
    <n v="0.50366469999999997"/>
    <x v="5"/>
    <x v="0"/>
  </r>
  <r>
    <x v="4"/>
    <n v="1.34"/>
    <x v="5"/>
    <x v="1"/>
  </r>
  <r>
    <x v="5"/>
    <n v="1"/>
    <x v="5"/>
    <x v="1"/>
  </r>
  <r>
    <x v="6"/>
    <n v="1.44"/>
    <x v="5"/>
    <x v="1"/>
  </r>
  <r>
    <x v="7"/>
    <n v="1.4045926214126498"/>
    <x v="5"/>
    <x v="0"/>
  </r>
  <r>
    <x v="8"/>
    <n v="0.72518300000000002"/>
    <x v="5"/>
    <x v="0"/>
  </r>
  <r>
    <x v="9"/>
    <n v="0.69794699999999998"/>
    <x v="5"/>
    <x v="0"/>
  </r>
  <r>
    <x v="10"/>
    <n v="1.7563820000000001"/>
    <x v="5"/>
    <x v="0"/>
  </r>
  <r>
    <x v="11"/>
    <n v="0.27493900000000004"/>
    <x v="5"/>
    <x v="0"/>
  </r>
  <r>
    <x v="12"/>
    <n v="0.83119900000000002"/>
    <x v="5"/>
    <x v="0"/>
  </r>
  <r>
    <x v="13"/>
    <n v="2511.9900000000002"/>
    <x v="5"/>
    <x v="0"/>
  </r>
  <r>
    <x v="14"/>
    <n v="1250.33"/>
    <x v="5"/>
    <x v="0"/>
  </r>
  <r>
    <x v="15"/>
    <n v="0.16869999999999999"/>
    <x v="5"/>
    <x v="1"/>
  </r>
  <r>
    <x v="16"/>
    <n v="0.83130000000000004"/>
    <x v="5"/>
    <x v="1"/>
  </r>
  <r>
    <x v="17"/>
    <n v="0.27681499999999998"/>
    <x v="5"/>
    <x v="1"/>
  </r>
  <r>
    <x v="0"/>
    <n v="1350"/>
    <x v="6"/>
    <x v="1"/>
  </r>
  <r>
    <x v="1"/>
    <n v="172338.8"/>
    <x v="6"/>
    <x v="1"/>
  </r>
  <r>
    <x v="2"/>
    <n v="32.051276000000001"/>
    <x v="6"/>
    <x v="1"/>
  </r>
  <r>
    <x v="3"/>
    <n v="0.50274269999999999"/>
    <x v="6"/>
    <x v="1"/>
  </r>
  <r>
    <x v="4"/>
    <n v="1.35"/>
    <x v="6"/>
    <x v="1"/>
  </r>
  <r>
    <x v="5"/>
    <n v="1"/>
    <x v="6"/>
    <x v="1"/>
  </r>
  <r>
    <x v="6"/>
    <n v="1.45"/>
    <x v="6"/>
    <x v="1"/>
  </r>
  <r>
    <x v="7"/>
    <n v="1.4207709600164589"/>
    <x v="6"/>
    <x v="1"/>
  </r>
  <r>
    <x v="8"/>
    <n v="0.72806499999999996"/>
    <x v="6"/>
    <x v="1"/>
  </r>
  <r>
    <x v="9"/>
    <n v="0.699353"/>
    <x v="6"/>
    <x v="1"/>
  </r>
  <r>
    <x v="10"/>
    <n v="1.75387"/>
    <x v="6"/>
    <x v="1"/>
  </r>
  <r>
    <x v="11"/>
    <n v="0.285161"/>
    <x v="6"/>
    <x v="1"/>
  </r>
  <r>
    <x v="12"/>
    <n v="0.84128800000000004"/>
    <x v="6"/>
    <x v="1"/>
  </r>
  <r>
    <x v="13"/>
    <n v="2648.21"/>
    <x v="6"/>
    <x v="1"/>
  </r>
  <r>
    <x v="14"/>
    <n v="1214.08"/>
    <x v="6"/>
    <x v="1"/>
  </r>
  <r>
    <x v="15"/>
    <n v="0.1613"/>
    <x v="6"/>
    <x v="1"/>
  </r>
  <r>
    <x v="16"/>
    <n v="0.8387"/>
    <x v="6"/>
    <x v="1"/>
  </r>
  <r>
    <x v="17"/>
    <n v="0.32048506575958646"/>
    <x v="6"/>
    <x v="1"/>
  </r>
  <r>
    <x v="0"/>
    <n v="1175"/>
    <x v="7"/>
    <x v="1"/>
  </r>
  <r>
    <x v="1"/>
    <n v="147242.6"/>
    <x v="7"/>
    <x v="1"/>
  </r>
  <r>
    <x v="2"/>
    <n v="31.585367999999999"/>
    <x v="7"/>
    <x v="1"/>
  </r>
  <r>
    <x v="3"/>
    <n v="0.49211440000000001"/>
    <x v="7"/>
    <x v="1"/>
  </r>
  <r>
    <x v="4"/>
    <n v="1.34"/>
    <x v="7"/>
    <x v="1"/>
  </r>
  <r>
    <x v="5"/>
    <n v="1"/>
    <x v="7"/>
    <x v="1"/>
  </r>
  <r>
    <x v="6"/>
    <n v="1.43"/>
    <x v="7"/>
    <x v="1"/>
  </r>
  <r>
    <x v="7"/>
    <n v="1.407039646493"/>
    <x v="7"/>
    <x v="1"/>
  </r>
  <r>
    <x v="8"/>
    <n v="0.70956399999999997"/>
    <x v="7"/>
    <x v="1"/>
  </r>
  <r>
    <x v="9"/>
    <n v="0.69768399999999997"/>
    <x v="7"/>
    <x v="1"/>
  </r>
  <r>
    <x v="10"/>
    <n v="1.7624660000000001"/>
    <x v="7"/>
    <x v="1"/>
  </r>
  <r>
    <x v="11"/>
    <n v="0.28521799999999997"/>
    <x v="7"/>
    <x v="1"/>
  </r>
  <r>
    <x v="12"/>
    <n v="0.82333800000000001"/>
    <x v="7"/>
    <x v="1"/>
  </r>
  <r>
    <x v="13"/>
    <n v="2057.66"/>
    <x v="7"/>
    <x v="1"/>
  </r>
  <r>
    <x v="14"/>
    <n v="1044.4000000000001"/>
    <x v="7"/>
    <x v="1"/>
  </r>
  <r>
    <x v="15"/>
    <n v="0.15939999999999999"/>
    <x v="7"/>
    <x v="1"/>
  </r>
  <r>
    <x v="16"/>
    <n v="0.84060000000000001"/>
    <x v="7"/>
    <x v="1"/>
  </r>
  <r>
    <x v="17"/>
    <n v="0.34018276433514766"/>
    <x v="7"/>
    <x v="1"/>
  </r>
  <r>
    <x v="0"/>
    <n v="1064"/>
    <x v="8"/>
    <x v="1"/>
  </r>
  <r>
    <x v="1"/>
    <n v="132392.4"/>
    <x v="8"/>
    <x v="1"/>
  </r>
  <r>
    <x v="2"/>
    <n v="31.755299999999998"/>
    <x v="8"/>
    <x v="1"/>
  </r>
  <r>
    <x v="3"/>
    <n v="0.49069200000000002"/>
    <x v="8"/>
    <x v="1"/>
  </r>
  <r>
    <x v="4"/>
    <n v="1.34"/>
    <x v="8"/>
    <x v="1"/>
  </r>
  <r>
    <x v="5"/>
    <n v="1"/>
    <x v="8"/>
    <x v="1"/>
  </r>
  <r>
    <x v="6"/>
    <n v="1.44"/>
    <x v="8"/>
    <x v="1"/>
  </r>
  <r>
    <x v="7"/>
    <n v="1.4199872753293608"/>
    <x v="8"/>
    <x v="1"/>
  </r>
  <r>
    <x v="8"/>
    <n v="0.70809999999999995"/>
    <x v="8"/>
    <x v="1"/>
  </r>
  <r>
    <x v="9"/>
    <n v="0.7157"/>
    <x v="8"/>
    <x v="1"/>
  </r>
  <r>
    <x v="10"/>
    <n v="1.7589399999999999"/>
    <x v="8"/>
    <x v="1"/>
  </r>
  <r>
    <x v="11"/>
    <n v="0.28514"/>
    <x v="8"/>
    <x v="1"/>
  </r>
  <r>
    <x v="12"/>
    <n v="0.83787999999999996"/>
    <x v="8"/>
    <x v="1"/>
  </r>
  <r>
    <x v="13"/>
    <n v="2016.17"/>
    <x v="8"/>
    <x v="1"/>
  </r>
  <r>
    <x v="14"/>
    <n v="944.35"/>
    <x v="8"/>
    <x v="1"/>
  </r>
  <r>
    <x v="15"/>
    <n v="0.16200000000000001"/>
    <x v="8"/>
    <x v="1"/>
  </r>
  <r>
    <x v="16"/>
    <n v="0.83799999999999997"/>
    <x v="8"/>
    <x v="1"/>
  </r>
  <r>
    <x v="17"/>
    <n v="0.3776427953781834"/>
    <x v="8"/>
    <x v="1"/>
  </r>
  <r>
    <x v="0"/>
    <n v="1060"/>
    <x v="9"/>
    <x v="1"/>
  </r>
  <r>
    <x v="1"/>
    <n v="121734"/>
    <x v="9"/>
    <x v="1"/>
  </r>
  <r>
    <x v="2"/>
    <n v="30.798189999999998"/>
    <x v="9"/>
    <x v="1"/>
  </r>
  <r>
    <x v="3"/>
    <n v="0.47917399999999999"/>
    <x v="9"/>
    <x v="1"/>
  </r>
  <r>
    <x v="4"/>
    <n v="1.32"/>
    <x v="9"/>
    <x v="1"/>
  </r>
  <r>
    <x v="5"/>
    <n v="1"/>
    <x v="9"/>
    <x v="1"/>
  </r>
  <r>
    <x v="6"/>
    <n v="1.43"/>
    <x v="9"/>
    <x v="1"/>
  </r>
  <r>
    <x v="7"/>
    <n v="1.4190880553871792"/>
    <x v="9"/>
    <x v="1"/>
  </r>
  <r>
    <x v="8"/>
    <n v="0.68458699999999995"/>
    <x v="9"/>
    <x v="1"/>
  </r>
  <r>
    <x v="9"/>
    <n v="0.72012299999999996"/>
    <x v="9"/>
    <x v="1"/>
  </r>
  <r>
    <x v="10"/>
    <n v="1.7670649999999999"/>
    <x v="9"/>
    <x v="1"/>
  </r>
  <r>
    <x v="11"/>
    <n v="0.29694199999999998"/>
    <x v="9"/>
    <x v="1"/>
  </r>
  <r>
    <x v="12"/>
    <n v="0.84871700000000005"/>
    <x v="9"/>
    <x v="1"/>
  </r>
  <r>
    <x v="13"/>
    <n v="1693.05"/>
    <x v="9"/>
    <x v="1"/>
  </r>
  <r>
    <x v="14"/>
    <n v="889.73"/>
    <x v="9"/>
    <x v="1"/>
  </r>
  <r>
    <x v="15"/>
    <n v="0.15290000000000001"/>
    <x v="9"/>
    <x v="1"/>
  </r>
  <r>
    <x v="16"/>
    <n v="0.84709999999999996"/>
    <x v="9"/>
    <x v="1"/>
  </r>
  <r>
    <x v="17"/>
    <n v="0.42336613831855624"/>
    <x v="9"/>
    <x v="1"/>
  </r>
  <r>
    <x v="0"/>
    <n v="966"/>
    <x v="10"/>
    <x v="1"/>
  </r>
  <r>
    <x v="1"/>
    <n v="104849.3"/>
    <x v="10"/>
    <x v="1"/>
  </r>
  <r>
    <x v="2"/>
    <n v="31.589100000000002"/>
    <x v="10"/>
    <x v="1"/>
  </r>
  <r>
    <x v="3"/>
    <n v="0.47823350000000003"/>
    <x v="10"/>
    <x v="1"/>
  </r>
  <r>
    <x v="4"/>
    <n v="1.3"/>
    <x v="10"/>
    <x v="1"/>
  </r>
  <r>
    <x v="5"/>
    <n v="1"/>
    <x v="10"/>
    <x v="1"/>
  </r>
  <r>
    <x v="6"/>
    <n v="1.44"/>
    <x v="10"/>
    <x v="1"/>
  </r>
  <r>
    <x v="7"/>
    <n v="1.4315375571764017"/>
    <x v="10"/>
    <x v="1"/>
  </r>
  <r>
    <x v="8"/>
    <n v="0.66952100000000003"/>
    <x v="10"/>
    <x v="1"/>
  </r>
  <r>
    <x v="9"/>
    <n v="0.72006000000000014"/>
    <x v="10"/>
    <x v="1"/>
  </r>
  <r>
    <x v="10"/>
    <n v="1.7605390000000001"/>
    <x v="10"/>
    <x v="1"/>
  </r>
  <r>
    <x v="11"/>
    <n v="0.28550900000000001"/>
    <x v="10"/>
    <x v="1"/>
  </r>
  <r>
    <x v="12"/>
    <n v="0.87509000000000003"/>
    <x v="10"/>
    <x v="1"/>
  </r>
  <r>
    <x v="13"/>
    <n v="1467.9199999999998"/>
    <x v="10"/>
    <x v="1"/>
  </r>
  <r>
    <x v="14"/>
    <n v="770.49"/>
    <x v="10"/>
    <x v="1"/>
  </r>
  <r>
    <x v="15"/>
    <n v="0.1497"/>
    <x v="10"/>
    <x v="1"/>
  </r>
  <r>
    <x v="16"/>
    <n v="0.85030000000000006"/>
    <x v="10"/>
    <x v="1"/>
  </r>
  <r>
    <x v="17"/>
    <n v="0.45098277763258543"/>
    <x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x v="0"/>
    <x v="0"/>
    <x v="0"/>
    <n v="0.09"/>
    <x v="0"/>
  </r>
  <r>
    <x v="1"/>
    <x v="0"/>
    <x v="0"/>
    <x v="1"/>
    <m/>
    <x v="0"/>
  </r>
  <r>
    <x v="2"/>
    <x v="0"/>
    <x v="0"/>
    <x v="1"/>
    <m/>
    <x v="0"/>
  </r>
  <r>
    <x v="3"/>
    <x v="0"/>
    <x v="0"/>
    <x v="0"/>
    <n v="1.66"/>
    <x v="0"/>
  </r>
  <r>
    <x v="4"/>
    <x v="0"/>
    <x v="0"/>
    <x v="1"/>
    <n v="1.46"/>
    <x v="0"/>
  </r>
  <r>
    <x v="5"/>
    <x v="0"/>
    <x v="0"/>
    <x v="0"/>
    <n v="0.55000000000000004"/>
    <x v="0"/>
  </r>
  <r>
    <x v="6"/>
    <x v="0"/>
    <x v="0"/>
    <x v="0"/>
    <n v="0.14000000000000001"/>
    <x v="0"/>
  </r>
  <r>
    <x v="7"/>
    <x v="0"/>
    <x v="0"/>
    <x v="0"/>
    <n v="0.04"/>
    <x v="0"/>
  </r>
  <r>
    <x v="8"/>
    <x v="0"/>
    <x v="0"/>
    <x v="0"/>
    <n v="0.24"/>
    <x v="0"/>
  </r>
  <r>
    <x v="9"/>
    <x v="0"/>
    <x v="0"/>
    <x v="0"/>
    <n v="0.05"/>
    <x v="0"/>
  </r>
  <r>
    <x v="10"/>
    <x v="0"/>
    <x v="0"/>
    <x v="2"/>
    <n v="1.77"/>
    <x v="0"/>
  </r>
  <r>
    <x v="11"/>
    <x v="0"/>
    <x v="0"/>
    <x v="2"/>
    <n v="0.94"/>
    <x v="0"/>
  </r>
  <r>
    <x v="12"/>
    <x v="0"/>
    <x v="0"/>
    <x v="2"/>
    <n v="0.28999999999999998"/>
    <x v="0"/>
  </r>
  <r>
    <x v="13"/>
    <x v="0"/>
    <x v="0"/>
    <x v="2"/>
    <n v="0.77"/>
    <x v="0"/>
  </r>
  <r>
    <x v="14"/>
    <x v="0"/>
    <x v="0"/>
    <x v="1"/>
    <s v="-"/>
    <x v="0"/>
  </r>
  <r>
    <x v="15"/>
    <x v="0"/>
    <x v="0"/>
    <x v="2"/>
    <n v="0.46"/>
    <x v="0"/>
  </r>
  <r>
    <x v="16"/>
    <x v="0"/>
    <x v="0"/>
    <x v="2"/>
    <n v="33.6"/>
    <x v="0"/>
  </r>
  <r>
    <x v="17"/>
    <x v="0"/>
    <x v="0"/>
    <x v="2"/>
    <n v="179709"/>
    <x v="0"/>
  </r>
  <r>
    <x v="18"/>
    <x v="0"/>
    <x v="0"/>
    <x v="2"/>
    <n v="1600"/>
    <x v="0"/>
  </r>
  <r>
    <x v="19"/>
    <x v="0"/>
    <x v="0"/>
    <x v="2"/>
    <n v="1.45"/>
    <x v="0"/>
  </r>
  <r>
    <x v="20"/>
    <x v="0"/>
    <x v="0"/>
    <x v="2"/>
    <n v="2612.0700000000002"/>
    <x v="0"/>
  </r>
  <r>
    <x v="21"/>
    <x v="0"/>
    <x v="0"/>
    <x v="2"/>
    <n v="1402.58"/>
    <x v="0"/>
  </r>
  <r>
    <x v="22"/>
    <x v="0"/>
    <x v="0"/>
    <x v="2"/>
    <n v="0.68"/>
    <x v="0"/>
  </r>
  <r>
    <x v="0"/>
    <x v="0"/>
    <x v="1"/>
    <x v="0"/>
    <n v="0.08"/>
    <x v="0"/>
  </r>
  <r>
    <x v="1"/>
    <x v="0"/>
    <x v="1"/>
    <x v="1"/>
    <m/>
    <x v="0"/>
  </r>
  <r>
    <x v="2"/>
    <x v="0"/>
    <x v="1"/>
    <x v="1"/>
    <m/>
    <x v="0"/>
  </r>
  <r>
    <x v="3"/>
    <x v="0"/>
    <x v="1"/>
    <x v="0"/>
    <n v="1.66"/>
    <x v="0"/>
  </r>
  <r>
    <x v="4"/>
    <x v="0"/>
    <x v="1"/>
    <x v="1"/>
    <n v="1.48"/>
    <x v="0"/>
  </r>
  <r>
    <x v="5"/>
    <x v="0"/>
    <x v="1"/>
    <x v="0"/>
    <n v="0.55000000000000004"/>
    <x v="0"/>
  </r>
  <r>
    <x v="6"/>
    <x v="0"/>
    <x v="1"/>
    <x v="0"/>
    <n v="0.13"/>
    <x v="0"/>
  </r>
  <r>
    <x v="7"/>
    <x v="0"/>
    <x v="1"/>
    <x v="0"/>
    <n v="0.04"/>
    <x v="0"/>
  </r>
  <r>
    <x v="8"/>
    <x v="0"/>
    <x v="1"/>
    <x v="0"/>
    <n v="0.24"/>
    <x v="0"/>
  </r>
  <r>
    <x v="9"/>
    <x v="0"/>
    <x v="1"/>
    <x v="0"/>
    <n v="0.04"/>
    <x v="0"/>
  </r>
  <r>
    <x v="10"/>
    <x v="0"/>
    <x v="1"/>
    <x v="2"/>
    <n v="1.76"/>
    <x v="0"/>
  </r>
  <r>
    <x v="11"/>
    <x v="0"/>
    <x v="1"/>
    <x v="2"/>
    <n v="0.93"/>
    <x v="0"/>
  </r>
  <r>
    <x v="12"/>
    <x v="0"/>
    <x v="1"/>
    <x v="2"/>
    <n v="0.28000000000000003"/>
    <x v="0"/>
  </r>
  <r>
    <x v="13"/>
    <x v="0"/>
    <x v="1"/>
    <x v="2"/>
    <n v="0.77"/>
    <x v="0"/>
  </r>
  <r>
    <x v="14"/>
    <x v="0"/>
    <x v="1"/>
    <x v="1"/>
    <s v="-"/>
    <x v="0"/>
  </r>
  <r>
    <x v="15"/>
    <x v="0"/>
    <x v="1"/>
    <x v="2"/>
    <n v="0.47"/>
    <x v="0"/>
  </r>
  <r>
    <x v="16"/>
    <x v="0"/>
    <x v="1"/>
    <x v="2"/>
    <n v="35.31"/>
    <x v="0"/>
  </r>
  <r>
    <x v="17"/>
    <x v="0"/>
    <x v="1"/>
    <x v="2"/>
    <n v="191975"/>
    <x v="0"/>
  </r>
  <r>
    <x v="18"/>
    <x v="0"/>
    <x v="1"/>
    <x v="2"/>
    <n v="1433"/>
    <x v="0"/>
  </r>
  <r>
    <x v="19"/>
    <x v="0"/>
    <x v="1"/>
    <x v="2"/>
    <n v="1.45"/>
    <x v="0"/>
  </r>
  <r>
    <x v="20"/>
    <x v="0"/>
    <x v="1"/>
    <x v="2"/>
    <n v="2775.15"/>
    <x v="0"/>
  </r>
  <r>
    <x v="21"/>
    <x v="0"/>
    <x v="1"/>
    <x v="2"/>
    <n v="1478.07"/>
    <x v="0"/>
  </r>
  <r>
    <x v="22"/>
    <x v="0"/>
    <x v="1"/>
    <x v="2"/>
    <n v="0.68"/>
    <x v="0"/>
  </r>
  <r>
    <x v="0"/>
    <x v="0"/>
    <x v="2"/>
    <x v="0"/>
    <n v="0.08"/>
    <x v="0"/>
  </r>
  <r>
    <x v="1"/>
    <x v="0"/>
    <x v="2"/>
    <x v="1"/>
    <m/>
    <x v="0"/>
  </r>
  <r>
    <x v="2"/>
    <x v="0"/>
    <x v="2"/>
    <x v="1"/>
    <m/>
    <x v="0"/>
  </r>
  <r>
    <x v="3"/>
    <x v="0"/>
    <x v="2"/>
    <x v="0"/>
    <n v="1.66"/>
    <x v="0"/>
  </r>
  <r>
    <x v="4"/>
    <x v="0"/>
    <x v="2"/>
    <x v="1"/>
    <n v="1.57"/>
    <x v="0"/>
  </r>
  <r>
    <x v="5"/>
    <x v="0"/>
    <x v="2"/>
    <x v="0"/>
    <n v="0.55000000000000004"/>
    <x v="0"/>
  </r>
  <r>
    <x v="6"/>
    <x v="0"/>
    <x v="2"/>
    <x v="0"/>
    <n v="0.12"/>
    <x v="0"/>
  </r>
  <r>
    <x v="7"/>
    <x v="0"/>
    <x v="2"/>
    <x v="0"/>
    <n v="0.04"/>
    <x v="0"/>
  </r>
  <r>
    <x v="8"/>
    <x v="0"/>
    <x v="2"/>
    <x v="0"/>
    <n v="0.22"/>
    <x v="0"/>
  </r>
  <r>
    <x v="9"/>
    <x v="0"/>
    <x v="2"/>
    <x v="0"/>
    <n v="0.04"/>
    <x v="0"/>
  </r>
  <r>
    <x v="10"/>
    <x v="0"/>
    <x v="2"/>
    <x v="2"/>
    <n v="1.76"/>
    <x v="0"/>
  </r>
  <r>
    <x v="11"/>
    <x v="0"/>
    <x v="2"/>
    <x v="2"/>
    <n v="0.9"/>
    <x v="0"/>
  </r>
  <r>
    <x v="12"/>
    <x v="0"/>
    <x v="2"/>
    <x v="2"/>
    <n v="0.26"/>
    <x v="0"/>
  </r>
  <r>
    <x v="13"/>
    <x v="0"/>
    <x v="2"/>
    <x v="2"/>
    <n v="0.76"/>
    <x v="0"/>
  </r>
  <r>
    <x v="14"/>
    <x v="0"/>
    <x v="2"/>
    <x v="1"/>
    <s v="-"/>
    <x v="0"/>
  </r>
  <r>
    <x v="15"/>
    <x v="0"/>
    <x v="2"/>
    <x v="2"/>
    <n v="0.47"/>
    <x v="0"/>
  </r>
  <r>
    <x v="16"/>
    <x v="0"/>
    <x v="2"/>
    <x v="2"/>
    <n v="38.200000000000003"/>
    <x v="0"/>
  </r>
  <r>
    <x v="17"/>
    <x v="0"/>
    <x v="2"/>
    <x v="2"/>
    <n v="212843"/>
    <x v="0"/>
  </r>
  <r>
    <x v="18"/>
    <x v="0"/>
    <x v="2"/>
    <x v="2"/>
    <n v="1409"/>
    <x v="0"/>
  </r>
  <r>
    <x v="19"/>
    <x v="0"/>
    <x v="2"/>
    <x v="2"/>
    <n v="1.45"/>
    <x v="0"/>
  </r>
  <r>
    <x v="20"/>
    <x v="0"/>
    <x v="2"/>
    <x v="2"/>
    <n v="3086.31"/>
    <x v="0"/>
  </r>
  <r>
    <x v="21"/>
    <x v="0"/>
    <x v="2"/>
    <x v="2"/>
    <n v="1620.52"/>
    <x v="0"/>
  </r>
  <r>
    <x v="22"/>
    <x v="0"/>
    <x v="2"/>
    <x v="2"/>
    <n v="0.69"/>
    <x v="0"/>
  </r>
  <r>
    <x v="0"/>
    <x v="0"/>
    <x v="3"/>
    <x v="0"/>
    <n v="0.09"/>
    <x v="0"/>
  </r>
  <r>
    <x v="1"/>
    <x v="0"/>
    <x v="3"/>
    <x v="1"/>
    <m/>
    <x v="0"/>
  </r>
  <r>
    <x v="2"/>
    <x v="0"/>
    <x v="3"/>
    <x v="1"/>
    <m/>
    <x v="0"/>
  </r>
  <r>
    <x v="3"/>
    <x v="0"/>
    <x v="3"/>
    <x v="0"/>
    <n v="1.66"/>
    <x v="0"/>
  </r>
  <r>
    <x v="4"/>
    <x v="0"/>
    <x v="3"/>
    <x v="1"/>
    <n v="1.46"/>
    <x v="0"/>
  </r>
  <r>
    <x v="5"/>
    <x v="0"/>
    <x v="3"/>
    <x v="0"/>
    <n v="0.53"/>
    <x v="0"/>
  </r>
  <r>
    <x v="6"/>
    <x v="0"/>
    <x v="3"/>
    <x v="0"/>
    <n v="0.13"/>
    <x v="0"/>
  </r>
  <r>
    <x v="7"/>
    <x v="0"/>
    <x v="3"/>
    <x v="0"/>
    <n v="0.04"/>
    <x v="0"/>
  </r>
  <r>
    <x v="8"/>
    <x v="0"/>
    <x v="3"/>
    <x v="0"/>
    <n v="0.22"/>
    <x v="0"/>
  </r>
  <r>
    <x v="9"/>
    <x v="0"/>
    <x v="3"/>
    <x v="0"/>
    <n v="0.05"/>
    <x v="0"/>
  </r>
  <r>
    <x v="10"/>
    <x v="0"/>
    <x v="3"/>
    <x v="2"/>
    <n v="1.77"/>
    <x v="0"/>
  </r>
  <r>
    <x v="11"/>
    <x v="0"/>
    <x v="3"/>
    <x v="2"/>
    <n v="0.9"/>
    <x v="0"/>
  </r>
  <r>
    <x v="12"/>
    <x v="0"/>
    <x v="3"/>
    <x v="2"/>
    <n v="0.28000000000000003"/>
    <x v="0"/>
  </r>
  <r>
    <x v="13"/>
    <x v="0"/>
    <x v="3"/>
    <x v="2"/>
    <n v="0.75"/>
    <x v="0"/>
  </r>
  <r>
    <x v="14"/>
    <x v="0"/>
    <x v="3"/>
    <x v="1"/>
    <s v="-"/>
    <x v="0"/>
  </r>
  <r>
    <x v="15"/>
    <x v="0"/>
    <x v="3"/>
    <x v="2"/>
    <n v="0.48"/>
    <x v="0"/>
  </r>
  <r>
    <x v="16"/>
    <x v="0"/>
    <x v="3"/>
    <x v="2"/>
    <n v="34"/>
    <x v="0"/>
  </r>
  <r>
    <x v="17"/>
    <x v="0"/>
    <x v="3"/>
    <x v="2"/>
    <n v="179960"/>
    <x v="0"/>
  </r>
  <r>
    <x v="18"/>
    <x v="0"/>
    <x v="3"/>
    <x v="2"/>
    <n v="1363"/>
    <x v="0"/>
  </r>
  <r>
    <x v="19"/>
    <x v="0"/>
    <x v="3"/>
    <x v="2"/>
    <n v="1.45"/>
    <x v="0"/>
  </r>
  <r>
    <x v="20"/>
    <x v="0"/>
    <x v="3"/>
    <x v="2"/>
    <n v="2612.87"/>
    <x v="0"/>
  </r>
  <r>
    <x v="21"/>
    <x v="0"/>
    <x v="3"/>
    <x v="2"/>
    <n v="1365.42"/>
    <x v="0"/>
  </r>
  <r>
    <x v="22"/>
    <x v="0"/>
    <x v="3"/>
    <x v="2"/>
    <n v="0.7"/>
    <x v="0"/>
  </r>
  <r>
    <x v="0"/>
    <x v="0"/>
    <x v="4"/>
    <x v="0"/>
    <n v="0.09"/>
    <x v="0"/>
  </r>
  <r>
    <x v="1"/>
    <x v="0"/>
    <x v="4"/>
    <x v="1"/>
    <m/>
    <x v="0"/>
  </r>
  <r>
    <x v="2"/>
    <x v="0"/>
    <x v="4"/>
    <x v="1"/>
    <m/>
    <x v="0"/>
  </r>
  <r>
    <x v="3"/>
    <x v="0"/>
    <x v="4"/>
    <x v="0"/>
    <n v="1.66"/>
    <x v="0"/>
  </r>
  <r>
    <x v="4"/>
    <x v="0"/>
    <x v="4"/>
    <x v="1"/>
    <n v="1.47"/>
    <x v="0"/>
  </r>
  <r>
    <x v="5"/>
    <x v="0"/>
    <x v="4"/>
    <x v="0"/>
    <n v="0.52"/>
    <x v="0"/>
  </r>
  <r>
    <x v="6"/>
    <x v="0"/>
    <x v="4"/>
    <x v="0"/>
    <n v="0.13"/>
    <x v="0"/>
  </r>
  <r>
    <x v="7"/>
    <x v="0"/>
    <x v="4"/>
    <x v="0"/>
    <n v="0.04"/>
    <x v="0"/>
  </r>
  <r>
    <x v="8"/>
    <x v="0"/>
    <x v="4"/>
    <x v="0"/>
    <n v="0.21"/>
    <x v="0"/>
  </r>
  <r>
    <x v="9"/>
    <x v="0"/>
    <x v="4"/>
    <x v="0"/>
    <n v="0.05"/>
    <x v="0"/>
  </r>
  <r>
    <x v="10"/>
    <x v="0"/>
    <x v="4"/>
    <x v="2"/>
    <n v="1.78"/>
    <x v="0"/>
  </r>
  <r>
    <x v="11"/>
    <x v="0"/>
    <x v="4"/>
    <x v="2"/>
    <n v="0.89"/>
    <x v="0"/>
  </r>
  <r>
    <x v="12"/>
    <x v="0"/>
    <x v="4"/>
    <x v="2"/>
    <n v="0.28999999999999998"/>
    <x v="0"/>
  </r>
  <r>
    <x v="13"/>
    <x v="0"/>
    <x v="4"/>
    <x v="2"/>
    <n v="0.75"/>
    <x v="0"/>
  </r>
  <r>
    <x v="14"/>
    <x v="0"/>
    <x v="4"/>
    <x v="1"/>
    <s v="-"/>
    <x v="0"/>
  </r>
  <r>
    <x v="15"/>
    <x v="0"/>
    <x v="4"/>
    <x v="2"/>
    <n v="0.48"/>
    <x v="0"/>
  </r>
  <r>
    <x v="16"/>
    <x v="0"/>
    <x v="4"/>
    <x v="2"/>
    <n v="32.33"/>
    <x v="0"/>
  </r>
  <r>
    <x v="17"/>
    <x v="0"/>
    <x v="4"/>
    <x v="2"/>
    <n v="158653"/>
    <x v="0"/>
  </r>
  <r>
    <x v="18"/>
    <x v="0"/>
    <x v="4"/>
    <x v="2"/>
    <n v="1243"/>
    <x v="0"/>
  </r>
  <r>
    <x v="19"/>
    <x v="0"/>
    <x v="4"/>
    <x v="2"/>
    <n v="1.44"/>
    <x v="0"/>
  </r>
  <r>
    <x v="20"/>
    <x v="0"/>
    <x v="4"/>
    <x v="2"/>
    <n v="2292.36"/>
    <x v="0"/>
  </r>
  <r>
    <x v="21"/>
    <x v="0"/>
    <x v="4"/>
    <x v="2"/>
    <n v="1197.73"/>
    <x v="0"/>
  </r>
  <r>
    <x v="22"/>
    <x v="0"/>
    <x v="4"/>
    <x v="2"/>
    <n v="0.7"/>
    <x v="0"/>
  </r>
  <r>
    <x v="0"/>
    <x v="0"/>
    <x v="5"/>
    <x v="0"/>
    <n v="0.09"/>
    <x v="0"/>
  </r>
  <r>
    <x v="1"/>
    <x v="0"/>
    <x v="5"/>
    <x v="1"/>
    <m/>
    <x v="0"/>
  </r>
  <r>
    <x v="2"/>
    <x v="0"/>
    <x v="5"/>
    <x v="1"/>
    <m/>
    <x v="0"/>
  </r>
  <r>
    <x v="3"/>
    <x v="0"/>
    <x v="5"/>
    <x v="0"/>
    <n v="1.67"/>
    <x v="0"/>
  </r>
  <r>
    <x v="4"/>
    <x v="0"/>
    <x v="5"/>
    <x v="1"/>
    <n v="1.49"/>
    <x v="0"/>
  </r>
  <r>
    <x v="5"/>
    <x v="0"/>
    <x v="5"/>
    <x v="0"/>
    <n v="0.5"/>
    <x v="0"/>
  </r>
  <r>
    <x v="6"/>
    <x v="0"/>
    <x v="5"/>
    <x v="0"/>
    <n v="0.13"/>
    <x v="0"/>
  </r>
  <r>
    <x v="7"/>
    <x v="0"/>
    <x v="5"/>
    <x v="0"/>
    <n v="7.0000000000000007E-2"/>
    <x v="0"/>
  </r>
  <r>
    <x v="8"/>
    <x v="0"/>
    <x v="5"/>
    <x v="0"/>
    <n v="0.18"/>
    <x v="0"/>
  </r>
  <r>
    <x v="9"/>
    <x v="0"/>
    <x v="5"/>
    <x v="0"/>
    <n v="0.05"/>
    <x v="0"/>
  </r>
  <r>
    <x v="10"/>
    <x v="0"/>
    <x v="5"/>
    <x v="2"/>
    <n v="1.78"/>
    <x v="0"/>
  </r>
  <r>
    <x v="11"/>
    <x v="0"/>
    <x v="5"/>
    <x v="2"/>
    <n v="0.87"/>
    <x v="0"/>
  </r>
  <r>
    <x v="12"/>
    <x v="0"/>
    <x v="5"/>
    <x v="2"/>
    <n v="0.28000000000000003"/>
    <x v="0"/>
  </r>
  <r>
    <x v="13"/>
    <x v="0"/>
    <x v="5"/>
    <x v="2"/>
    <n v="0.73"/>
    <x v="0"/>
  </r>
  <r>
    <x v="14"/>
    <x v="0"/>
    <x v="5"/>
    <x v="1"/>
    <s v="-"/>
    <x v="0"/>
  </r>
  <r>
    <x v="15"/>
    <x v="0"/>
    <x v="5"/>
    <x v="2"/>
    <n v="0.49"/>
    <x v="0"/>
  </r>
  <r>
    <x v="16"/>
    <x v="0"/>
    <x v="5"/>
    <x v="2"/>
    <n v="32.68"/>
    <x v="0"/>
  </r>
  <r>
    <x v="17"/>
    <x v="0"/>
    <x v="5"/>
    <x v="2"/>
    <n v="148532"/>
    <x v="0"/>
  </r>
  <r>
    <x v="18"/>
    <x v="0"/>
    <x v="5"/>
    <x v="2"/>
    <n v="1194"/>
    <x v="0"/>
  </r>
  <r>
    <x v="19"/>
    <x v="0"/>
    <x v="5"/>
    <x v="2"/>
    <n v="1.44"/>
    <x v="0"/>
  </r>
  <r>
    <x v="20"/>
    <x v="0"/>
    <x v="5"/>
    <x v="2"/>
    <n v="2135.69"/>
    <x v="0"/>
  </r>
  <r>
    <x v="21"/>
    <x v="0"/>
    <x v="5"/>
    <x v="2"/>
    <n v="1089.03"/>
    <x v="0"/>
  </r>
  <r>
    <x v="22"/>
    <x v="0"/>
    <x v="5"/>
    <x v="2"/>
    <n v="0.71"/>
    <x v="0"/>
  </r>
  <r>
    <x v="0"/>
    <x v="0"/>
    <x v="6"/>
    <x v="0"/>
    <n v="0.09"/>
    <x v="1"/>
  </r>
  <r>
    <x v="1"/>
    <x v="0"/>
    <x v="6"/>
    <x v="1"/>
    <m/>
    <x v="1"/>
  </r>
  <r>
    <x v="2"/>
    <x v="0"/>
    <x v="6"/>
    <x v="1"/>
    <m/>
    <x v="1"/>
  </r>
  <r>
    <x v="3"/>
    <x v="0"/>
    <x v="6"/>
    <x v="0"/>
    <n v="1.66"/>
    <x v="1"/>
  </r>
  <r>
    <x v="4"/>
    <x v="0"/>
    <x v="6"/>
    <x v="1"/>
    <n v="1.45"/>
    <x v="1"/>
  </r>
  <r>
    <x v="5"/>
    <x v="0"/>
    <x v="6"/>
    <x v="0"/>
    <n v="0.51"/>
    <x v="1"/>
  </r>
  <r>
    <x v="6"/>
    <x v="0"/>
    <x v="6"/>
    <x v="0"/>
    <n v="0.13"/>
    <x v="1"/>
  </r>
  <r>
    <x v="7"/>
    <x v="0"/>
    <x v="6"/>
    <x v="0"/>
    <n v="7.0000000000000007E-2"/>
    <x v="1"/>
  </r>
  <r>
    <x v="8"/>
    <x v="0"/>
    <x v="6"/>
    <x v="0"/>
    <n v="0.18"/>
    <x v="1"/>
  </r>
  <r>
    <x v="9"/>
    <x v="0"/>
    <x v="6"/>
    <x v="0"/>
    <n v="0.05"/>
    <x v="1"/>
  </r>
  <r>
    <x v="10"/>
    <x v="0"/>
    <x v="6"/>
    <x v="2"/>
    <n v="1.77"/>
    <x v="1"/>
  </r>
  <r>
    <x v="11"/>
    <x v="0"/>
    <x v="6"/>
    <x v="2"/>
    <n v="0.88"/>
    <x v="1"/>
  </r>
  <r>
    <x v="12"/>
    <x v="0"/>
    <x v="6"/>
    <x v="2"/>
    <n v="0.28999999999999998"/>
    <x v="1"/>
  </r>
  <r>
    <x v="13"/>
    <x v="0"/>
    <x v="6"/>
    <x v="2"/>
    <n v="0.73"/>
    <x v="1"/>
  </r>
  <r>
    <x v="14"/>
    <x v="0"/>
    <x v="6"/>
    <x v="1"/>
    <s v="-"/>
    <x v="1"/>
  </r>
  <r>
    <x v="15"/>
    <x v="0"/>
    <x v="6"/>
    <x v="2"/>
    <n v="0.49"/>
    <x v="1"/>
  </r>
  <r>
    <x v="16"/>
    <x v="0"/>
    <x v="6"/>
    <x v="2"/>
    <n v="32.29"/>
    <x v="1"/>
  </r>
  <r>
    <x v="17"/>
    <x v="0"/>
    <x v="6"/>
    <x v="2"/>
    <n v="144546"/>
    <x v="1"/>
  </r>
  <r>
    <x v="18"/>
    <x v="0"/>
    <x v="6"/>
    <x v="2"/>
    <n v="1172"/>
    <x v="1"/>
  </r>
  <r>
    <x v="19"/>
    <x v="0"/>
    <x v="6"/>
    <x v="2"/>
    <n v="1.45"/>
    <x v="1"/>
  </r>
  <r>
    <x v="20"/>
    <x v="0"/>
    <x v="6"/>
    <x v="2"/>
    <n v="2303.81"/>
    <x v="1"/>
  </r>
  <r>
    <x v="21"/>
    <x v="0"/>
    <x v="6"/>
    <x v="2"/>
    <n v="1065.78"/>
    <x v="1"/>
  </r>
  <r>
    <x v="22"/>
    <x v="0"/>
    <x v="6"/>
    <x v="2"/>
    <n v="0.72"/>
    <x v="1"/>
  </r>
  <r>
    <x v="0"/>
    <x v="0"/>
    <x v="7"/>
    <x v="0"/>
    <n v="0.09"/>
    <x v="1"/>
  </r>
  <r>
    <x v="1"/>
    <x v="0"/>
    <x v="7"/>
    <x v="1"/>
    <m/>
    <x v="1"/>
  </r>
  <r>
    <x v="2"/>
    <x v="0"/>
    <x v="7"/>
    <x v="1"/>
    <m/>
    <x v="1"/>
  </r>
  <r>
    <x v="3"/>
    <x v="0"/>
    <x v="7"/>
    <x v="0"/>
    <n v="1.67"/>
    <x v="1"/>
  </r>
  <r>
    <x v="4"/>
    <x v="0"/>
    <x v="7"/>
    <x v="1"/>
    <n v="1.48"/>
    <x v="1"/>
  </r>
  <r>
    <x v="5"/>
    <x v="0"/>
    <x v="7"/>
    <x v="0"/>
    <n v="0.49"/>
    <x v="1"/>
  </r>
  <r>
    <x v="6"/>
    <x v="0"/>
    <x v="7"/>
    <x v="0"/>
    <n v="0.13"/>
    <x v="1"/>
  </r>
  <r>
    <x v="7"/>
    <x v="0"/>
    <x v="7"/>
    <x v="0"/>
    <n v="7.0000000000000007E-2"/>
    <x v="1"/>
  </r>
  <r>
    <x v="8"/>
    <x v="0"/>
    <x v="7"/>
    <x v="0"/>
    <n v="0.18"/>
    <x v="1"/>
  </r>
  <r>
    <x v="9"/>
    <x v="0"/>
    <x v="7"/>
    <x v="0"/>
    <n v="0.05"/>
    <x v="1"/>
  </r>
  <r>
    <x v="10"/>
    <x v="0"/>
    <x v="7"/>
    <x v="2"/>
    <n v="1.78"/>
    <x v="1"/>
  </r>
  <r>
    <x v="11"/>
    <x v="0"/>
    <x v="7"/>
    <x v="2"/>
    <n v="0.86"/>
    <x v="1"/>
  </r>
  <r>
    <x v="12"/>
    <x v="0"/>
    <x v="7"/>
    <x v="2"/>
    <n v="0.28999999999999998"/>
    <x v="1"/>
  </r>
  <r>
    <x v="13"/>
    <x v="0"/>
    <x v="7"/>
    <x v="2"/>
    <n v="0.72"/>
    <x v="1"/>
  </r>
  <r>
    <x v="14"/>
    <x v="0"/>
    <x v="7"/>
    <x v="1"/>
    <s v="-"/>
    <x v="1"/>
  </r>
  <r>
    <x v="15"/>
    <x v="0"/>
    <x v="7"/>
    <x v="2"/>
    <n v="0.48"/>
    <x v="1"/>
  </r>
  <r>
    <x v="16"/>
    <x v="0"/>
    <x v="7"/>
    <x v="2"/>
    <n v="31.63"/>
    <x v="1"/>
  </r>
  <r>
    <x v="17"/>
    <x v="0"/>
    <x v="7"/>
    <x v="2"/>
    <n v="123772"/>
    <x v="1"/>
  </r>
  <r>
    <x v="18"/>
    <x v="0"/>
    <x v="7"/>
    <x v="2"/>
    <n v="1024"/>
    <x v="1"/>
  </r>
  <r>
    <x v="19"/>
    <x v="0"/>
    <x v="7"/>
    <x v="2"/>
    <n v="1.43"/>
    <x v="1"/>
  </r>
  <r>
    <x v="20"/>
    <x v="0"/>
    <x v="7"/>
    <x v="2"/>
    <n v="1769.56"/>
    <x v="1"/>
  </r>
  <r>
    <x v="21"/>
    <x v="0"/>
    <x v="7"/>
    <x v="2"/>
    <n v="916.4"/>
    <x v="1"/>
  </r>
  <r>
    <x v="22"/>
    <x v="0"/>
    <x v="7"/>
    <x v="2"/>
    <n v="0.7"/>
    <x v="1"/>
  </r>
  <r>
    <x v="0"/>
    <x v="0"/>
    <x v="8"/>
    <x v="0"/>
    <n v="0.09"/>
    <x v="1"/>
  </r>
  <r>
    <x v="1"/>
    <x v="0"/>
    <x v="8"/>
    <x v="1"/>
    <m/>
    <x v="1"/>
  </r>
  <r>
    <x v="2"/>
    <x v="0"/>
    <x v="8"/>
    <x v="1"/>
    <m/>
    <x v="1"/>
  </r>
  <r>
    <x v="3"/>
    <x v="0"/>
    <x v="8"/>
    <x v="0"/>
    <n v="1.66"/>
    <x v="1"/>
  </r>
  <r>
    <x v="4"/>
    <x v="0"/>
    <x v="8"/>
    <x v="1"/>
    <n v="1.7"/>
    <x v="1"/>
  </r>
  <r>
    <x v="5"/>
    <x v="0"/>
    <x v="8"/>
    <x v="0"/>
    <n v="0.5"/>
    <x v="1"/>
  </r>
  <r>
    <x v="6"/>
    <x v="0"/>
    <x v="8"/>
    <x v="0"/>
    <n v="0.13"/>
    <x v="1"/>
  </r>
  <r>
    <x v="7"/>
    <x v="0"/>
    <x v="8"/>
    <x v="0"/>
    <n v="7.0000000000000007E-2"/>
    <x v="1"/>
  </r>
  <r>
    <x v="8"/>
    <x v="0"/>
    <x v="8"/>
    <x v="0"/>
    <n v="0.2"/>
    <x v="1"/>
  </r>
  <r>
    <x v="9"/>
    <x v="0"/>
    <x v="8"/>
    <x v="0"/>
    <n v="0.05"/>
    <x v="1"/>
  </r>
  <r>
    <x v="10"/>
    <x v="0"/>
    <x v="8"/>
    <x v="2"/>
    <n v="1.78"/>
    <x v="1"/>
  </r>
  <r>
    <x v="11"/>
    <x v="0"/>
    <x v="8"/>
    <x v="2"/>
    <n v="0.88"/>
    <x v="1"/>
  </r>
  <r>
    <x v="12"/>
    <x v="0"/>
    <x v="8"/>
    <x v="2"/>
    <n v="0.28999999999999998"/>
    <x v="1"/>
  </r>
  <r>
    <x v="13"/>
    <x v="0"/>
    <x v="8"/>
    <x v="2"/>
    <n v="0.74"/>
    <x v="1"/>
  </r>
  <r>
    <x v="14"/>
    <x v="0"/>
    <x v="8"/>
    <x v="1"/>
    <s v="-"/>
    <x v="1"/>
  </r>
  <r>
    <x v="15"/>
    <x v="0"/>
    <x v="8"/>
    <x v="2"/>
    <n v="0.48"/>
    <x v="1"/>
  </r>
  <r>
    <x v="16"/>
    <x v="0"/>
    <x v="8"/>
    <x v="2"/>
    <n v="31.65"/>
    <x v="1"/>
  </r>
  <r>
    <x v="17"/>
    <x v="0"/>
    <x v="8"/>
    <x v="2"/>
    <n v="110941"/>
    <x v="1"/>
  </r>
  <r>
    <x v="18"/>
    <x v="0"/>
    <x v="8"/>
    <x v="2"/>
    <n v="936"/>
    <x v="1"/>
  </r>
  <r>
    <x v="19"/>
    <x v="0"/>
    <x v="8"/>
    <x v="2"/>
    <n v="1.44"/>
    <x v="1"/>
  </r>
  <r>
    <x v="20"/>
    <x v="0"/>
    <x v="8"/>
    <x v="2"/>
    <n v="1756.77"/>
    <x v="1"/>
  </r>
  <r>
    <x v="21"/>
    <x v="0"/>
    <x v="8"/>
    <x v="2"/>
    <n v="826.65"/>
    <x v="1"/>
  </r>
  <r>
    <x v="22"/>
    <x v="0"/>
    <x v="8"/>
    <x v="2"/>
    <n v="0.7"/>
    <x v="1"/>
  </r>
  <r>
    <x v="0"/>
    <x v="0"/>
    <x v="9"/>
    <x v="0"/>
    <n v="0.1"/>
    <x v="1"/>
  </r>
  <r>
    <x v="1"/>
    <x v="0"/>
    <x v="9"/>
    <x v="1"/>
    <m/>
    <x v="1"/>
  </r>
  <r>
    <x v="2"/>
    <x v="0"/>
    <x v="9"/>
    <x v="1"/>
    <m/>
    <x v="1"/>
  </r>
  <r>
    <x v="3"/>
    <x v="0"/>
    <x v="9"/>
    <x v="0"/>
    <n v="1.67"/>
    <x v="1"/>
  </r>
  <r>
    <x v="4"/>
    <x v="0"/>
    <x v="9"/>
    <x v="1"/>
    <n v="1.55"/>
    <x v="1"/>
  </r>
  <r>
    <x v="5"/>
    <x v="0"/>
    <x v="9"/>
    <x v="0"/>
    <n v="0.49"/>
    <x v="1"/>
  </r>
  <r>
    <x v="6"/>
    <x v="0"/>
    <x v="9"/>
    <x v="0"/>
    <n v="0.13"/>
    <x v="1"/>
  </r>
  <r>
    <x v="7"/>
    <x v="0"/>
    <x v="9"/>
    <x v="0"/>
    <n v="7.0000000000000007E-2"/>
    <x v="1"/>
  </r>
  <r>
    <x v="8"/>
    <x v="0"/>
    <x v="9"/>
    <x v="0"/>
    <n v="0.21"/>
    <x v="1"/>
  </r>
  <r>
    <x v="9"/>
    <x v="0"/>
    <x v="9"/>
    <x v="0"/>
    <n v="0.05"/>
    <x v="1"/>
  </r>
  <r>
    <x v="10"/>
    <x v="0"/>
    <x v="9"/>
    <x v="2"/>
    <n v="1.79"/>
    <x v="1"/>
  </r>
  <r>
    <x v="11"/>
    <x v="0"/>
    <x v="9"/>
    <x v="2"/>
    <n v="0.89"/>
    <x v="1"/>
  </r>
  <r>
    <x v="12"/>
    <x v="0"/>
    <x v="9"/>
    <x v="2"/>
    <n v="0.3"/>
    <x v="1"/>
  </r>
  <r>
    <x v="13"/>
    <x v="0"/>
    <x v="9"/>
    <x v="2"/>
    <n v="0.74"/>
    <x v="1"/>
  </r>
  <r>
    <x v="14"/>
    <x v="0"/>
    <x v="9"/>
    <x v="1"/>
    <m/>
    <x v="1"/>
  </r>
  <r>
    <x v="15"/>
    <x v="0"/>
    <x v="9"/>
    <x v="2"/>
    <n v="0.47"/>
    <x v="1"/>
  </r>
  <r>
    <x v="16"/>
    <x v="0"/>
    <x v="9"/>
    <x v="2"/>
    <n v="30.63"/>
    <x v="1"/>
  </r>
  <r>
    <x v="17"/>
    <x v="0"/>
    <x v="9"/>
    <x v="2"/>
    <n v="103118"/>
    <x v="1"/>
  </r>
  <r>
    <x v="18"/>
    <x v="0"/>
    <x v="9"/>
    <x v="2"/>
    <n v="955"/>
    <x v="1"/>
  </r>
  <r>
    <x v="19"/>
    <x v="0"/>
    <x v="9"/>
    <x v="2"/>
    <n v="1.43"/>
    <x v="1"/>
  </r>
  <r>
    <x v="20"/>
    <x v="0"/>
    <x v="9"/>
    <x v="2"/>
    <n v="1472.35"/>
    <x v="1"/>
  </r>
  <r>
    <x v="21"/>
    <x v="0"/>
    <x v="9"/>
    <x v="2"/>
    <n v="786.03"/>
    <x v="1"/>
  </r>
  <r>
    <x v="22"/>
    <x v="0"/>
    <x v="9"/>
    <x v="2"/>
    <n v="0.68"/>
    <x v="1"/>
  </r>
  <r>
    <x v="0"/>
    <x v="0"/>
    <x v="10"/>
    <x v="0"/>
    <n v="0.1"/>
    <x v="1"/>
  </r>
  <r>
    <x v="1"/>
    <x v="0"/>
    <x v="10"/>
    <x v="1"/>
    <m/>
    <x v="1"/>
  </r>
  <r>
    <x v="2"/>
    <x v="0"/>
    <x v="10"/>
    <x v="1"/>
    <m/>
    <x v="1"/>
  </r>
  <r>
    <x v="3"/>
    <x v="0"/>
    <x v="10"/>
    <x v="0"/>
    <n v="1.67"/>
    <x v="1"/>
  </r>
  <r>
    <x v="4"/>
    <x v="0"/>
    <x v="10"/>
    <x v="1"/>
    <n v="1.51"/>
    <x v="1"/>
  </r>
  <r>
    <x v="5"/>
    <x v="0"/>
    <x v="10"/>
    <x v="0"/>
    <n v="0.51"/>
    <x v="1"/>
  </r>
  <r>
    <x v="6"/>
    <x v="0"/>
    <x v="10"/>
    <x v="0"/>
    <n v="0.13"/>
    <x v="1"/>
  </r>
  <r>
    <x v="7"/>
    <x v="0"/>
    <x v="10"/>
    <x v="0"/>
    <n v="7.0000000000000007E-2"/>
    <x v="1"/>
  </r>
  <r>
    <x v="8"/>
    <x v="0"/>
    <x v="10"/>
    <x v="0"/>
    <n v="0.22"/>
    <x v="1"/>
  </r>
  <r>
    <x v="9"/>
    <x v="0"/>
    <x v="10"/>
    <x v="0"/>
    <n v="0.05"/>
    <x v="1"/>
  </r>
  <r>
    <x v="10"/>
    <x v="0"/>
    <x v="10"/>
    <x v="2"/>
    <n v="1.78"/>
    <x v="1"/>
  </r>
  <r>
    <x v="11"/>
    <x v="0"/>
    <x v="10"/>
    <x v="2"/>
    <n v="0.92"/>
    <x v="1"/>
  </r>
  <r>
    <x v="12"/>
    <x v="0"/>
    <x v="10"/>
    <x v="2"/>
    <n v="0.28999999999999998"/>
    <x v="1"/>
  </r>
  <r>
    <x v="13"/>
    <x v="0"/>
    <x v="10"/>
    <x v="2"/>
    <n v="0.75"/>
    <x v="1"/>
  </r>
  <r>
    <x v="14"/>
    <x v="0"/>
    <x v="10"/>
    <x v="1"/>
    <s v="-"/>
    <x v="1"/>
  </r>
  <r>
    <x v="15"/>
    <x v="0"/>
    <x v="10"/>
    <x v="2"/>
    <n v="0.47"/>
    <x v="1"/>
  </r>
  <r>
    <x v="16"/>
    <x v="0"/>
    <x v="10"/>
    <x v="2"/>
    <n v="31.14"/>
    <x v="1"/>
  </r>
  <r>
    <x v="17"/>
    <x v="0"/>
    <x v="10"/>
    <x v="2"/>
    <n v="89169"/>
    <x v="1"/>
  </r>
  <r>
    <x v="18"/>
    <x v="0"/>
    <x v="10"/>
    <x v="2"/>
    <n v="883"/>
    <x v="1"/>
  </r>
  <r>
    <x v="19"/>
    <x v="0"/>
    <x v="10"/>
    <x v="2"/>
    <n v="1.44"/>
    <x v="1"/>
  </r>
  <r>
    <x v="20"/>
    <x v="0"/>
    <x v="10"/>
    <x v="2"/>
    <n v="1284.82"/>
    <x v="1"/>
  </r>
  <r>
    <x v="21"/>
    <x v="0"/>
    <x v="10"/>
    <x v="2"/>
    <n v="683.49"/>
    <x v="1"/>
  </r>
  <r>
    <x v="22"/>
    <x v="0"/>
    <x v="10"/>
    <x v="2"/>
    <n v="0.68"/>
    <x v="1"/>
  </r>
  <r>
    <x v="0"/>
    <x v="0"/>
    <x v="11"/>
    <x v="0"/>
    <n v="0.1"/>
    <x v="1"/>
  </r>
  <r>
    <x v="1"/>
    <x v="0"/>
    <x v="11"/>
    <x v="1"/>
    <m/>
    <x v="1"/>
  </r>
  <r>
    <x v="2"/>
    <x v="0"/>
    <x v="11"/>
    <x v="1"/>
    <m/>
    <x v="1"/>
  </r>
  <r>
    <x v="3"/>
    <x v="0"/>
    <x v="11"/>
    <x v="0"/>
    <n v="1.66"/>
    <x v="1"/>
  </r>
  <r>
    <x v="4"/>
    <x v="0"/>
    <x v="11"/>
    <x v="1"/>
    <n v="1.37"/>
    <x v="1"/>
  </r>
  <r>
    <x v="5"/>
    <x v="0"/>
    <x v="11"/>
    <x v="0"/>
    <n v="0.51"/>
    <x v="1"/>
  </r>
  <r>
    <x v="6"/>
    <x v="0"/>
    <x v="11"/>
    <x v="0"/>
    <n v="0.13"/>
    <x v="1"/>
  </r>
  <r>
    <x v="7"/>
    <x v="0"/>
    <x v="11"/>
    <x v="0"/>
    <n v="7.0000000000000007E-2"/>
    <x v="1"/>
  </r>
  <r>
    <x v="8"/>
    <x v="0"/>
    <x v="11"/>
    <x v="0"/>
    <n v="0.23"/>
    <x v="1"/>
  </r>
  <r>
    <x v="9"/>
    <x v="0"/>
    <x v="11"/>
    <x v="0"/>
    <n v="0.05"/>
    <x v="1"/>
  </r>
  <r>
    <x v="10"/>
    <x v="0"/>
    <x v="11"/>
    <x v="2"/>
    <n v="1.78"/>
    <x v="1"/>
  </r>
  <r>
    <x v="11"/>
    <x v="0"/>
    <x v="11"/>
    <x v="2"/>
    <n v="0.93"/>
    <x v="1"/>
  </r>
  <r>
    <x v="12"/>
    <x v="0"/>
    <x v="11"/>
    <x v="2"/>
    <n v="0.28999999999999998"/>
    <x v="1"/>
  </r>
  <r>
    <x v="13"/>
    <x v="0"/>
    <x v="11"/>
    <x v="2"/>
    <n v="0.76"/>
    <x v="1"/>
  </r>
  <r>
    <x v="14"/>
    <x v="0"/>
    <x v="11"/>
    <x v="1"/>
    <s v="-"/>
    <x v="1"/>
  </r>
  <r>
    <x v="15"/>
    <x v="0"/>
    <x v="11"/>
    <x v="2"/>
    <n v="0.47"/>
    <x v="1"/>
  </r>
  <r>
    <x v="16"/>
    <x v="0"/>
    <x v="11"/>
    <x v="2"/>
    <n v="30.97"/>
    <x v="1"/>
  </r>
  <r>
    <x v="17"/>
    <x v="0"/>
    <x v="11"/>
    <x v="2"/>
    <n v="90011.558999999994"/>
    <x v="1"/>
  </r>
  <r>
    <x v="18"/>
    <x v="0"/>
    <x v="11"/>
    <x v="2"/>
    <n v="805"/>
    <x v="1"/>
  </r>
  <r>
    <x v="19"/>
    <x v="0"/>
    <x v="11"/>
    <x v="2"/>
    <n v="1.45"/>
    <x v="1"/>
  </r>
  <r>
    <x v="20"/>
    <x v="0"/>
    <x v="11"/>
    <x v="2"/>
    <n v="1302.53909"/>
    <x v="1"/>
  </r>
  <r>
    <x v="21"/>
    <x v="0"/>
    <x v="11"/>
    <x v="2"/>
    <n v="688.98568999999998"/>
    <x v="1"/>
  </r>
  <r>
    <x v="22"/>
    <x v="0"/>
    <x v="11"/>
    <x v="2"/>
    <n v="0.69"/>
    <x v="1"/>
  </r>
  <r>
    <x v="0"/>
    <x v="0"/>
    <x v="12"/>
    <x v="0"/>
    <n v="9.8940594899303264E-2"/>
    <x v="1"/>
  </r>
  <r>
    <x v="1"/>
    <x v="0"/>
    <x v="12"/>
    <x v="1"/>
    <m/>
    <x v="1"/>
  </r>
  <r>
    <x v="2"/>
    <x v="0"/>
    <x v="12"/>
    <x v="1"/>
    <m/>
    <x v="1"/>
  </r>
  <r>
    <x v="3"/>
    <x v="0"/>
    <x v="12"/>
    <x v="0"/>
    <n v="1.6601171967190063"/>
    <x v="1"/>
  </r>
  <r>
    <x v="4"/>
    <x v="0"/>
    <x v="12"/>
    <x v="1"/>
    <n v="1.4371276685385925"/>
    <x v="1"/>
  </r>
  <r>
    <x v="5"/>
    <x v="0"/>
    <x v="12"/>
    <x v="0"/>
    <n v="0.52654170033239389"/>
    <x v="1"/>
  </r>
  <r>
    <x v="6"/>
    <x v="0"/>
    <x v="12"/>
    <x v="0"/>
    <n v="0.12810220443565548"/>
    <x v="1"/>
  </r>
  <r>
    <x v="7"/>
    <x v="0"/>
    <x v="12"/>
    <x v="0"/>
    <n v="8.000351541305574E-2"/>
    <x v="1"/>
  </r>
  <r>
    <x v="8"/>
    <x v="0"/>
    <x v="12"/>
    <x v="0"/>
    <n v="0.23410448286979318"/>
    <x v="1"/>
  </r>
  <r>
    <x v="9"/>
    <x v="0"/>
    <x v="12"/>
    <x v="0"/>
    <n v="4.7012852473842993E-2"/>
    <x v="1"/>
  </r>
  <r>
    <x v="10"/>
    <x v="0"/>
    <x v="12"/>
    <x v="2"/>
    <n v="1.7790577977490223"/>
    <x v="1"/>
  </r>
  <r>
    <x v="11"/>
    <x v="0"/>
    <x v="12"/>
    <x v="2"/>
    <n v="0.95959029964525888"/>
    <x v="1"/>
  </r>
  <r>
    <x v="12"/>
    <x v="0"/>
    <x v="12"/>
    <x v="2"/>
    <n v="0.2940556579395146"/>
    <x v="1"/>
  </r>
  <r>
    <x v="13"/>
    <x v="0"/>
    <x v="12"/>
    <x v="2"/>
    <n v="0.77814892889249165"/>
    <x v="1"/>
  </r>
  <r>
    <x v="14"/>
    <x v="0"/>
    <x v="12"/>
    <x v="1"/>
    <s v="-"/>
    <x v="1"/>
  </r>
  <r>
    <x v="15"/>
    <x v="0"/>
    <x v="12"/>
    <x v="2"/>
    <n v="0.46464879817949967"/>
    <x v="1"/>
  </r>
  <r>
    <x v="16"/>
    <x v="0"/>
    <x v="12"/>
    <x v="2"/>
    <n v="30.321224600006175"/>
    <x v="1"/>
  </r>
  <r>
    <x v="17"/>
    <x v="0"/>
    <x v="12"/>
    <x v="2"/>
    <n v="73078.986000000004"/>
    <x v="1"/>
  </r>
  <r>
    <x v="18"/>
    <x v="0"/>
    <x v="12"/>
    <x v="2"/>
    <n v="724"/>
    <x v="1"/>
  </r>
  <r>
    <x v="19"/>
    <x v="0"/>
    <x v="12"/>
    <x v="2"/>
    <n v="1.4648145395679724"/>
    <x v="1"/>
  </r>
  <r>
    <x v="20"/>
    <x v="0"/>
    <x v="12"/>
    <x v="2"/>
    <n v="1068.9190909090901"/>
    <x v="1"/>
  </r>
  <r>
    <x v="21"/>
    <x v="0"/>
    <x v="12"/>
    <x v="2"/>
    <n v="572.51975000000004"/>
    <x v="1"/>
  </r>
  <r>
    <x v="22"/>
    <x v="0"/>
    <x v="12"/>
    <x v="2"/>
    <n v="0.68666561067548071"/>
    <x v="1"/>
  </r>
  <r>
    <x v="0"/>
    <x v="0"/>
    <x v="13"/>
    <x v="0"/>
    <n v="9.6401544295728253E-2"/>
    <x v="1"/>
  </r>
  <r>
    <x v="1"/>
    <x v="0"/>
    <x v="13"/>
    <x v="1"/>
    <m/>
    <x v="1"/>
  </r>
  <r>
    <x v="2"/>
    <x v="0"/>
    <x v="13"/>
    <x v="1"/>
    <m/>
    <x v="1"/>
  </r>
  <r>
    <x v="3"/>
    <x v="0"/>
    <x v="13"/>
    <x v="0"/>
    <n v="1.660627889719497"/>
    <x v="1"/>
  </r>
  <r>
    <x v="4"/>
    <x v="0"/>
    <x v="13"/>
    <x v="1"/>
    <n v="1.4565184210298958"/>
    <x v="1"/>
  </r>
  <r>
    <x v="5"/>
    <x v="0"/>
    <x v="13"/>
    <x v="0"/>
    <n v="0.52202436804514918"/>
    <x v="1"/>
  </r>
  <r>
    <x v="6"/>
    <x v="0"/>
    <x v="13"/>
    <x v="0"/>
    <n v="0.12284110985358884"/>
    <x v="1"/>
  </r>
  <r>
    <x v="7"/>
    <x v="0"/>
    <x v="13"/>
    <x v="0"/>
    <n v="8.0002221234232201E-2"/>
    <x v="1"/>
  </r>
  <r>
    <x v="8"/>
    <x v="0"/>
    <x v="13"/>
    <x v="0"/>
    <n v="0.22890849505835426"/>
    <x v="1"/>
  </r>
  <r>
    <x v="9"/>
    <x v="0"/>
    <x v="13"/>
    <x v="0"/>
    <n v="4.596988102941766E-2"/>
    <x v="1"/>
  </r>
  <r>
    <x v="10"/>
    <x v="0"/>
    <x v="13"/>
    <x v="2"/>
    <n v="1.7770294337401822"/>
    <x v="1"/>
  </r>
  <r>
    <x v="11"/>
    <x v="0"/>
    <x v="13"/>
    <x v="2"/>
    <n v="0.94733662835842081"/>
    <x v="1"/>
  </r>
  <r>
    <x v="12"/>
    <x v="0"/>
    <x v="13"/>
    <x v="2"/>
    <n v="0.28521253490369158"/>
    <x v="1"/>
  </r>
  <r>
    <x v="13"/>
    <x v="0"/>
    <x v="13"/>
    <x v="2"/>
    <n v="0.75256041682136787"/>
    <x v="1"/>
  </r>
  <r>
    <x v="14"/>
    <x v="0"/>
    <x v="13"/>
    <x v="1"/>
    <s v="-"/>
    <x v="1"/>
  </r>
  <r>
    <x v="15"/>
    <x v="0"/>
    <x v="13"/>
    <x v="2"/>
    <n v="0.47361198038679486"/>
    <x v="1"/>
  </r>
  <r>
    <x v="16"/>
    <x v="0"/>
    <x v="13"/>
    <x v="2"/>
    <n v="31.119833420894029"/>
    <x v="1"/>
  </r>
  <r>
    <x v="17"/>
    <x v="0"/>
    <x v="13"/>
    <x v="2"/>
    <n v="67258.509999999995"/>
    <x v="1"/>
  </r>
  <r>
    <x v="18"/>
    <x v="0"/>
    <x v="13"/>
    <x v="2"/>
    <n v="637"/>
    <x v="1"/>
  </r>
  <r>
    <x v="19"/>
    <x v="0"/>
    <x v="13"/>
    <x v="2"/>
    <n v="1.4405503051049664"/>
    <x v="1"/>
  </r>
  <r>
    <x v="20"/>
    <x v="0"/>
    <x v="13"/>
    <x v="2"/>
    <n v="968.89200000000005"/>
    <x v="1"/>
  </r>
  <r>
    <x v="21"/>
    <x v="0"/>
    <x v="13"/>
    <x v="2"/>
    <n v="510.01299999999998"/>
    <x v="1"/>
  </r>
  <r>
    <x v="22"/>
    <x v="0"/>
    <x v="13"/>
    <x v="2"/>
    <n v="0.68798988828359853"/>
    <x v="1"/>
  </r>
  <r>
    <x v="0"/>
    <x v="0"/>
    <x v="14"/>
    <x v="0"/>
    <n v="8.6426774912682081E-2"/>
    <x v="1"/>
  </r>
  <r>
    <x v="1"/>
    <x v="0"/>
    <x v="14"/>
    <x v="1"/>
    <m/>
    <x v="1"/>
  </r>
  <r>
    <x v="2"/>
    <x v="0"/>
    <x v="14"/>
    <x v="1"/>
    <m/>
    <x v="1"/>
  </r>
  <r>
    <x v="3"/>
    <x v="0"/>
    <x v="14"/>
    <x v="0"/>
    <n v="1.6590473544410678"/>
    <x v="1"/>
  </r>
  <r>
    <x v="4"/>
    <x v="0"/>
    <x v="14"/>
    <x v="1"/>
    <n v="1.489073236779952"/>
    <x v="1"/>
  </r>
  <r>
    <x v="5"/>
    <x v="0"/>
    <x v="14"/>
    <x v="0"/>
    <n v="0.5248464947455509"/>
    <x v="1"/>
  </r>
  <r>
    <x v="6"/>
    <x v="0"/>
    <x v="14"/>
    <x v="0"/>
    <n v="0.11444530210357813"/>
    <x v="1"/>
  </r>
  <r>
    <x v="7"/>
    <x v="0"/>
    <x v="14"/>
    <x v="0"/>
    <n v="8.0000768079270507E-2"/>
    <x v="1"/>
  </r>
  <r>
    <x v="8"/>
    <x v="0"/>
    <x v="14"/>
    <x v="0"/>
    <n v="0.20459860943848043"/>
    <x v="1"/>
  </r>
  <r>
    <x v="9"/>
    <x v="0"/>
    <x v="14"/>
    <x v="0"/>
    <n v="4.3917378007595972E-2"/>
    <x v="1"/>
  </r>
  <r>
    <x v="10"/>
    <x v="0"/>
    <x v="14"/>
    <x v="2"/>
    <n v="1.7654741262860174"/>
    <x v="1"/>
  </r>
  <r>
    <x v="11"/>
    <x v="0"/>
    <x v="14"/>
    <x v="2"/>
    <n v="0.91587264410825142"/>
    <x v="1"/>
  </r>
  <r>
    <x v="12"/>
    <x v="0"/>
    <x v="14"/>
    <x v="2"/>
    <n v="0.26478945195612369"/>
    <x v="1"/>
  </r>
  <r>
    <x v="13"/>
    <x v="0"/>
    <x v="14"/>
    <x v="2"/>
    <n v="0.74332967390025728"/>
    <x v="1"/>
  </r>
  <r>
    <x v="14"/>
    <x v="0"/>
    <x v="14"/>
    <x v="1"/>
    <s v="-"/>
    <x v="1"/>
  </r>
  <r>
    <x v="15"/>
    <x v="0"/>
    <x v="14"/>
    <x v="2"/>
    <n v="0.4818997919810647"/>
    <x v="1"/>
  </r>
  <r>
    <x v="16"/>
    <x v="0"/>
    <x v="14"/>
    <x v="2"/>
    <n v="34.711465318831266"/>
    <x v="1"/>
  </r>
  <r>
    <x v="17"/>
    <x v="0"/>
    <x v="14"/>
    <x v="2"/>
    <n v="77143.029410000003"/>
    <x v="1"/>
  </r>
  <r>
    <x v="18"/>
    <x v="0"/>
    <x v="14"/>
    <x v="2"/>
    <n v="615"/>
    <x v="1"/>
  </r>
  <r>
    <x v="19"/>
    <x v="0"/>
    <x v="14"/>
    <x v="2"/>
    <n v="1.4469181106487266"/>
    <x v="1"/>
  </r>
  <r>
    <x v="20"/>
    <x v="0"/>
    <x v="14"/>
    <x v="2"/>
    <n v="1116.1964636363598"/>
    <x v="1"/>
  </r>
  <r>
    <x v="21"/>
    <x v="0"/>
    <x v="14"/>
    <x v="2"/>
    <n v="578.30161999999996"/>
    <x v="1"/>
  </r>
  <r>
    <x v="22"/>
    <x v="0"/>
    <x v="14"/>
    <x v="2"/>
    <n v="0.70358843674846927"/>
    <x v="1"/>
  </r>
  <r>
    <x v="0"/>
    <x v="0"/>
    <x v="15"/>
    <x v="0"/>
    <n v="0.10077569165507891"/>
    <x v="1"/>
  </r>
  <r>
    <x v="1"/>
    <x v="0"/>
    <x v="15"/>
    <x v="1"/>
    <m/>
    <x v="1"/>
  </r>
  <r>
    <x v="2"/>
    <x v="0"/>
    <x v="15"/>
    <x v="1"/>
    <m/>
    <x v="1"/>
  </r>
  <r>
    <x v="3"/>
    <x v="0"/>
    <x v="15"/>
    <x v="0"/>
    <n v="1.6765611179984214"/>
    <x v="1"/>
  </r>
  <r>
    <x v="4"/>
    <x v="0"/>
    <x v="15"/>
    <x v="1"/>
    <n v="1.4162642407077395"/>
    <x v="1"/>
  </r>
  <r>
    <x v="5"/>
    <x v="0"/>
    <x v="15"/>
    <x v="0"/>
    <n v="0.51606172814328943"/>
    <x v="1"/>
  </r>
  <r>
    <x v="6"/>
    <x v="0"/>
    <x v="15"/>
    <x v="0"/>
    <n v="0.12847529299241225"/>
    <x v="1"/>
  </r>
  <r>
    <x v="7"/>
    <x v="0"/>
    <x v="15"/>
    <x v="0"/>
    <n v="8.0000638139397284E-2"/>
    <x v="1"/>
  </r>
  <r>
    <x v="8"/>
    <x v="0"/>
    <x v="15"/>
    <x v="0"/>
    <n v="0.22430412282078704"/>
    <x v="1"/>
  </r>
  <r>
    <x v="9"/>
    <x v="0"/>
    <x v="15"/>
    <x v="0"/>
    <n v="4.7212169474540586E-2"/>
    <x v="1"/>
  </r>
  <r>
    <x v="10"/>
    <x v="0"/>
    <x v="15"/>
    <x v="2"/>
    <n v="1.797336801983332"/>
    <x v="1"/>
  </r>
  <r>
    <x v="11"/>
    <x v="0"/>
    <x v="15"/>
    <x v="2"/>
    <n v="0.94114217308838455"/>
    <x v="1"/>
  </r>
  <r>
    <x v="12"/>
    <x v="0"/>
    <x v="15"/>
    <x v="2"/>
    <n v="0.29646314645186356"/>
    <x v="1"/>
  </r>
  <r>
    <x v="13"/>
    <x v="0"/>
    <x v="15"/>
    <x v="2"/>
    <n v="0.75569611982630835"/>
    <x v="1"/>
  </r>
  <r>
    <x v="14"/>
    <x v="0"/>
    <x v="15"/>
    <x v="1"/>
    <s v="-"/>
    <x v="1"/>
  </r>
  <r>
    <x v="15"/>
    <x v="0"/>
    <x v="15"/>
    <x v="2"/>
    <n v="0.46780672031038362"/>
    <x v="1"/>
  </r>
  <r>
    <x v="16"/>
    <x v="0"/>
    <x v="15"/>
    <x v="2"/>
    <n v="29.769083701930668"/>
    <x v="1"/>
  </r>
  <r>
    <x v="17"/>
    <x v="0"/>
    <x v="15"/>
    <x v="2"/>
    <n v="52648.309679999998"/>
    <x v="1"/>
  </r>
  <r>
    <x v="18"/>
    <x v="0"/>
    <x v="15"/>
    <x v="2"/>
    <n v="577"/>
    <x v="1"/>
  </r>
  <r>
    <x v="19"/>
    <x v="0"/>
    <x v="15"/>
    <x v="2"/>
    <n v="1.4336479954462162"/>
    <x v="1"/>
  </r>
  <r>
    <x v="20"/>
    <x v="0"/>
    <x v="15"/>
    <x v="2"/>
    <n v="754.79143636363597"/>
    <x v="1"/>
  </r>
  <r>
    <x v="21"/>
    <x v="0"/>
    <x v="15"/>
    <x v="2"/>
    <n v="401.69493"/>
    <x v="1"/>
  </r>
  <r>
    <x v="22"/>
    <x v="0"/>
    <x v="15"/>
    <x v="2"/>
    <n v="0.67795187561990788"/>
    <x v="1"/>
  </r>
  <r>
    <x v="0"/>
    <x v="0"/>
    <x v="16"/>
    <x v="0"/>
    <n v="0.10339106262947326"/>
    <x v="1"/>
  </r>
  <r>
    <x v="1"/>
    <x v="0"/>
    <x v="16"/>
    <x v="1"/>
    <m/>
    <x v="1"/>
  </r>
  <r>
    <x v="2"/>
    <x v="0"/>
    <x v="16"/>
    <x v="1"/>
    <m/>
    <x v="1"/>
  </r>
  <r>
    <x v="3"/>
    <x v="0"/>
    <x v="16"/>
    <x v="0"/>
    <n v="1.675038712204044"/>
    <x v="1"/>
  </r>
  <r>
    <x v="4"/>
    <x v="0"/>
    <x v="16"/>
    <x v="1"/>
    <n v="1.4117792862129366"/>
    <x v="1"/>
  </r>
  <r>
    <x v="5"/>
    <x v="0"/>
    <x v="16"/>
    <x v="0"/>
    <n v="0.42949485098276019"/>
    <x v="1"/>
  </r>
  <r>
    <x v="6"/>
    <x v="0"/>
    <x v="16"/>
    <x v="0"/>
    <n v="0.18418726459454673"/>
    <x v="1"/>
  </r>
  <r>
    <x v="7"/>
    <x v="0"/>
    <x v="16"/>
    <x v="0"/>
    <n v="8.0000173146034734E-2"/>
    <x v="1"/>
  </r>
  <r>
    <x v="8"/>
    <x v="0"/>
    <x v="16"/>
    <x v="0"/>
    <n v="0.19031668565906548"/>
    <x v="1"/>
  </r>
  <r>
    <x v="9"/>
    <x v="0"/>
    <x v="16"/>
    <x v="0"/>
    <n v="5.1357551538392859E-2"/>
    <x v="1"/>
  </r>
  <r>
    <x v="10"/>
    <x v="0"/>
    <x v="16"/>
    <x v="2"/>
    <n v="1.7984297703869792"/>
    <x v="1"/>
  </r>
  <r>
    <x v="11"/>
    <x v="0"/>
    <x v="16"/>
    <x v="2"/>
    <n v="0.82320276797079583"/>
    <x v="1"/>
  </r>
  <r>
    <x v="12"/>
    <x v="0"/>
    <x v="16"/>
    <x v="2"/>
    <n v="0.35893587431587493"/>
    <x v="1"/>
  </r>
  <r>
    <x v="13"/>
    <x v="0"/>
    <x v="16"/>
    <x v="2"/>
    <n v="0.74182625190498352"/>
    <x v="1"/>
  </r>
  <r>
    <x v="14"/>
    <x v="0"/>
    <x v="16"/>
    <x v="1"/>
    <s v="-"/>
    <x v="1"/>
  </r>
  <r>
    <x v="15"/>
    <x v="0"/>
    <x v="16"/>
    <x v="2"/>
    <n v="0.4782844488943564"/>
    <x v="1"/>
  </r>
  <r>
    <x v="16"/>
    <x v="0"/>
    <x v="16"/>
    <x v="2"/>
    <n v="29.016047651538525"/>
    <x v="1"/>
  </r>
  <r>
    <x v="17"/>
    <x v="0"/>
    <x v="16"/>
    <x v="2"/>
    <n v="44531.328119999998"/>
    <x v="1"/>
  </r>
  <r>
    <x v="18"/>
    <x v="0"/>
    <x v="16"/>
    <x v="2"/>
    <n v="497"/>
    <x v="1"/>
  </r>
  <r>
    <x v="19"/>
    <x v="0"/>
    <x v="16"/>
    <x v="2"/>
    <n v="1.4474951984963083"/>
    <x v="1"/>
  </r>
  <r>
    <x v="20"/>
    <x v="0"/>
    <x v="16"/>
    <x v="2"/>
    <n v="644.58883636363601"/>
    <x v="1"/>
  </r>
  <r>
    <x v="21"/>
    <x v="0"/>
    <x v="16"/>
    <x v="2"/>
    <n v="336.29201999999998"/>
    <x v="1"/>
  </r>
  <r>
    <x v="22"/>
    <x v="0"/>
    <x v="16"/>
    <x v="2"/>
    <n v="0.70566894659132473"/>
    <x v="1"/>
  </r>
  <r>
    <x v="0"/>
    <x v="0"/>
    <x v="17"/>
    <x v="0"/>
    <n v="0.1044986726750617"/>
    <x v="1"/>
  </r>
  <r>
    <x v="1"/>
    <x v="0"/>
    <x v="17"/>
    <x v="1"/>
    <m/>
    <x v="1"/>
  </r>
  <r>
    <x v="2"/>
    <x v="0"/>
    <x v="17"/>
    <x v="1"/>
    <m/>
    <x v="1"/>
  </r>
  <r>
    <x v="3"/>
    <x v="0"/>
    <x v="17"/>
    <x v="0"/>
    <n v="1.6626370201142948"/>
    <x v="1"/>
  </r>
  <r>
    <x v="4"/>
    <x v="0"/>
    <x v="17"/>
    <x v="1"/>
    <n v="1.4042762472599237"/>
    <x v="1"/>
  </r>
  <r>
    <x v="5"/>
    <x v="0"/>
    <x v="17"/>
    <x v="0"/>
    <n v="0.41864245010044232"/>
    <x v="1"/>
  </r>
  <r>
    <x v="6"/>
    <x v="0"/>
    <x v="17"/>
    <x v="0"/>
    <n v="0.17226586388145945"/>
    <x v="1"/>
  </r>
  <r>
    <x v="7"/>
    <x v="0"/>
    <x v="17"/>
    <x v="0"/>
    <n v="8.000001678208761E-2"/>
    <x v="1"/>
  </r>
  <r>
    <x v="8"/>
    <x v="0"/>
    <x v="17"/>
    <x v="0"/>
    <n v="0.18534792764849028"/>
    <x v="1"/>
  </r>
  <r>
    <x v="9"/>
    <x v="0"/>
    <x v="17"/>
    <x v="0"/>
    <n v="4.9953690746443714E-2"/>
    <x v="1"/>
  </r>
  <r>
    <x v="10"/>
    <x v="0"/>
    <x v="17"/>
    <x v="2"/>
    <n v="1.7890981739212009"/>
    <x v="1"/>
  </r>
  <r>
    <x v="11"/>
    <x v="0"/>
    <x v="17"/>
    <x v="2"/>
    <n v="0.81045154833792621"/>
    <x v="1"/>
  </r>
  <r>
    <x v="12"/>
    <x v="0"/>
    <x v="17"/>
    <x v="2"/>
    <n v="0.34868070843480919"/>
    <x v="1"/>
  </r>
  <r>
    <x v="13"/>
    <x v="0"/>
    <x v="17"/>
    <x v="2"/>
    <n v="0.71006759595349889"/>
    <x v="1"/>
  </r>
  <r>
    <x v="14"/>
    <x v="0"/>
    <x v="17"/>
    <x v="1"/>
    <s v="-"/>
    <x v="1"/>
  </r>
  <r>
    <x v="15"/>
    <x v="0"/>
    <x v="17"/>
    <x v="2"/>
    <n v="0.51416151065125404"/>
    <x v="1"/>
  </r>
  <r>
    <x v="16"/>
    <x v="0"/>
    <x v="17"/>
    <x v="2"/>
    <n v="28.708498617283784"/>
    <x v="1"/>
  </r>
  <r>
    <x v="17"/>
    <x v="0"/>
    <x v="17"/>
    <x v="2"/>
    <n v="42825.58006"/>
    <x v="1"/>
  </r>
  <r>
    <x v="18"/>
    <x v="0"/>
    <x v="17"/>
    <x v="2"/>
    <n v="399"/>
    <x v="1"/>
  </r>
  <r>
    <x v="19"/>
    <x v="0"/>
    <x v="17"/>
    <x v="2"/>
    <n v="1.4472515110760986"/>
    <x v="1"/>
  </r>
  <r>
    <x v="20"/>
    <x v="0"/>
    <x v="17"/>
    <x v="2"/>
    <n v="619.793854545454"/>
    <x v="1"/>
  </r>
  <r>
    <x v="21"/>
    <x v="0"/>
    <x v="17"/>
    <x v="2"/>
    <n v="301.11971"/>
    <x v="1"/>
  </r>
  <r>
    <x v="22"/>
    <x v="0"/>
    <x v="17"/>
    <x v="2"/>
    <n v="0.73718391512259973"/>
    <x v="1"/>
  </r>
  <r>
    <x v="0"/>
    <x v="0"/>
    <x v="18"/>
    <x v="0"/>
    <n v="0.10978723146574942"/>
    <x v="1"/>
  </r>
  <r>
    <x v="1"/>
    <x v="0"/>
    <x v="18"/>
    <x v="1"/>
    <m/>
    <x v="1"/>
  </r>
  <r>
    <x v="2"/>
    <x v="0"/>
    <x v="18"/>
    <x v="1"/>
    <m/>
    <x v="1"/>
  </r>
  <r>
    <x v="3"/>
    <x v="0"/>
    <x v="18"/>
    <x v="0"/>
    <n v="1.649999985536809"/>
    <x v="1"/>
  </r>
  <r>
    <x v="4"/>
    <x v="0"/>
    <x v="18"/>
    <x v="1"/>
    <n v="1.4569595452463344"/>
    <x v="1"/>
  </r>
  <r>
    <x v="5"/>
    <x v="0"/>
    <x v="18"/>
    <x v="0"/>
    <n v="0.49028590077672835"/>
    <x v="1"/>
  </r>
  <r>
    <x v="6"/>
    <x v="0"/>
    <x v="18"/>
    <x v="0"/>
    <n v="0.12797311506369455"/>
    <x v="1"/>
  </r>
  <r>
    <x v="7"/>
    <x v="0"/>
    <x v="18"/>
    <x v="0"/>
    <n v="8.0000008294494135E-2"/>
    <x v="1"/>
  </r>
  <r>
    <x v="8"/>
    <x v="0"/>
    <x v="18"/>
    <x v="0"/>
    <n v="0.21438399137516795"/>
    <x v="1"/>
  </r>
  <r>
    <x v="9"/>
    <x v="0"/>
    <x v="18"/>
    <x v="0"/>
    <n v="4.7747196495730837E-2"/>
    <x v="1"/>
  </r>
  <r>
    <x v="10"/>
    <x v="0"/>
    <x v="18"/>
    <x v="2"/>
    <n v="1.7797872077309953"/>
    <x v="1"/>
  </r>
  <r>
    <x v="11"/>
    <x v="0"/>
    <x v="18"/>
    <x v="2"/>
    <n v="0.91445712264057666"/>
    <x v="1"/>
  </r>
  <r>
    <x v="12"/>
    <x v="0"/>
    <x v="18"/>
    <x v="2"/>
    <n v="0.30550753375361162"/>
    <x v="1"/>
  </r>
  <r>
    <x v="13"/>
    <x v="0"/>
    <x v="18"/>
    <x v="2"/>
    <n v="0.71724026337710867"/>
    <x v="1"/>
  </r>
  <r>
    <x v="14"/>
    <x v="0"/>
    <x v="18"/>
    <x v="1"/>
    <s v="-"/>
    <x v="1"/>
  </r>
  <r>
    <x v="15"/>
    <x v="0"/>
    <x v="18"/>
    <x v="2"/>
    <n v="0.47722378330638038"/>
    <x v="1"/>
  </r>
  <r>
    <x v="16"/>
    <x v="0"/>
    <x v="18"/>
    <x v="2"/>
    <n v="27.325582036704485"/>
    <x v="1"/>
  </r>
  <r>
    <x v="17"/>
    <x v="0"/>
    <x v="18"/>
    <x v="2"/>
    <n v="34529.951269999998"/>
    <x v="1"/>
  </r>
  <r>
    <x v="18"/>
    <x v="0"/>
    <x v="18"/>
    <x v="2"/>
    <n v="386"/>
    <x v="1"/>
  </r>
  <r>
    <x v="19"/>
    <x v="0"/>
    <x v="18"/>
    <x v="2"/>
    <n v="1.3700428728222653"/>
    <x v="1"/>
  </r>
  <r>
    <x v="20"/>
    <x v="0"/>
    <x v="18"/>
    <x v="2"/>
    <n v="473.07513636363598"/>
    <x v="1"/>
  </r>
  <r>
    <x v="21"/>
    <x v="0"/>
    <x v="18"/>
    <x v="2"/>
    <n v="247.31243000000001"/>
    <x v="1"/>
  </r>
  <r>
    <x v="22"/>
    <x v="0"/>
    <x v="18"/>
    <x v="2"/>
    <n v="0.65280260944515667"/>
    <x v="1"/>
  </r>
  <r>
    <x v="0"/>
    <x v="0"/>
    <x v="19"/>
    <x v="0"/>
    <n v="0.1029922700623838"/>
    <x v="1"/>
  </r>
  <r>
    <x v="1"/>
    <x v="0"/>
    <x v="19"/>
    <x v="1"/>
    <m/>
    <x v="1"/>
  </r>
  <r>
    <x v="2"/>
    <x v="0"/>
    <x v="19"/>
    <x v="1"/>
    <m/>
    <x v="1"/>
  </r>
  <r>
    <x v="3"/>
    <x v="0"/>
    <x v="19"/>
    <x v="0"/>
    <n v="1.6499995738973046"/>
    <x v="1"/>
  </r>
  <r>
    <x v="4"/>
    <x v="0"/>
    <x v="19"/>
    <x v="1"/>
    <n v="1.4254377793179858"/>
    <x v="1"/>
  </r>
  <r>
    <x v="5"/>
    <x v="0"/>
    <x v="19"/>
    <x v="0"/>
    <n v="0.48540656169552743"/>
    <x v="1"/>
  </r>
  <r>
    <x v="6"/>
    <x v="0"/>
    <x v="19"/>
    <x v="0"/>
    <n v="0.12354048045042654"/>
    <x v="1"/>
  </r>
  <r>
    <x v="7"/>
    <x v="0"/>
    <x v="19"/>
    <x v="0"/>
    <n v="8.000001153446093E-2"/>
    <x v="1"/>
  </r>
  <r>
    <x v="8"/>
    <x v="0"/>
    <x v="19"/>
    <x v="0"/>
    <n v="0.2024496428121309"/>
    <x v="1"/>
  </r>
  <r>
    <x v="9"/>
    <x v="0"/>
    <x v="19"/>
    <x v="0"/>
    <n v="4.708285303828149E-2"/>
    <x v="1"/>
  </r>
  <r>
    <x v="10"/>
    <x v="0"/>
    <x v="19"/>
    <x v="2"/>
    <n v="1.7729918307633439"/>
    <x v="1"/>
  </r>
  <r>
    <x v="11"/>
    <x v="0"/>
    <x v="19"/>
    <x v="2"/>
    <n v="0.8908484729081585"/>
    <x v="1"/>
  </r>
  <r>
    <x v="12"/>
    <x v="0"/>
    <x v="19"/>
    <x v="2"/>
    <n v="0.29361559035474732"/>
    <x v="1"/>
  </r>
  <r>
    <x v="13"/>
    <x v="0"/>
    <x v="19"/>
    <x v="2"/>
    <n v="0.69372948459639883"/>
    <x v="1"/>
  </r>
  <r>
    <x v="14"/>
    <x v="0"/>
    <x v="19"/>
    <x v="1"/>
    <s v="-"/>
    <x v="1"/>
  </r>
  <r>
    <x v="15"/>
    <x v="0"/>
    <x v="19"/>
    <x v="2"/>
    <n v="0.51274459077175005"/>
    <x v="1"/>
  </r>
  <r>
    <x v="16"/>
    <x v="0"/>
    <x v="19"/>
    <x v="2"/>
    <n v="29.128399618562245"/>
    <x v="1"/>
  </r>
  <r>
    <x v="17"/>
    <x v="0"/>
    <x v="19"/>
    <x v="2"/>
    <n v="29354.076000000001"/>
    <x v="1"/>
  </r>
  <r>
    <x v="18"/>
    <x v="0"/>
    <x v="19"/>
    <x v="2"/>
    <n v="331"/>
    <x v="1"/>
  </r>
  <r>
    <x v="19"/>
    <x v="0"/>
    <x v="19"/>
    <x v="2"/>
    <n v="1.423775060471099"/>
    <x v="1"/>
  </r>
  <r>
    <x v="20"/>
    <x v="0"/>
    <x v="19"/>
    <x v="2"/>
    <n v="417.93599999999998"/>
    <x v="1"/>
  </r>
  <r>
    <x v="21"/>
    <x v="0"/>
    <x v="19"/>
    <x v="2"/>
    <n v="203.64159000000001"/>
    <x v="1"/>
  </r>
  <r>
    <x v="22"/>
    <x v="0"/>
    <x v="19"/>
    <x v="2"/>
    <n v="0.7300455758747002"/>
    <x v="1"/>
  </r>
  <r>
    <x v="0"/>
    <x v="0"/>
    <x v="20"/>
    <x v="0"/>
    <n v="0.10115805807742959"/>
    <x v="1"/>
  </r>
  <r>
    <x v="1"/>
    <x v="0"/>
    <x v="20"/>
    <x v="1"/>
    <m/>
    <x v="1"/>
  </r>
  <r>
    <x v="2"/>
    <x v="0"/>
    <x v="20"/>
    <x v="1"/>
    <m/>
    <x v="1"/>
  </r>
  <r>
    <x v="3"/>
    <x v="0"/>
    <x v="20"/>
    <x v="0"/>
    <n v="1.6499996704043347"/>
    <x v="1"/>
  </r>
  <r>
    <x v="4"/>
    <x v="0"/>
    <x v="20"/>
    <x v="1"/>
    <n v="1.4186525717626366"/>
    <x v="1"/>
  </r>
  <r>
    <x v="5"/>
    <x v="0"/>
    <x v="20"/>
    <x v="0"/>
    <n v="0.48040082852919075"/>
    <x v="1"/>
  </r>
  <r>
    <x v="6"/>
    <x v="0"/>
    <x v="20"/>
    <x v="0"/>
    <n v="0.12425350471170497"/>
    <x v="1"/>
  </r>
  <r>
    <x v="7"/>
    <x v="0"/>
    <x v="20"/>
    <x v="0"/>
    <n v="8.0000057216109532E-2"/>
    <x v="1"/>
  </r>
  <r>
    <x v="8"/>
    <x v="0"/>
    <x v="20"/>
    <x v="0"/>
    <n v="0.19987668648053705"/>
    <x v="1"/>
  </r>
  <r>
    <x v="9"/>
    <x v="0"/>
    <x v="20"/>
    <x v="0"/>
    <n v="4.7139948767488442E-2"/>
    <x v="1"/>
  </r>
  <r>
    <x v="10"/>
    <x v="0"/>
    <x v="20"/>
    <x v="2"/>
    <n v="1.7711577374411445"/>
    <x v="1"/>
  </r>
  <r>
    <x v="11"/>
    <x v="0"/>
    <x v="20"/>
    <x v="2"/>
    <n v="0.88143563926264701"/>
    <x v="1"/>
  </r>
  <r>
    <x v="12"/>
    <x v="0"/>
    <x v="20"/>
    <x v="2"/>
    <n v="0.29255152051600308"/>
    <x v="1"/>
  </r>
  <r>
    <x v="13"/>
    <x v="0"/>
    <x v="20"/>
    <x v="2"/>
    <n v="0.69372253008553952"/>
    <x v="1"/>
  </r>
  <r>
    <x v="14"/>
    <x v="0"/>
    <x v="20"/>
    <x v="1"/>
    <s v="-"/>
    <x v="1"/>
  </r>
  <r>
    <x v="15"/>
    <x v="0"/>
    <x v="20"/>
    <x v="2"/>
    <n v="0.50697825219993264"/>
    <x v="1"/>
  </r>
  <r>
    <x v="16"/>
    <x v="0"/>
    <x v="20"/>
    <x v="2"/>
    <n v="29.656559813590974"/>
    <x v="1"/>
  </r>
  <r>
    <x v="17"/>
    <x v="0"/>
    <x v="20"/>
    <x v="2"/>
    <n v="24158.704870000001"/>
    <x v="1"/>
  </r>
  <r>
    <x v="18"/>
    <x v="0"/>
    <x v="20"/>
    <x v="2"/>
    <n v="285"/>
    <x v="1"/>
  </r>
  <r>
    <x v="19"/>
    <x v="0"/>
    <x v="20"/>
    <x v="2"/>
    <n v="1.4077154008086903"/>
    <x v="1"/>
  </r>
  <r>
    <x v="20"/>
    <x v="0"/>
    <x v="20"/>
    <x v="2"/>
    <n v="340.08499999999998"/>
    <x v="1"/>
  </r>
  <r>
    <x v="21"/>
    <x v="0"/>
    <x v="20"/>
    <x v="2"/>
    <n v="167.66900000000001"/>
    <x v="1"/>
  </r>
  <r>
    <x v="22"/>
    <x v="0"/>
    <x v="20"/>
    <x v="2"/>
    <n v="0.71399287072315076"/>
    <x v="1"/>
  </r>
  <r>
    <x v="0"/>
    <x v="0"/>
    <x v="21"/>
    <x v="0"/>
    <n v="0.10608143804112372"/>
    <x v="1"/>
  </r>
  <r>
    <x v="1"/>
    <x v="0"/>
    <x v="21"/>
    <x v="1"/>
    <m/>
    <x v="1"/>
  </r>
  <r>
    <x v="2"/>
    <x v="0"/>
    <x v="21"/>
    <x v="1"/>
    <m/>
    <x v="1"/>
  </r>
  <r>
    <x v="3"/>
    <x v="0"/>
    <x v="21"/>
    <x v="0"/>
    <n v="1.6500006986495737"/>
    <x v="1"/>
  </r>
  <r>
    <x v="4"/>
    <x v="0"/>
    <x v="21"/>
    <x v="1"/>
    <n v="1.3897746735312122"/>
    <x v="1"/>
  </r>
  <r>
    <x v="5"/>
    <x v="0"/>
    <x v="21"/>
    <x v="0"/>
    <n v="0.49088705686093065"/>
    <x v="1"/>
  </r>
  <r>
    <x v="6"/>
    <x v="0"/>
    <x v="21"/>
    <x v="0"/>
    <n v="0.12979576083607378"/>
    <x v="1"/>
  </r>
  <r>
    <x v="7"/>
    <x v="0"/>
    <x v="21"/>
    <x v="0"/>
    <n v="8.0000012624964381E-2"/>
    <x v="1"/>
  </r>
  <r>
    <x v="8"/>
    <x v="0"/>
    <x v="21"/>
    <x v="0"/>
    <n v="0.21484399391700329"/>
    <x v="1"/>
  </r>
  <r>
    <x v="9"/>
    <x v="0"/>
    <x v="21"/>
    <x v="0"/>
    <n v="4.8331018154824885E-2"/>
    <x v="1"/>
  </r>
  <r>
    <x v="10"/>
    <x v="0"/>
    <x v="21"/>
    <x v="2"/>
    <n v="1.7760849360862894"/>
    <x v="1"/>
  </r>
  <r>
    <x v="11"/>
    <x v="0"/>
    <x v="21"/>
    <x v="2"/>
    <n v="0.91181530083961415"/>
    <x v="1"/>
  </r>
  <r>
    <x v="12"/>
    <x v="0"/>
    <x v="21"/>
    <x v="2"/>
    <n v="0.3042110164276145"/>
    <x v="1"/>
  </r>
  <r>
    <x v="13"/>
    <x v="0"/>
    <x v="21"/>
    <x v="2"/>
    <n v="0.72089064970761374"/>
    <x v="1"/>
  </r>
  <r>
    <x v="14"/>
    <x v="0"/>
    <x v="21"/>
    <x v="1"/>
    <s v="-"/>
    <x v="1"/>
  </r>
  <r>
    <x v="15"/>
    <x v="0"/>
    <x v="21"/>
    <x v="2"/>
    <n v="0.48890692492814336"/>
    <x v="1"/>
  </r>
  <r>
    <x v="16"/>
    <x v="0"/>
    <x v="21"/>
    <x v="2"/>
    <n v="28.28015961507813"/>
    <x v="1"/>
  </r>
  <r>
    <x v="17"/>
    <x v="0"/>
    <x v="21"/>
    <x v="2"/>
    <n v="18614.824089999998"/>
    <x v="1"/>
  </r>
  <r>
    <x v="18"/>
    <x v="0"/>
    <x v="21"/>
    <x v="2"/>
    <n v="244"/>
    <x v="1"/>
  </r>
  <r>
    <x v="19"/>
    <x v="0"/>
    <x v="21"/>
    <x v="2"/>
    <n v="1.411786349330715"/>
    <x v="1"/>
  </r>
  <r>
    <x v="20"/>
    <x v="0"/>
    <x v="21"/>
    <x v="2"/>
    <n v="262.80154545454502"/>
    <x v="1"/>
  </r>
  <r>
    <x v="21"/>
    <x v="0"/>
    <x v="21"/>
    <x v="2"/>
    <n v="134.31604999999999"/>
    <x v="1"/>
  </r>
  <r>
    <x v="22"/>
    <x v="0"/>
    <x v="21"/>
    <x v="2"/>
    <n v="0.69089569962310127"/>
    <x v="1"/>
  </r>
  <r>
    <x v="0"/>
    <x v="0"/>
    <x v="22"/>
    <x v="0"/>
    <n v="0.1049773720393629"/>
    <x v="1"/>
  </r>
  <r>
    <x v="1"/>
    <x v="0"/>
    <x v="22"/>
    <x v="1"/>
    <m/>
    <x v="1"/>
  </r>
  <r>
    <x v="2"/>
    <x v="0"/>
    <x v="22"/>
    <x v="1"/>
    <m/>
    <x v="1"/>
  </r>
  <r>
    <x v="3"/>
    <x v="0"/>
    <x v="22"/>
    <x v="0"/>
    <n v="1.650000718752874"/>
    <x v="1"/>
  </r>
  <r>
    <x v="4"/>
    <x v="0"/>
    <x v="22"/>
    <x v="1"/>
    <n v="1.3905701759998361"/>
    <x v="1"/>
  </r>
  <r>
    <x v="5"/>
    <x v="0"/>
    <x v="22"/>
    <x v="0"/>
    <n v="0.5088440883537676"/>
    <x v="1"/>
  </r>
  <r>
    <x v="6"/>
    <x v="0"/>
    <x v="22"/>
    <x v="0"/>
    <n v="0.12815633909813381"/>
    <x v="1"/>
  </r>
  <r>
    <x v="7"/>
    <x v="0"/>
    <x v="22"/>
    <x v="0"/>
    <n v="8.0000112063348158E-2"/>
    <x v="1"/>
  </r>
  <r>
    <x v="8"/>
    <x v="0"/>
    <x v="22"/>
    <x v="0"/>
    <n v="0.22934353424053358"/>
    <x v="1"/>
  </r>
  <r>
    <x v="9"/>
    <x v="0"/>
    <x v="22"/>
    <x v="0"/>
    <n v="4.8051932094120807E-2"/>
    <x v="1"/>
  </r>
  <r>
    <x v="10"/>
    <x v="0"/>
    <x v="22"/>
    <x v="2"/>
    <n v="1.7749780894701934"/>
    <x v="1"/>
  </r>
  <r>
    <x v="11"/>
    <x v="0"/>
    <x v="22"/>
    <x v="2"/>
    <n v="0.94316510537496856"/>
    <x v="1"/>
  </r>
  <r>
    <x v="12"/>
    <x v="0"/>
    <x v="22"/>
    <x v="2"/>
    <n v="0.30118564190957392"/>
    <x v="1"/>
  </r>
  <r>
    <x v="13"/>
    <x v="0"/>
    <x v="22"/>
    <x v="2"/>
    <n v="0.73783442525276244"/>
    <x v="1"/>
  </r>
  <r>
    <x v="14"/>
    <x v="0"/>
    <x v="22"/>
    <x v="1"/>
    <s v="-"/>
    <x v="1"/>
  </r>
  <r>
    <x v="15"/>
    <x v="0"/>
    <x v="22"/>
    <x v="2"/>
    <n v="0.47610371976648502"/>
    <x v="1"/>
  </r>
  <r>
    <x v="16"/>
    <x v="0"/>
    <x v="22"/>
    <x v="2"/>
    <n v="29.111612052701275"/>
    <x v="1"/>
  </r>
  <r>
    <x v="17"/>
    <x v="0"/>
    <x v="22"/>
    <x v="2"/>
    <n v="14901"/>
    <x v="1"/>
  </r>
  <r>
    <x v="18"/>
    <x v="0"/>
    <x v="22"/>
    <x v="2"/>
    <n v="190"/>
    <x v="1"/>
  </r>
  <r>
    <x v="19"/>
    <x v="0"/>
    <x v="22"/>
    <x v="2"/>
    <n v="1.4087666567088677"/>
    <x v="1"/>
  </r>
  <r>
    <x v="20"/>
    <x v="0"/>
    <x v="22"/>
    <x v="2"/>
    <n v="209.93"/>
    <x v="1"/>
  </r>
  <r>
    <x v="21"/>
    <x v="0"/>
    <x v="22"/>
    <x v="2"/>
    <n v="109.97915999999999"/>
    <x v="1"/>
  </r>
  <r>
    <x v="22"/>
    <x v="0"/>
    <x v="22"/>
    <x v="2"/>
    <n v="0.67093223145610525"/>
    <x v="1"/>
  </r>
  <r>
    <x v="0"/>
    <x v="0"/>
    <x v="23"/>
    <x v="0"/>
    <n v="0.1134985830563474"/>
    <x v="1"/>
  </r>
  <r>
    <x v="1"/>
    <x v="0"/>
    <x v="23"/>
    <x v="1"/>
    <m/>
    <x v="1"/>
  </r>
  <r>
    <x v="2"/>
    <x v="0"/>
    <x v="23"/>
    <x v="1"/>
    <m/>
    <x v="1"/>
  </r>
  <r>
    <x v="3"/>
    <x v="0"/>
    <x v="23"/>
    <x v="0"/>
    <n v="1.6499996731166102"/>
    <x v="1"/>
  </r>
  <r>
    <x v="4"/>
    <x v="0"/>
    <x v="23"/>
    <x v="1"/>
    <n v="1.3943220034641417"/>
    <x v="1"/>
  </r>
  <r>
    <x v="5"/>
    <x v="0"/>
    <x v="23"/>
    <x v="0"/>
    <n v="0.5326609328976204"/>
    <x v="1"/>
  </r>
  <r>
    <x v="6"/>
    <x v="0"/>
    <x v="23"/>
    <x v="0"/>
    <n v="0.13668376429735693"/>
    <x v="1"/>
  </r>
  <r>
    <x v="7"/>
    <x v="0"/>
    <x v="23"/>
    <x v="0"/>
    <n v="7.9999994242328468E-2"/>
    <x v="1"/>
  </r>
  <r>
    <x v="8"/>
    <x v="0"/>
    <x v="23"/>
    <x v="0"/>
    <n v="0.24970736261011262"/>
    <x v="1"/>
  </r>
  <r>
    <x v="9"/>
    <x v="0"/>
    <x v="23"/>
    <x v="0"/>
    <n v="5.0190007174217059E-2"/>
    <x v="1"/>
  </r>
  <r>
    <x v="10"/>
    <x v="0"/>
    <x v="23"/>
    <x v="2"/>
    <n v="1.783498280634549"/>
    <x v="1"/>
  </r>
  <r>
    <x v="11"/>
    <x v="0"/>
    <x v="23"/>
    <x v="2"/>
    <n v="0.99586689726800048"/>
    <x v="1"/>
  </r>
  <r>
    <x v="12"/>
    <x v="0"/>
    <x v="23"/>
    <x v="2"/>
    <n v="0.32037237898951293"/>
    <x v="1"/>
  </r>
  <r>
    <x v="13"/>
    <x v="0"/>
    <x v="23"/>
    <x v="2"/>
    <n v="0.77751570972590334"/>
    <x v="1"/>
  </r>
  <r>
    <x v="14"/>
    <x v="0"/>
    <x v="23"/>
    <x v="1"/>
    <s v="-"/>
    <x v="1"/>
  </r>
  <r>
    <x v="15"/>
    <x v="0"/>
    <x v="23"/>
    <x v="2"/>
    <n v="0.44231557984360659"/>
    <x v="1"/>
  </r>
  <r>
    <x v="16"/>
    <x v="0"/>
    <x v="23"/>
    <x v="2"/>
    <n v="26.432048041609676"/>
    <x v="1"/>
  </r>
  <r>
    <x v="17"/>
    <x v="0"/>
    <x v="23"/>
    <x v="2"/>
    <n v="12140.2918300087"/>
    <x v="1"/>
  </r>
  <r>
    <x v="18"/>
    <x v="0"/>
    <x v="23"/>
    <x v="2"/>
    <n v="160"/>
    <x v="1"/>
  </r>
  <r>
    <x v="19"/>
    <x v="0"/>
    <x v="23"/>
    <x v="2"/>
    <n v="1.3959798466607807"/>
    <x v="1"/>
  </r>
  <r>
    <x v="20"/>
    <x v="0"/>
    <x v="23"/>
    <x v="2"/>
    <n v="169.47602727272701"/>
    <x v="1"/>
  </r>
  <r>
    <x v="21"/>
    <x v="0"/>
    <x v="23"/>
    <x v="2"/>
    <n v="94.514139999999998"/>
    <x v="1"/>
  </r>
  <r>
    <x v="22"/>
    <x v="0"/>
    <x v="23"/>
    <x v="2"/>
    <n v="0.61667010867630667"/>
    <x v="1"/>
  </r>
  <r>
    <x v="0"/>
    <x v="0"/>
    <x v="24"/>
    <x v="0"/>
    <n v="0.11465800654931722"/>
    <x v="1"/>
  </r>
  <r>
    <x v="1"/>
    <x v="0"/>
    <x v="24"/>
    <x v="1"/>
    <m/>
    <x v="1"/>
  </r>
  <r>
    <x v="2"/>
    <x v="0"/>
    <x v="24"/>
    <x v="1"/>
    <m/>
    <x v="1"/>
  </r>
  <r>
    <x v="3"/>
    <x v="0"/>
    <x v="24"/>
    <x v="0"/>
    <n v="1.6500006428553062"/>
    <x v="1"/>
  </r>
  <r>
    <x v="4"/>
    <x v="0"/>
    <x v="24"/>
    <x v="1"/>
    <n v="1.4437298296415211"/>
    <x v="1"/>
  </r>
  <r>
    <x v="5"/>
    <x v="0"/>
    <x v="24"/>
    <x v="0"/>
    <n v="0.5315405627151043"/>
    <x v="1"/>
  </r>
  <r>
    <x v="6"/>
    <x v="0"/>
    <x v="24"/>
    <x v="0"/>
    <n v="0.13717955154056186"/>
    <x v="1"/>
  </r>
  <r>
    <x v="7"/>
    <x v="0"/>
    <x v="24"/>
    <x v="0"/>
    <n v="8.0000351243300113E-2"/>
    <x v="1"/>
  </r>
  <r>
    <x v="8"/>
    <x v="0"/>
    <x v="24"/>
    <x v="0"/>
    <n v="0.24494493611367371"/>
    <x v="1"/>
  </r>
  <r>
    <x v="9"/>
    <x v="0"/>
    <x v="24"/>
    <x v="0"/>
    <n v="5.06839603156677E-2"/>
    <x v="1"/>
  </r>
  <r>
    <x v="10"/>
    <x v="0"/>
    <x v="24"/>
    <x v="2"/>
    <n v="1.7846586041284072"/>
    <x v="1"/>
  </r>
  <r>
    <x v="11"/>
    <x v="0"/>
    <x v="24"/>
    <x v="2"/>
    <n v="0.99114381134517915"/>
    <x v="1"/>
  </r>
  <r>
    <x v="12"/>
    <x v="0"/>
    <x v="24"/>
    <x v="2"/>
    <n v="0.3225214731293306"/>
    <x v="1"/>
  </r>
  <r>
    <x v="13"/>
    <x v="0"/>
    <x v="24"/>
    <x v="2"/>
    <n v="0.78041740587610209"/>
    <x v="1"/>
  </r>
  <r>
    <x v="14"/>
    <x v="0"/>
    <x v="24"/>
    <x v="1"/>
    <s v="-"/>
    <x v="1"/>
  </r>
  <r>
    <x v="15"/>
    <x v="0"/>
    <x v="24"/>
    <x v="2"/>
    <n v="0.43828763568431839"/>
    <x v="1"/>
  </r>
  <r>
    <x v="16"/>
    <x v="0"/>
    <x v="24"/>
    <x v="2"/>
    <n v="26.756553008492872"/>
    <x v="1"/>
  </r>
  <r>
    <x v="17"/>
    <x v="0"/>
    <x v="24"/>
    <x v="2"/>
    <n v="8921.4889999999996"/>
    <x v="1"/>
  </r>
  <r>
    <x v="18"/>
    <x v="0"/>
    <x v="24"/>
    <x v="2"/>
    <n v="136"/>
    <x v="1"/>
  </r>
  <r>
    <x v="19"/>
    <x v="0"/>
    <x v="24"/>
    <x v="2"/>
    <n v="1.389454465198884"/>
    <x v="1"/>
  </r>
  <r>
    <x v="20"/>
    <x v="0"/>
    <x v="24"/>
    <x v="2"/>
    <n v="123.960027272727"/>
    <x v="1"/>
  </r>
  <r>
    <x v="21"/>
    <x v="0"/>
    <x v="24"/>
    <x v="2"/>
    <n v="69.62988"/>
    <x v="1"/>
  </r>
  <r>
    <x v="22"/>
    <x v="0"/>
    <x v="24"/>
    <x v="2"/>
    <n v="0.60903705932278196"/>
    <x v="1"/>
  </r>
  <r>
    <x v="0"/>
    <x v="0"/>
    <x v="25"/>
    <x v="0"/>
    <n v="0.10932788961224182"/>
    <x v="1"/>
  </r>
  <r>
    <x v="1"/>
    <x v="0"/>
    <x v="25"/>
    <x v="1"/>
    <m/>
    <x v="1"/>
  </r>
  <r>
    <x v="2"/>
    <x v="0"/>
    <x v="25"/>
    <x v="1"/>
    <m/>
    <x v="1"/>
  </r>
  <r>
    <x v="3"/>
    <x v="0"/>
    <x v="25"/>
    <x v="0"/>
    <n v="1.6500019740709742"/>
    <x v="1"/>
  </r>
  <r>
    <x v="4"/>
    <x v="0"/>
    <x v="25"/>
    <x v="1"/>
    <n v="1.4054137038303456"/>
    <x v="1"/>
  </r>
  <r>
    <x v="5"/>
    <x v="0"/>
    <x v="25"/>
    <x v="0"/>
    <n v="0.5292738914262316"/>
    <x v="1"/>
  </r>
  <r>
    <x v="6"/>
    <x v="0"/>
    <x v="25"/>
    <x v="0"/>
    <n v="0.12706444438757816"/>
    <x v="1"/>
  </r>
  <r>
    <x v="7"/>
    <x v="0"/>
    <x v="25"/>
    <x v="0"/>
    <n v="8.0000031560132134E-2"/>
    <x v="1"/>
  </r>
  <r>
    <x v="8"/>
    <x v="0"/>
    <x v="25"/>
    <x v="0"/>
    <n v="0.23986123901427961"/>
    <x v="1"/>
  </r>
  <r>
    <x v="9"/>
    <x v="0"/>
    <x v="25"/>
    <x v="0"/>
    <n v="4.9070505924394367E-2"/>
    <x v="1"/>
  </r>
  <r>
    <x v="10"/>
    <x v="0"/>
    <x v="25"/>
    <x v="2"/>
    <n v="1.7793298597441642"/>
    <x v="1"/>
  </r>
  <r>
    <x v="11"/>
    <x v="0"/>
    <x v="25"/>
    <x v="2"/>
    <n v="0.9784630476738333"/>
    <x v="1"/>
  </r>
  <r>
    <x v="12"/>
    <x v="0"/>
    <x v="25"/>
    <x v="2"/>
    <n v="0.30546283598516255"/>
    <x v="1"/>
  </r>
  <r>
    <x v="13"/>
    <x v="0"/>
    <x v="25"/>
    <x v="2"/>
    <n v="0.75379429956194588"/>
    <x v="1"/>
  </r>
  <r>
    <x v="14"/>
    <x v="0"/>
    <x v="25"/>
    <x v="1"/>
    <s v="-"/>
    <x v="1"/>
  </r>
  <r>
    <x v="15"/>
    <x v="0"/>
    <x v="25"/>
    <x v="2"/>
    <n v="0.45711594878896811"/>
    <x v="1"/>
  </r>
  <r>
    <x v="16"/>
    <x v="0"/>
    <x v="25"/>
    <x v="2"/>
    <n v="28.11945093981592"/>
    <x v="1"/>
  </r>
  <r>
    <x v="17"/>
    <x v="0"/>
    <x v="25"/>
    <x v="2"/>
    <n v="7523.3509999999997"/>
    <x v="1"/>
  </r>
  <r>
    <x v="18"/>
    <x v="0"/>
    <x v="25"/>
    <x v="2"/>
    <n v="111"/>
    <x v="1"/>
  </r>
  <r>
    <x v="19"/>
    <x v="0"/>
    <x v="25"/>
    <x v="2"/>
    <n v="1.3884996213840295"/>
    <x v="1"/>
  </r>
  <r>
    <x v="20"/>
    <x v="0"/>
    <x v="25"/>
    <x v="2"/>
    <n v="104.525063636364"/>
    <x v="1"/>
  </r>
  <r>
    <x v="21"/>
    <x v="0"/>
    <x v="25"/>
    <x v="2"/>
    <n v="56.744990000000001"/>
    <x v="1"/>
  </r>
  <r>
    <x v="22"/>
    <x v="0"/>
    <x v="25"/>
    <x v="2"/>
    <n v="0.63470532182208361"/>
    <x v="1"/>
  </r>
  <r>
    <x v="0"/>
    <x v="0"/>
    <x v="26"/>
    <x v="0"/>
    <n v="9.0311505974893624E-2"/>
    <x v="1"/>
  </r>
  <r>
    <x v="1"/>
    <x v="0"/>
    <x v="26"/>
    <x v="1"/>
    <m/>
    <x v="1"/>
  </r>
  <r>
    <x v="2"/>
    <x v="0"/>
    <x v="26"/>
    <x v="1"/>
    <m/>
    <x v="1"/>
  </r>
  <r>
    <x v="3"/>
    <x v="0"/>
    <x v="26"/>
    <x v="0"/>
    <n v="1.649999930814712"/>
    <x v="1"/>
  </r>
  <r>
    <x v="4"/>
    <x v="0"/>
    <x v="26"/>
    <x v="1"/>
    <n v="1.369236475998747"/>
    <x v="1"/>
  </r>
  <r>
    <x v="5"/>
    <x v="0"/>
    <x v="26"/>
    <x v="0"/>
    <n v="0.54282583714270527"/>
    <x v="1"/>
  </r>
  <r>
    <x v="6"/>
    <x v="0"/>
    <x v="26"/>
    <x v="0"/>
    <n v="0.11427584182784989"/>
    <x v="1"/>
  </r>
  <r>
    <x v="7"/>
    <x v="0"/>
    <x v="26"/>
    <x v="0"/>
    <n v="8.0000190440900482E-2"/>
    <x v="1"/>
  </r>
  <r>
    <x v="8"/>
    <x v="0"/>
    <x v="26"/>
    <x v="0"/>
    <n v="0.2096977353338578"/>
    <x v="1"/>
  </r>
  <r>
    <x v="9"/>
    <x v="0"/>
    <x v="26"/>
    <x v="0"/>
    <n v="4.5816407738570999E-2"/>
    <x v="1"/>
  </r>
  <r>
    <x v="10"/>
    <x v="0"/>
    <x v="26"/>
    <x v="2"/>
    <n v="1.7603114754157123"/>
    <x v="1"/>
  </r>
  <r>
    <x v="11"/>
    <x v="0"/>
    <x v="26"/>
    <x v="2"/>
    <n v="0.94283530751846389"/>
    <x v="1"/>
  </r>
  <r>
    <x v="12"/>
    <x v="0"/>
    <x v="26"/>
    <x v="2"/>
    <n v="0.27040379416742133"/>
    <x v="1"/>
  </r>
  <r>
    <x v="13"/>
    <x v="0"/>
    <x v="26"/>
    <x v="2"/>
    <n v="0.7574472718185602"/>
    <x v="1"/>
  </r>
  <r>
    <x v="14"/>
    <x v="0"/>
    <x v="26"/>
    <x v="1"/>
    <s v="-"/>
    <x v="1"/>
  </r>
  <r>
    <x v="15"/>
    <x v="0"/>
    <x v="26"/>
    <x v="2"/>
    <n v="0.44259646142867914"/>
    <x v="1"/>
  </r>
  <r>
    <x v="16"/>
    <x v="0"/>
    <x v="26"/>
    <x v="2"/>
    <n v="33.937061732835758"/>
    <x v="1"/>
  </r>
  <r>
    <x v="17"/>
    <x v="0"/>
    <x v="26"/>
    <x v="2"/>
    <n v="7539"/>
    <x v="1"/>
  </r>
  <r>
    <x v="18"/>
    <x v="0"/>
    <x v="26"/>
    <x v="2"/>
    <n v="93"/>
    <x v="1"/>
  </r>
  <r>
    <x v="19"/>
    <x v="0"/>
    <x v="26"/>
    <x v="2"/>
    <n v="1.3588849359657291"/>
    <x v="1"/>
  </r>
  <r>
    <x v="20"/>
    <x v="0"/>
    <x v="26"/>
    <x v="2"/>
    <n v="102.56"/>
    <x v="1"/>
  </r>
  <r>
    <x v="21"/>
    <x v="0"/>
    <x v="26"/>
    <x v="2"/>
    <n v="57.17"/>
    <x v="1"/>
  </r>
  <r>
    <x v="22"/>
    <x v="0"/>
    <x v="26"/>
    <x v="2"/>
    <n v="0.60143766414716893"/>
    <x v="1"/>
  </r>
  <r>
    <x v="0"/>
    <x v="0"/>
    <x v="27"/>
    <x v="0"/>
    <n v="9.7103792936998404E-2"/>
    <x v="1"/>
  </r>
  <r>
    <x v="1"/>
    <x v="0"/>
    <x v="27"/>
    <x v="1"/>
    <m/>
    <x v="1"/>
  </r>
  <r>
    <x v="2"/>
    <x v="0"/>
    <x v="27"/>
    <x v="1"/>
    <m/>
    <x v="1"/>
  </r>
  <r>
    <x v="3"/>
    <x v="0"/>
    <x v="27"/>
    <x v="0"/>
    <n v="1.9500016146977823"/>
    <x v="1"/>
  </r>
  <r>
    <x v="4"/>
    <x v="0"/>
    <x v="27"/>
    <x v="1"/>
    <n v="1.4500982353683376"/>
    <x v="1"/>
  </r>
  <r>
    <x v="5"/>
    <x v="0"/>
    <x v="27"/>
    <x v="0"/>
    <n v="0.54055063979090812"/>
    <x v="1"/>
  </r>
  <r>
    <x v="6"/>
    <x v="0"/>
    <x v="27"/>
    <x v="0"/>
    <n v="0.12625069452290097"/>
    <x v="1"/>
  </r>
  <r>
    <x v="7"/>
    <x v="0"/>
    <x v="27"/>
    <x v="0"/>
    <n v="7.9999822496659143E-2"/>
    <x v="1"/>
  </r>
  <r>
    <x v="8"/>
    <x v="0"/>
    <x v="27"/>
    <x v="0"/>
    <n v="0.22485169043554482"/>
    <x v="1"/>
  </r>
  <r>
    <x v="9"/>
    <x v="0"/>
    <x v="27"/>
    <x v="0"/>
    <n v="4.8116156422010115E-2"/>
    <x v="1"/>
  </r>
  <r>
    <x v="10"/>
    <x v="0"/>
    <x v="27"/>
    <x v="2"/>
    <n v="2.067105485921759"/>
    <x v="1"/>
  </r>
  <r>
    <x v="11"/>
    <x v="0"/>
    <x v="27"/>
    <x v="2"/>
    <n v="0.96250602394708895"/>
    <x v="1"/>
  </r>
  <r>
    <x v="12"/>
    <x v="0"/>
    <x v="27"/>
    <x v="2"/>
    <n v="0.29147072216888781"/>
    <x v="1"/>
  </r>
  <r>
    <x v="13"/>
    <x v="0"/>
    <x v="27"/>
    <x v="2"/>
    <n v="0.82011256608999406"/>
    <x v="1"/>
  </r>
  <r>
    <x v="14"/>
    <x v="0"/>
    <x v="27"/>
    <x v="1"/>
    <s v="-"/>
    <x v="1"/>
  </r>
  <r>
    <x v="15"/>
    <x v="0"/>
    <x v="27"/>
    <x v="2"/>
    <n v="0.35928360780703839"/>
    <x v="1"/>
  </r>
  <r>
    <x v="16"/>
    <x v="0"/>
    <x v="27"/>
    <x v="2"/>
    <n v="31.783513838980362"/>
    <x v="1"/>
  </r>
  <r>
    <x v="17"/>
    <x v="0"/>
    <x v="27"/>
    <x v="2"/>
    <n v="3294"/>
    <x v="1"/>
  </r>
  <r>
    <x v="18"/>
    <x v="0"/>
    <x v="27"/>
    <x v="2"/>
    <n v="72"/>
    <x v="1"/>
  </r>
  <r>
    <x v="19"/>
    <x v="0"/>
    <x v="27"/>
    <x v="2"/>
    <n v="1.279993107844515"/>
    <x v="1"/>
  </r>
  <r>
    <x v="20"/>
    <x v="0"/>
    <x v="27"/>
    <x v="2"/>
    <n v="42.3"/>
    <x v="1"/>
  </r>
  <r>
    <x v="21"/>
    <x v="0"/>
    <x v="27"/>
    <x v="2"/>
    <n v="27.06"/>
    <x v="1"/>
  </r>
  <r>
    <x v="22"/>
    <x v="0"/>
    <x v="27"/>
    <x v="2"/>
    <n v="0.45988054175452098"/>
    <x v="1"/>
  </r>
  <r>
    <x v="0"/>
    <x v="0"/>
    <x v="28"/>
    <x v="0"/>
    <n v="8.6599446369699476E-2"/>
    <x v="1"/>
  </r>
  <r>
    <x v="1"/>
    <x v="0"/>
    <x v="28"/>
    <x v="1"/>
    <m/>
    <x v="1"/>
  </r>
  <r>
    <x v="2"/>
    <x v="0"/>
    <x v="28"/>
    <x v="1"/>
    <m/>
    <x v="1"/>
  </r>
  <r>
    <x v="3"/>
    <x v="0"/>
    <x v="28"/>
    <x v="0"/>
    <n v="1.9502834706995986"/>
    <x v="1"/>
  </r>
  <r>
    <x v="4"/>
    <x v="0"/>
    <x v="28"/>
    <x v="1"/>
    <n v="1.45"/>
    <x v="1"/>
  </r>
  <r>
    <x v="5"/>
    <x v="0"/>
    <x v="28"/>
    <x v="0"/>
    <n v="0.51685014314400246"/>
    <x v="1"/>
  </r>
  <r>
    <x v="6"/>
    <x v="0"/>
    <x v="28"/>
    <x v="0"/>
    <n v="0.11823905939287145"/>
    <x v="1"/>
  </r>
  <r>
    <x v="7"/>
    <x v="0"/>
    <x v="28"/>
    <x v="0"/>
    <n v="8.0000413799747871E-2"/>
    <x v="1"/>
  </r>
  <r>
    <x v="8"/>
    <x v="0"/>
    <x v="28"/>
    <x v="0"/>
    <n v="0.18691609781682667"/>
    <x v="1"/>
  </r>
  <r>
    <x v="9"/>
    <x v="0"/>
    <x v="28"/>
    <x v="0"/>
    <n v="4.707551436316549E-2"/>
    <x v="1"/>
  </r>
  <r>
    <x v="10"/>
    <x v="0"/>
    <x v="28"/>
    <x v="2"/>
    <n v="2.0568829462062608"/>
    <x v="1"/>
  </r>
  <r>
    <x v="11"/>
    <x v="0"/>
    <x v="28"/>
    <x v="2"/>
    <n v="0.89036613026723932"/>
    <x v="1"/>
  </r>
  <r>
    <x v="12"/>
    <x v="0"/>
    <x v="28"/>
    <x v="2"/>
    <n v="0.27191404926269919"/>
    <x v="1"/>
  </r>
  <r>
    <x v="13"/>
    <x v="0"/>
    <x v="28"/>
    <x v="2"/>
    <n v="0.80742689522099353"/>
    <x v="1"/>
  </r>
  <r>
    <x v="14"/>
    <x v="0"/>
    <x v="28"/>
    <x v="1"/>
    <m/>
    <x v="1"/>
  </r>
  <r>
    <x v="15"/>
    <x v="0"/>
    <x v="28"/>
    <x v="2"/>
    <n v="0.39538432243387533"/>
    <x v="1"/>
  </r>
  <r>
    <x v="16"/>
    <x v="0"/>
    <x v="28"/>
    <x v="2"/>
    <n v="35.276492694788885"/>
    <x v="1"/>
  </r>
  <r>
    <x v="17"/>
    <x v="0"/>
    <x v="28"/>
    <x v="2"/>
    <n v="1755"/>
    <x v="1"/>
  </r>
  <r>
    <x v="18"/>
    <x v="0"/>
    <x v="28"/>
    <x v="2"/>
    <n v="36"/>
    <x v="1"/>
  </r>
  <r>
    <x v="19"/>
    <x v="0"/>
    <x v="28"/>
    <x v="2"/>
    <n v="1.3354382381735181"/>
    <x v="1"/>
  </r>
  <r>
    <x v="20"/>
    <x v="0"/>
    <x v="28"/>
    <x v="2"/>
    <n v="23.4"/>
    <x v="1"/>
  </r>
  <r>
    <x v="21"/>
    <x v="0"/>
    <x v="28"/>
    <x v="2"/>
    <n v="14.17"/>
    <x v="1"/>
  </r>
  <r>
    <x v="22"/>
    <x v="0"/>
    <x v="28"/>
    <x v="2"/>
    <n v="0.53"/>
    <x v="1"/>
  </r>
  <r>
    <x v="0"/>
    <x v="0"/>
    <x v="29"/>
    <x v="0"/>
    <n v="0.11284985761573603"/>
    <x v="1"/>
  </r>
  <r>
    <x v="1"/>
    <x v="0"/>
    <x v="29"/>
    <x v="1"/>
    <m/>
    <x v="1"/>
  </r>
  <r>
    <x v="2"/>
    <x v="0"/>
    <x v="29"/>
    <x v="1"/>
    <m/>
    <x v="1"/>
  </r>
  <r>
    <x v="3"/>
    <x v="0"/>
    <x v="29"/>
    <x v="0"/>
    <n v="1.9499986689319415"/>
    <x v="1"/>
  </r>
  <r>
    <x v="4"/>
    <x v="0"/>
    <x v="29"/>
    <x v="1"/>
    <m/>
    <x v="1"/>
  </r>
  <r>
    <x v="5"/>
    <x v="0"/>
    <x v="29"/>
    <x v="0"/>
    <n v="0.516799140875285"/>
    <x v="1"/>
  </r>
  <r>
    <x v="6"/>
    <x v="0"/>
    <x v="29"/>
    <x v="0"/>
    <n v="0.12996069805073801"/>
    <x v="1"/>
  </r>
  <r>
    <x v="7"/>
    <x v="0"/>
    <x v="29"/>
    <x v="0"/>
    <n v="8.0000826081456797E-2"/>
    <x v="1"/>
  </r>
  <r>
    <x v="8"/>
    <x v="0"/>
    <x v="29"/>
    <x v="0"/>
    <n v="0.20205952433197116"/>
    <x v="1"/>
  </r>
  <r>
    <x v="9"/>
    <x v="0"/>
    <x v="29"/>
    <x v="0"/>
    <n v="0.05"/>
    <x v="1"/>
  </r>
  <r>
    <x v="10"/>
    <x v="0"/>
    <x v="29"/>
    <x v="2"/>
    <n v="2.0821266497514386"/>
    <x v="1"/>
  </r>
  <r>
    <x v="11"/>
    <x v="0"/>
    <x v="29"/>
    <x v="2"/>
    <n v="0.9309874721082102"/>
    <x v="1"/>
  </r>
  <r>
    <x v="12"/>
    <x v="0"/>
    <x v="29"/>
    <x v="2"/>
    <n v="0.31341020586991591"/>
    <x v="1"/>
  </r>
  <r>
    <x v="13"/>
    <x v="0"/>
    <x v="29"/>
    <x v="2"/>
    <n v="0.77943022362291858"/>
    <x v="1"/>
  </r>
  <r>
    <x v="14"/>
    <x v="0"/>
    <x v="29"/>
    <x v="1"/>
    <m/>
    <x v="1"/>
  </r>
  <r>
    <x v="15"/>
    <x v="0"/>
    <x v="29"/>
    <x v="2"/>
    <n v="0.4353031331966829"/>
    <x v="1"/>
  </r>
  <r>
    <x v="16"/>
    <x v="0"/>
    <x v="29"/>
    <x v="2"/>
    <n v="27.260362300154718"/>
    <x v="1"/>
  </r>
  <r>
    <x v="17"/>
    <x v="0"/>
    <x v="29"/>
    <x v="2"/>
    <n v="630"/>
    <x v="1"/>
  </r>
  <r>
    <x v="18"/>
    <x v="0"/>
    <x v="29"/>
    <x v="2"/>
    <n v="24"/>
    <x v="1"/>
  </r>
  <r>
    <x v="19"/>
    <x v="0"/>
    <x v="29"/>
    <x v="2"/>
    <n v="1.3802634869177643"/>
    <x v="1"/>
  </r>
  <r>
    <x v="20"/>
    <x v="0"/>
    <x v="29"/>
    <x v="2"/>
    <n v="8.6999999999999993"/>
    <x v="1"/>
  </r>
  <r>
    <x v="21"/>
    <x v="0"/>
    <x v="29"/>
    <x v="2"/>
    <n v="4.9400000000000004"/>
    <x v="1"/>
  </r>
  <r>
    <x v="22"/>
    <x v="0"/>
    <x v="29"/>
    <x v="2"/>
    <n v="0.60083326329484577"/>
    <x v="1"/>
  </r>
  <r>
    <x v="0"/>
    <x v="0"/>
    <x v="30"/>
    <x v="0"/>
    <n v="0.119093669983524"/>
    <x v="1"/>
  </r>
  <r>
    <x v="1"/>
    <x v="0"/>
    <x v="30"/>
    <x v="1"/>
    <n v="0"/>
    <x v="1"/>
  </r>
  <r>
    <x v="2"/>
    <x v="0"/>
    <x v="30"/>
    <x v="1"/>
    <n v="0"/>
    <x v="1"/>
  </r>
  <r>
    <x v="3"/>
    <x v="0"/>
    <x v="30"/>
    <x v="0"/>
    <n v="1.9499858118972873"/>
    <x v="1"/>
  </r>
  <r>
    <x v="4"/>
    <x v="0"/>
    <x v="30"/>
    <x v="1"/>
    <m/>
    <x v="1"/>
  </r>
  <r>
    <x v="5"/>
    <x v="0"/>
    <x v="30"/>
    <x v="0"/>
    <n v="0.53040414883558551"/>
    <x v="1"/>
  </r>
  <r>
    <x v="6"/>
    <x v="0"/>
    <x v="30"/>
    <x v="0"/>
    <n v="0.14336131077815711"/>
    <x v="1"/>
  </r>
  <r>
    <x v="7"/>
    <x v="0"/>
    <x v="30"/>
    <x v="0"/>
    <n v="7.99999673575503E-2"/>
    <x v="1"/>
  </r>
  <r>
    <x v="8"/>
    <x v="0"/>
    <x v="30"/>
    <x v="0"/>
    <n v="0.21380433618592487"/>
    <x v="1"/>
  </r>
  <r>
    <x v="9"/>
    <x v="0"/>
    <x v="30"/>
    <x v="0"/>
    <n v="5.249006160811874E-2"/>
    <x v="1"/>
  </r>
  <r>
    <x v="10"/>
    <x v="0"/>
    <x v="30"/>
    <x v="2"/>
    <n v="2.0890786637009473"/>
    <x v="1"/>
  </r>
  <r>
    <x v="11"/>
    <x v="0"/>
    <x v="30"/>
    <x v="2"/>
    <n v="0.96330130418272053"/>
    <x v="1"/>
  </r>
  <r>
    <x v="12"/>
    <x v="0"/>
    <x v="30"/>
    <x v="2"/>
    <n v="0.33494422418993575"/>
    <x v="1"/>
  </r>
  <r>
    <x v="13"/>
    <x v="0"/>
    <x v="30"/>
    <x v="2"/>
    <n v="0.79711195184809425"/>
    <x v="1"/>
  </r>
  <r>
    <x v="14"/>
    <x v="0"/>
    <x v="30"/>
    <x v="1"/>
    <n v="0"/>
    <x v="1"/>
  </r>
  <r>
    <x v="15"/>
    <x v="0"/>
    <x v="30"/>
    <x v="2"/>
    <n v="0.4"/>
    <x v="1"/>
  </r>
  <r>
    <x v="16"/>
    <x v="0"/>
    <x v="30"/>
    <x v="2"/>
    <n v="25.712504997429892"/>
    <x v="1"/>
  </r>
  <r>
    <x v="17"/>
    <x v="0"/>
    <x v="30"/>
    <x v="2"/>
    <n v="450"/>
    <x v="1"/>
  </r>
  <r>
    <x v="18"/>
    <x v="0"/>
    <x v="30"/>
    <x v="2"/>
    <n v="23"/>
    <x v="1"/>
  </r>
  <r>
    <x v="19"/>
    <x v="0"/>
    <x v="30"/>
    <x v="2"/>
    <n v="1.3339021041153425"/>
    <x v="1"/>
  </r>
  <r>
    <x v="20"/>
    <x v="0"/>
    <x v="30"/>
    <x v="2"/>
    <n v="6"/>
    <x v="1"/>
  </r>
  <r>
    <x v="21"/>
    <x v="0"/>
    <x v="30"/>
    <x v="2"/>
    <n v="3.59"/>
    <x v="1"/>
  </r>
  <r>
    <x v="22"/>
    <x v="0"/>
    <x v="30"/>
    <x v="2"/>
    <n v="0.53679015226724824"/>
    <x v="1"/>
  </r>
  <r>
    <x v="0"/>
    <x v="0"/>
    <x v="31"/>
    <x v="0"/>
    <n v="0.15951845146833157"/>
    <x v="1"/>
  </r>
  <r>
    <x v="1"/>
    <x v="0"/>
    <x v="31"/>
    <x v="1"/>
    <n v="0"/>
    <x v="1"/>
  </r>
  <r>
    <x v="2"/>
    <x v="0"/>
    <x v="31"/>
    <x v="1"/>
    <n v="0"/>
    <x v="1"/>
  </r>
  <r>
    <x v="3"/>
    <x v="0"/>
    <x v="31"/>
    <x v="0"/>
    <n v="1.9500375007211679"/>
    <x v="1"/>
  </r>
  <r>
    <x v="4"/>
    <x v="0"/>
    <x v="31"/>
    <x v="1"/>
    <m/>
    <x v="1"/>
  </r>
  <r>
    <x v="5"/>
    <x v="0"/>
    <x v="31"/>
    <x v="0"/>
    <n v="0.54881151982810483"/>
    <x v="1"/>
  </r>
  <r>
    <x v="6"/>
    <x v="0"/>
    <x v="31"/>
    <x v="0"/>
    <n v="0.1927828956617689"/>
    <x v="1"/>
  </r>
  <r>
    <x v="7"/>
    <x v="0"/>
    <x v="31"/>
    <x v="0"/>
    <n v="8.0001922115263344E-2"/>
    <x v="1"/>
  </r>
  <r>
    <x v="8"/>
    <x v="0"/>
    <x v="31"/>
    <x v="0"/>
    <n v="0.25146086545417767"/>
    <x v="1"/>
  </r>
  <r>
    <x v="9"/>
    <x v="0"/>
    <x v="31"/>
    <x v="0"/>
    <n v="6.4188923779759363E-2"/>
    <x v="1"/>
  </r>
  <r>
    <x v="10"/>
    <x v="0"/>
    <x v="31"/>
    <x v="2"/>
    <n v="2.1295546849925251"/>
    <x v="1"/>
  </r>
  <r>
    <x v="11"/>
    <x v="0"/>
    <x v="31"/>
    <x v="2"/>
    <n v="1.0597914916689031"/>
    <x v="1"/>
  </r>
  <r>
    <x v="12"/>
    <x v="0"/>
    <x v="31"/>
    <x v="2"/>
    <n v="0.43648900371288535"/>
    <x v="1"/>
  </r>
  <r>
    <x v="13"/>
    <x v="0"/>
    <x v="31"/>
    <x v="2"/>
    <n v="0.85606429535221795"/>
    <x v="1"/>
  </r>
  <r>
    <x v="14"/>
    <x v="0"/>
    <x v="31"/>
    <x v="1"/>
    <n v="0"/>
    <x v="1"/>
  </r>
  <r>
    <x v="15"/>
    <x v="0"/>
    <x v="31"/>
    <x v="2"/>
    <n v="0.27651754065066281"/>
    <x v="1"/>
  </r>
  <r>
    <x v="16"/>
    <x v="0"/>
    <x v="31"/>
    <x v="2"/>
    <n v="19.11950400251138"/>
    <x v="1"/>
  </r>
  <r>
    <x v="17"/>
    <x v="0"/>
    <x v="31"/>
    <x v="2"/>
    <n v="243"/>
    <x v="1"/>
  </r>
  <r>
    <x v="18"/>
    <x v="0"/>
    <x v="31"/>
    <x v="2"/>
    <n v="14"/>
    <x v="1"/>
  </r>
  <r>
    <x v="19"/>
    <x v="0"/>
    <x v="31"/>
    <x v="2"/>
    <n v="1.1832550800500652"/>
    <x v="1"/>
  </r>
  <r>
    <x v="20"/>
    <x v="0"/>
    <x v="31"/>
    <x v="2"/>
    <n v="2.9"/>
    <x v="1"/>
  </r>
  <r>
    <x v="21"/>
    <x v="0"/>
    <x v="31"/>
    <x v="2"/>
    <n v="2.08"/>
    <x v="1"/>
  </r>
  <r>
    <x v="22"/>
    <x v="0"/>
    <x v="31"/>
    <x v="2"/>
    <n v="0.32719078469784724"/>
    <x v="1"/>
  </r>
  <r>
    <x v="0"/>
    <x v="0"/>
    <x v="32"/>
    <x v="0"/>
    <n v="0.24345247344832932"/>
    <x v="1"/>
  </r>
  <r>
    <x v="1"/>
    <x v="0"/>
    <x v="32"/>
    <x v="1"/>
    <n v="0"/>
    <x v="1"/>
  </r>
  <r>
    <x v="2"/>
    <x v="0"/>
    <x v="32"/>
    <x v="1"/>
    <n v="0"/>
    <x v="1"/>
  </r>
  <r>
    <x v="3"/>
    <x v="0"/>
    <x v="32"/>
    <x v="0"/>
    <n v="1.9500375007211679"/>
    <x v="1"/>
  </r>
  <r>
    <x v="4"/>
    <x v="0"/>
    <x v="32"/>
    <x v="1"/>
    <m/>
    <x v="1"/>
  </r>
  <r>
    <x v="5"/>
    <x v="0"/>
    <x v="32"/>
    <x v="0"/>
    <n v="0.54114139247789939"/>
    <x v="1"/>
  </r>
  <r>
    <x v="6"/>
    <x v="0"/>
    <x v="32"/>
    <x v="0"/>
    <n v="0.26524683088603301"/>
    <x v="1"/>
  </r>
  <r>
    <x v="7"/>
    <x v="0"/>
    <x v="32"/>
    <x v="0"/>
    <n v="7.9998605080992491E-2"/>
    <x v="1"/>
  </r>
  <r>
    <x v="8"/>
    <x v="0"/>
    <x v="32"/>
    <x v="0"/>
    <n v="0.3486251329532179"/>
    <x v="1"/>
  </r>
  <r>
    <x v="9"/>
    <x v="0"/>
    <x v="32"/>
    <x v="0"/>
    <n v="8.2775072878053288E-2"/>
    <x v="1"/>
  </r>
  <r>
    <x v="10"/>
    <x v="0"/>
    <x v="32"/>
    <x v="2"/>
    <n v="2.2134868336183158"/>
    <x v="1"/>
  </r>
  <r>
    <x v="11"/>
    <x v="0"/>
    <x v="32"/>
    <x v="2"/>
    <n v="1.2332144634092579"/>
    <x v="1"/>
  </r>
  <r>
    <x v="12"/>
    <x v="0"/>
    <x v="32"/>
    <x v="2"/>
    <n v="0.61147123666123426"/>
    <x v="1"/>
  </r>
  <r>
    <x v="13"/>
    <x v="0"/>
    <x v="32"/>
    <x v="2"/>
    <n v="1.0091145496312777"/>
    <x v="1"/>
  </r>
  <r>
    <x v="14"/>
    <x v="0"/>
    <x v="32"/>
    <x v="1"/>
    <n v="0"/>
    <x v="1"/>
  </r>
  <r>
    <x v="15"/>
    <x v="0"/>
    <x v="32"/>
    <x v="2"/>
    <n v="0.18"/>
    <x v="1"/>
  </r>
  <r>
    <x v="16"/>
    <x v="0"/>
    <x v="32"/>
    <x v="2"/>
    <n v="12.587473903966597"/>
    <x v="1"/>
  </r>
  <r>
    <x v="17"/>
    <x v="0"/>
    <x v="32"/>
    <x v="2"/>
    <n v="106"/>
    <x v="1"/>
  </r>
  <r>
    <x v="18"/>
    <x v="0"/>
    <x v="32"/>
    <x v="2"/>
    <n v="9"/>
    <x v="1"/>
  </r>
  <r>
    <x v="19"/>
    <x v="0"/>
    <x v="32"/>
    <x v="2"/>
    <n v="1.2319965271875923"/>
    <x v="1"/>
  </r>
  <r>
    <x v="20"/>
    <x v="0"/>
    <x v="32"/>
    <x v="2"/>
    <n v="1.3"/>
    <x v="1"/>
  </r>
  <r>
    <x v="21"/>
    <x v="0"/>
    <x v="32"/>
    <x v="2"/>
    <n v="1.07"/>
    <x v="1"/>
  </r>
  <r>
    <x v="22"/>
    <x v="0"/>
    <x v="32"/>
    <x v="2"/>
    <n v="0.22288197755631467"/>
    <x v="1"/>
  </r>
  <r>
    <x v="0"/>
    <x v="0"/>
    <x v="33"/>
    <x v="0"/>
    <n v="0.24524733680870353"/>
    <x v="1"/>
  </r>
  <r>
    <x v="1"/>
    <x v="0"/>
    <x v="33"/>
    <x v="1"/>
    <n v="0"/>
    <x v="1"/>
  </r>
  <r>
    <x v="2"/>
    <x v="0"/>
    <x v="33"/>
    <x v="1"/>
    <n v="0"/>
    <x v="1"/>
  </r>
  <r>
    <x v="3"/>
    <x v="0"/>
    <x v="33"/>
    <x v="0"/>
    <n v="1.9501808863430807"/>
    <x v="1"/>
  </r>
  <r>
    <x v="4"/>
    <x v="0"/>
    <x v="33"/>
    <x v="1"/>
    <m/>
    <x v="1"/>
  </r>
  <r>
    <x v="5"/>
    <x v="0"/>
    <x v="33"/>
    <x v="0"/>
    <n v="0.56991831431649465"/>
    <x v="1"/>
  </r>
  <r>
    <x v="6"/>
    <x v="0"/>
    <x v="33"/>
    <x v="0"/>
    <n v="0.27140248519530563"/>
    <x v="1"/>
  </r>
  <r>
    <x v="7"/>
    <x v="0"/>
    <x v="33"/>
    <x v="0"/>
    <n v="8.0009074807062555E-2"/>
    <x v="1"/>
  </r>
  <r>
    <x v="8"/>
    <x v="0"/>
    <x v="33"/>
    <x v="0"/>
    <n v="0.21734020676478505"/>
    <x v="1"/>
  </r>
  <r>
    <x v="9"/>
    <x v="0"/>
    <x v="33"/>
    <x v="0"/>
    <n v="8.0139949516792638E-2"/>
    <x v="1"/>
  </r>
  <r>
    <x v="10"/>
    <x v="0"/>
    <x v="33"/>
    <x v="2"/>
    <n v="2.2154356747075221"/>
    <x v="1"/>
  </r>
  <r>
    <x v="11"/>
    <x v="0"/>
    <x v="33"/>
    <x v="2"/>
    <n v="1.1325223842527836"/>
    <x v="1"/>
  </r>
  <r>
    <x v="12"/>
    <x v="0"/>
    <x v="33"/>
    <x v="2"/>
    <n v="0.61679722307653972"/>
    <x v="1"/>
  </r>
  <r>
    <x v="13"/>
    <x v="0"/>
    <x v="33"/>
    <x v="2"/>
    <n v="0.91557038254256062"/>
    <x v="1"/>
  </r>
  <r>
    <x v="14"/>
    <x v="0"/>
    <x v="33"/>
    <x v="1"/>
    <n v="0"/>
    <x v="1"/>
  </r>
  <r>
    <x v="15"/>
    <x v="0"/>
    <x v="33"/>
    <x v="2"/>
    <n v="0.24750459389930168"/>
    <x v="1"/>
  </r>
  <r>
    <x v="16"/>
    <x v="0"/>
    <x v="33"/>
    <x v="2"/>
    <n v="12.550238267148014"/>
    <x v="1"/>
  </r>
  <r>
    <x v="17"/>
    <x v="0"/>
    <x v="33"/>
    <x v="2"/>
    <n v="50"/>
    <x v="1"/>
  </r>
  <r>
    <x v="18"/>
    <x v="0"/>
    <x v="33"/>
    <x v="2"/>
    <n v="7"/>
    <x v="1"/>
  </r>
  <r>
    <x v="19"/>
    <x v="0"/>
    <x v="33"/>
    <x v="2"/>
    <n v="1.2167122551443719"/>
    <x v="1"/>
  </r>
  <r>
    <x v="20"/>
    <x v="0"/>
    <x v="33"/>
    <x v="2"/>
    <n v="0.6"/>
    <x v="1"/>
  </r>
  <r>
    <x v="21"/>
    <x v="0"/>
    <x v="33"/>
    <x v="2"/>
    <n v="0.47"/>
    <x v="1"/>
  </r>
  <r>
    <x v="22"/>
    <x v="0"/>
    <x v="33"/>
    <x v="2"/>
    <n v="0.301141872601811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090CF-0D27-4915-A30F-A9AED300DB28}" name="PivotTable6" cacheId="0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compact="0" compactData="0" multipleFieldFilters="0">
  <location ref="B27:I41" firstHeaderRow="1" firstDataRow="2" firstDataCol="1" rowPageCount="1" colPageCount="1"/>
  <pivotFields count="4">
    <pivotField axis="axisRow" compact="0" outline="0" showAll="0">
      <items count="15">
        <item x="0"/>
        <item x="1"/>
        <item x="2"/>
        <item x="3"/>
        <item x="4"/>
        <item x="5"/>
        <item x="6"/>
        <item x="8"/>
        <item x="9"/>
        <item x="10"/>
        <item x="7"/>
        <item x="11"/>
        <item x="12"/>
        <item m="1" x="13"/>
        <item t="default"/>
      </items>
    </pivotField>
    <pivotField dataField="1" compact="0" outline="0" showAll="0"/>
    <pivotField axis="axisCol" compact="0" outline="0" showAll="0">
      <items count="14">
        <item x="11"/>
        <item x="10"/>
        <item x="9"/>
        <item x="8"/>
        <item x="7"/>
        <item x="6"/>
        <item x="5"/>
        <item x="4"/>
        <item x="3"/>
        <item m="1" x="12"/>
        <item x="2"/>
        <item x="1"/>
        <item x="0"/>
        <item t="default"/>
      </items>
    </pivotField>
    <pivotField axis="axisPage" compact="0" outline="0" showAll="0">
      <items count="4">
        <item x="0"/>
        <item h="1" x="1"/>
        <item h="1" m="1"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7">
    <i>
      <x v="6"/>
    </i>
    <i>
      <x v="7"/>
    </i>
    <i>
      <x v="8"/>
    </i>
    <i>
      <x v="10"/>
    </i>
    <i>
      <x v="11"/>
    </i>
    <i>
      <x v="12"/>
    </i>
    <i t="grand">
      <x/>
    </i>
  </colItems>
  <pageFields count="1">
    <pageField fld="3" item="0" hier="-1"/>
  </pageFields>
  <dataFields count="1">
    <dataField name="WPAY KPI" fld="1" subtotal="average" baseField="0" baseItem="0"/>
  </dataFields>
  <formats count="23">
    <format dxfId="275">
      <pivotArea outline="0" fieldPosition="0">
        <references count="1">
          <reference field="0" count="3" selected="0">
            <x v="4"/>
            <x v="5"/>
            <x v="7"/>
          </reference>
        </references>
      </pivotArea>
    </format>
    <format dxfId="274">
      <pivotArea outline="0" fieldPosition="0">
        <references count="1">
          <reference field="2" count="1" selected="0">
            <x v="5"/>
          </reference>
        </references>
      </pivotArea>
    </format>
    <format dxfId="273">
      <pivotArea grandCol="1" outline="0" collapsedLevelsAreSubtotals="1" fieldPosition="0"/>
    </format>
    <format dxfId="272">
      <pivotArea outline="0" fieldPosition="0">
        <references count="1">
          <reference field="0" count="1" selected="0">
            <x v="2"/>
          </reference>
        </references>
      </pivotArea>
    </format>
    <format dxfId="271">
      <pivotArea outline="0" fieldPosition="0">
        <references count="1">
          <reference field="2" count="1" selected="0">
            <x v="5"/>
          </reference>
        </references>
      </pivotArea>
    </format>
    <format dxfId="270">
      <pivotArea outline="0" fieldPosition="0">
        <references count="1">
          <reference field="2" count="1" selected="0">
            <x v="6"/>
          </reference>
        </references>
      </pivotArea>
    </format>
    <format dxfId="269">
      <pivotArea outline="0" fieldPosition="0">
        <references count="2">
          <reference field="0" count="1" selected="0">
            <x v="10"/>
          </reference>
          <reference field="2" count="1" selected="0">
            <x v="6"/>
          </reference>
        </references>
      </pivotArea>
    </format>
    <format dxfId="268">
      <pivotArea outline="0" fieldPosition="0">
        <references count="1">
          <reference field="2" count="1" selected="0">
            <x v="6"/>
          </reference>
        </references>
      </pivotArea>
    </format>
    <format dxfId="267">
      <pivotArea outline="0" fieldPosition="0">
        <references count="1">
          <reference field="2" count="1" selected="0">
            <x v="7"/>
          </reference>
        </references>
      </pivotArea>
    </format>
    <format dxfId="266">
      <pivotArea outline="0" fieldPosition="0">
        <references count="1">
          <reference field="2" count="1" selected="0">
            <x v="8"/>
          </reference>
        </references>
      </pivotArea>
    </format>
    <format dxfId="265">
      <pivotArea outline="0" fieldPosition="0">
        <references count="1">
          <reference field="2" count="2" selected="0">
            <x v="6"/>
            <x v="7"/>
          </reference>
        </references>
      </pivotArea>
    </format>
    <format dxfId="264">
      <pivotArea outline="0" fieldPosition="0">
        <references count="1">
          <reference field="2" count="1" selected="0">
            <x v="10"/>
          </reference>
        </references>
      </pivotArea>
    </format>
    <format dxfId="263">
      <pivotArea outline="0" fieldPosition="0">
        <references count="1">
          <reference field="2" count="1" selected="0">
            <x v="8"/>
          </reference>
        </references>
      </pivotArea>
    </format>
    <format dxfId="262">
      <pivotArea outline="0" fieldPosition="0">
        <references count="1">
          <reference field="2" count="1" selected="0">
            <x v="10"/>
          </reference>
        </references>
      </pivotArea>
    </format>
    <format dxfId="261">
      <pivotArea outline="0" fieldPosition="0">
        <references count="1">
          <reference field="0" count="1" selected="0">
            <x v="1"/>
          </reference>
        </references>
      </pivotArea>
    </format>
    <format dxfId="260">
      <pivotArea outline="0" fieldPosition="0">
        <references count="1">
          <reference field="0" count="2" selected="0">
            <x v="11"/>
            <x v="12"/>
          </reference>
        </references>
      </pivotArea>
    </format>
    <format dxfId="259">
      <pivotArea outline="0" fieldPosition="0">
        <references count="2">
          <reference field="0" count="1" selected="0">
            <x v="8"/>
          </reference>
          <reference field="2" count="1" selected="0">
            <x v="11"/>
          </reference>
        </references>
      </pivotArea>
    </format>
    <format dxfId="258">
      <pivotArea outline="0" fieldPosition="0">
        <references count="2">
          <reference field="0" count="1" selected="0">
            <x v="6"/>
          </reference>
          <reference field="2" count="1" selected="0">
            <x v="11"/>
          </reference>
        </references>
      </pivotArea>
    </format>
    <format dxfId="257">
      <pivotArea outline="0" fieldPosition="0">
        <references count="2">
          <reference field="0" count="1" selected="0">
            <x v="2"/>
          </reference>
          <reference field="2" count="1" selected="0">
            <x v="11"/>
          </reference>
        </references>
      </pivotArea>
    </format>
    <format dxfId="256">
      <pivotArea outline="0" fieldPosition="0">
        <references count="1">
          <reference field="0" count="1" selected="0">
            <x v="3"/>
          </reference>
        </references>
      </pivotArea>
    </format>
    <format dxfId="255">
      <pivotArea outline="0" fieldPosition="0">
        <references count="1">
          <reference field="2" count="1" selected="0">
            <x v="12"/>
          </reference>
        </references>
      </pivotArea>
    </format>
    <format dxfId="254">
      <pivotArea outline="0" fieldPosition="0">
        <references count="2">
          <reference field="0" count="1" selected="0">
            <x v="8"/>
          </reference>
          <reference field="2" count="1" selected="0">
            <x v="12"/>
          </reference>
        </references>
      </pivotArea>
    </format>
    <format dxfId="253">
      <pivotArea outline="0" fieldPosition="0">
        <references count="2">
          <reference field="0" count="1" selected="0">
            <x v="2"/>
          </reference>
          <reference field="2" count="1" selected="0">
            <x v="1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4A8D-A065-4DF1-B0F3-B91EFA222098}" name="PivotTable1" cacheId="2" applyNumberFormats="0" applyBorderFormats="0" applyFontFormats="0" applyPatternFormats="0" applyAlignmentFormats="0" applyWidthHeightFormats="1" dataCaption="Values" grandTotalCaption="Avg." updatedVersion="8" minRefreshableVersion="3" rowGrandTotals="0" itemPrintTitles="1" createdVersion="8" indent="0" outline="1" outlineData="1" multipleFieldFilters="0" chartFormat="5" rowHeaderCaption="KPI" colHeaderCaption="Month.">
  <location ref="B5:I18" firstHeaderRow="1" firstDataRow="2" firstDataCol="1" rowPageCount="3" colPageCount="1"/>
  <pivotFields count="6">
    <pivotField axis="axisRow" showAll="0">
      <items count="43">
        <item x="14"/>
        <item m="1" x="30"/>
        <item x="18"/>
        <item x="17"/>
        <item x="16"/>
        <item x="15"/>
        <item x="19"/>
        <item x="1"/>
        <item x="2"/>
        <item x="4"/>
        <item x="7"/>
        <item x="3"/>
        <item m="1" x="37"/>
        <item m="1" x="32"/>
        <item x="12"/>
        <item x="6"/>
        <item m="1" x="26"/>
        <item m="1" x="27"/>
        <item x="5"/>
        <item m="1" x="40"/>
        <item m="1" x="38"/>
        <item x="22"/>
        <item m="1" x="41"/>
        <item m="1" x="39"/>
        <item x="11"/>
        <item x="10"/>
        <item m="1" x="36"/>
        <item x="13"/>
        <item x="20"/>
        <item x="21"/>
        <item m="1" x="31"/>
        <item x="9"/>
        <item x="8"/>
        <item m="1" x="29"/>
        <item m="1" x="33"/>
        <item x="0"/>
        <item m="1" x="23"/>
        <item m="1" x="24"/>
        <item m="1" x="25"/>
        <item m="1" x="28"/>
        <item m="1" x="34"/>
        <item m="1" x="35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45">
        <item x="33"/>
        <item x="32"/>
        <item x="31"/>
        <item x="30"/>
        <item x="29"/>
        <item x="28"/>
        <item x="27"/>
        <item n="12 Dec" x="26"/>
        <item x="25"/>
        <item m="1" x="42"/>
        <item x="24"/>
        <item x="23"/>
        <item m="1" x="43"/>
        <item x="22"/>
        <item x="21"/>
        <item m="1" x="4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m="1" x="40"/>
        <item m="1" x="39"/>
        <item m="1" x="38"/>
        <item m="1" x="37"/>
        <item m="1" x="36"/>
        <item m="1" x="35"/>
        <item m="1" x="34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24">
        <item h="1" x="1"/>
        <item h="1" x="0"/>
        <item x="2"/>
        <item h="1" m="1" x="18"/>
        <item h="1" m="1" x="3"/>
        <item h="1" m="1" x="9"/>
        <item h="1" m="1" x="19"/>
        <item h="1" m="1" x="11"/>
        <item h="1" m="1" x="4"/>
        <item h="1" m="1" x="6"/>
        <item h="1" m="1" x="16"/>
        <item h="1" m="1" x="15"/>
        <item h="1" m="1" x="8"/>
        <item h="1" m="1" x="7"/>
        <item h="1" m="1" x="20"/>
        <item h="1" m="1" x="10"/>
        <item h="1" m="1" x="13"/>
        <item h="1" m="1" x="22"/>
        <item h="1" m="1" x="14"/>
        <item h="1" m="1" x="17"/>
        <item h="1" m="1" x="5"/>
        <item h="1" m="1" x="21"/>
        <item h="1" m="1" x="1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2"/>
    </i>
    <i>
      <x v="3"/>
    </i>
    <i>
      <x v="4"/>
    </i>
    <i>
      <x v="5"/>
    </i>
    <i>
      <x v="6"/>
    </i>
    <i>
      <x v="14"/>
    </i>
    <i>
      <x v="21"/>
    </i>
    <i>
      <x v="24"/>
    </i>
    <i>
      <x v="25"/>
    </i>
    <i>
      <x v="27"/>
    </i>
    <i>
      <x v="28"/>
    </i>
    <i>
      <x v="29"/>
    </i>
  </rowItems>
  <colFields count="1">
    <field x="2"/>
  </colFields>
  <colItems count="7"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3">
    <pageField fld="3" hier="-1"/>
    <pageField fld="1" hier="-1"/>
    <pageField fld="5" item="1" hier="-1"/>
  </pageFields>
  <dataFields count="1">
    <dataField name="Adyen and Adyen Balance" fld="4" subtotal="average" baseField="0" baseItem="0" numFmtId="171"/>
  </dataFields>
  <formats count="146">
    <format dxfId="421">
      <pivotArea collapsedLevelsAreSubtotals="1" fieldPosition="0">
        <references count="1">
          <reference field="0" count="1">
            <x v="34"/>
          </reference>
        </references>
      </pivotArea>
    </format>
    <format dxfId="420">
      <pivotArea collapsedLevelsAreSubtotals="1" fieldPosition="0">
        <references count="2">
          <reference field="0" count="1">
            <x v="5"/>
          </reference>
          <reference field="2" count="0" selected="0"/>
        </references>
      </pivotArea>
    </format>
    <format dxfId="419">
      <pivotArea collapsedLevelsAreSubtotals="1" fieldPosition="0">
        <references count="1">
          <reference field="0" count="3">
            <x v="1"/>
            <x v="13"/>
            <x v="30"/>
          </reference>
        </references>
      </pivotArea>
    </format>
    <format dxfId="418">
      <pivotArea collapsedLevelsAreSubtotals="1" fieldPosition="0">
        <references count="1">
          <reference field="0" count="1">
            <x v="3"/>
          </reference>
        </references>
      </pivotArea>
    </format>
    <format dxfId="417">
      <pivotArea dataOnly="0" labelOnly="1" fieldPosition="0">
        <references count="1">
          <reference field="2" count="0"/>
        </references>
      </pivotArea>
    </format>
    <format dxfId="416">
      <pivotArea dataOnly="0" labelOnly="1" grandCol="1" outline="0" fieldPosition="0"/>
    </format>
    <format dxfId="415">
      <pivotArea field="0" grandCol="1" collapsedLevelsAreSubtotals="1" axis="axisRow" fieldPosition="0">
        <references count="1">
          <reference field="0" count="1">
            <x v="5"/>
          </reference>
        </references>
      </pivotArea>
    </format>
    <format dxfId="414">
      <pivotArea collapsedLevelsAreSubtotals="1" fieldPosition="0">
        <references count="2">
          <reference field="0" count="1">
            <x v="34"/>
          </reference>
          <reference field="2" count="1" selected="0">
            <x v="4"/>
          </reference>
        </references>
      </pivotArea>
    </format>
    <format dxfId="413">
      <pivotArea collapsedLevelsAreSubtotals="1" fieldPosition="0">
        <references count="1">
          <reference field="0" count="1">
            <x v="5"/>
          </reference>
        </references>
      </pivotArea>
    </format>
    <format dxfId="412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411">
      <pivotArea collapsedLevelsAreSubtotals="1" fieldPosition="0">
        <references count="1">
          <reference field="0" count="1">
            <x v="6"/>
          </reference>
        </references>
      </pivotArea>
    </format>
    <format dxfId="410">
      <pivotArea collapsedLevelsAreSubtotals="1" fieldPosition="0">
        <references count="1">
          <reference field="0" count="1">
            <x v="6"/>
          </reference>
        </references>
      </pivotArea>
    </format>
    <format dxfId="409">
      <pivotArea collapsedLevelsAreSubtotals="1" fieldPosition="0">
        <references count="1">
          <reference field="0" count="1">
            <x v="6"/>
          </reference>
        </references>
      </pivotArea>
    </format>
    <format dxfId="408">
      <pivotArea collapsedLevelsAreSubtotals="1" fieldPosition="0">
        <references count="1">
          <reference field="0" count="1">
            <x v="6"/>
          </reference>
        </references>
      </pivotArea>
    </format>
    <format dxfId="407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406">
      <pivotArea collapsedLevelsAreSubtotals="1" fieldPosition="0">
        <references count="2">
          <reference field="0" count="1">
            <x v="4"/>
          </reference>
          <reference field="2" count="1" selected="0">
            <x v="5"/>
          </reference>
        </references>
      </pivotArea>
    </format>
    <format dxfId="405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404">
      <pivotArea collapsedLevelsAreSubtotals="1" fieldPosition="0">
        <references count="2">
          <reference field="0" count="1">
            <x v="28"/>
          </reference>
          <reference field="2" count="1" selected="0">
            <x v="6"/>
          </reference>
        </references>
      </pivotArea>
    </format>
    <format dxfId="403">
      <pivotArea collapsedLevelsAreSubtotals="1" fieldPosition="0">
        <references count="2">
          <reference field="0" count="1">
            <x v="5"/>
          </reference>
          <reference field="2" count="1" selected="0">
            <x v="6"/>
          </reference>
        </references>
      </pivotArea>
    </format>
    <format dxfId="402">
      <pivotArea collapsedLevelsAreSubtotals="1" fieldPosition="0">
        <references count="2">
          <reference field="0" count="1">
            <x v="4"/>
          </reference>
          <reference field="2" count="1" selected="0">
            <x v="6"/>
          </reference>
        </references>
      </pivotArea>
    </format>
    <format dxfId="401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400">
      <pivotArea collapsedLevelsAreSubtotals="1" fieldPosition="0">
        <references count="2">
          <reference field="0" count="1">
            <x v="3"/>
          </reference>
          <reference field="2" count="1" selected="0">
            <x v="6"/>
          </reference>
        </references>
      </pivotArea>
    </format>
    <format dxfId="399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398">
      <pivotArea collapsedLevelsAreSubtotals="1" fieldPosition="0">
        <references count="2">
          <reference field="0" count="1">
            <x v="6"/>
          </reference>
          <reference field="2" count="1" selected="0">
            <x v="6"/>
          </reference>
        </references>
      </pivotArea>
    </format>
    <format dxfId="397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396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395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394">
      <pivotArea dataOnly="0" labelOnly="1" fieldPosition="0">
        <references count="1">
          <reference field="2" count="1">
            <x v="7"/>
          </reference>
        </references>
      </pivotArea>
    </format>
    <format dxfId="393">
      <pivotArea collapsedLevelsAreSubtotals="1" fieldPosition="0">
        <references count="2">
          <reference field="0" count="1">
            <x v="3"/>
          </reference>
          <reference field="2" count="1" selected="0">
            <x v="7"/>
          </reference>
        </references>
      </pivotArea>
    </format>
    <format dxfId="392">
      <pivotArea collapsedLevelsAreSubtotals="1" fieldPosition="0">
        <references count="2">
          <reference field="0" count="1">
            <x v="5"/>
          </reference>
          <reference field="2" count="1" selected="0">
            <x v="7"/>
          </reference>
        </references>
      </pivotArea>
    </format>
    <format dxfId="391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39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389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388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387">
      <pivotArea collapsedLevelsAreSubtotals="1" fieldPosition="0">
        <references count="2">
          <reference field="0" count="1">
            <x v="6"/>
          </reference>
          <reference field="2" count="1" selected="0">
            <x v="7"/>
          </reference>
        </references>
      </pivotArea>
    </format>
    <format dxfId="386">
      <pivotArea collapsedLevelsAreSubtotals="1" fieldPosition="0">
        <references count="1">
          <reference field="0" count="1">
            <x v="20"/>
          </reference>
        </references>
      </pivotArea>
    </format>
    <format dxfId="385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384">
      <pivotArea collapsedLevelsAreSubtotals="1" fieldPosition="0">
        <references count="2">
          <reference field="0" count="1">
            <x v="34"/>
          </reference>
          <reference field="2" count="1" selected="0">
            <x v="7"/>
          </reference>
        </references>
      </pivotArea>
    </format>
    <format dxfId="383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382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381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380">
      <pivotArea collapsedLevelsAreSubtotals="1" fieldPosition="0">
        <references count="2">
          <reference field="0" count="1">
            <x v="4"/>
          </reference>
          <reference field="2" count="1" selected="0">
            <x v="8"/>
          </reference>
        </references>
      </pivotArea>
    </format>
    <format dxfId="379">
      <pivotArea collapsedLevelsAreSubtotals="1" fieldPosition="0">
        <references count="2">
          <reference field="0" count="1">
            <x v="6"/>
          </reference>
          <reference field="2" count="1" selected="0">
            <x v="8"/>
          </reference>
        </references>
      </pivotArea>
    </format>
    <format dxfId="378">
      <pivotArea collapsedLevelsAreSubtotals="1" fieldPosition="0">
        <references count="2">
          <reference field="0" count="1">
            <x v="20"/>
          </reference>
          <reference field="2" count="1" selected="0">
            <x v="8"/>
          </reference>
        </references>
      </pivotArea>
    </format>
    <format dxfId="377">
      <pivotArea dataOnly="0" labelOnly="1" fieldPosition="0">
        <references count="1">
          <reference field="2" count="1">
            <x v="9"/>
          </reference>
        </references>
      </pivotArea>
    </format>
    <format dxfId="376">
      <pivotArea collapsedLevelsAreSubtotals="1" fieldPosition="0">
        <references count="2">
          <reference field="0" count="1">
            <x v="4"/>
          </reference>
          <reference field="2" count="1" selected="0">
            <x v="10"/>
          </reference>
        </references>
      </pivotArea>
    </format>
    <format dxfId="375">
      <pivotArea collapsedLevelsAreSubtotals="1" fieldPosition="0">
        <references count="2">
          <reference field="0" count="1">
            <x v="34"/>
          </reference>
          <reference field="2" count="1" selected="0">
            <x v="10"/>
          </reference>
        </references>
      </pivotArea>
    </format>
    <format dxfId="374">
      <pivotArea collapsedLevelsAreSubtotals="1" fieldPosition="0">
        <references count="2">
          <reference field="0" count="1">
            <x v="3"/>
          </reference>
          <reference field="2" count="1" selected="0">
            <x v="10"/>
          </reference>
        </references>
      </pivotArea>
    </format>
    <format dxfId="373">
      <pivotArea collapsedLevelsAreSubtotals="1" fieldPosition="0">
        <references count="1">
          <reference field="0" count="1">
            <x v="23"/>
          </reference>
        </references>
      </pivotArea>
    </format>
    <format dxfId="372">
      <pivotArea collapsedLevelsAreSubtotals="1" fieldPosition="0">
        <references count="2">
          <reference field="0" count="1">
            <x v="3"/>
          </reference>
          <reference field="2" count="1" selected="0">
            <x v="11"/>
          </reference>
        </references>
      </pivotArea>
    </format>
    <format dxfId="371">
      <pivotArea outline="0" collapsedLevelsAreSubtotals="1" fieldPosition="0">
        <references count="1">
          <reference field="2" count="4" selected="0">
            <x v="7"/>
            <x v="8"/>
            <x v="10"/>
            <x v="11"/>
          </reference>
        </references>
      </pivotArea>
    </format>
    <format dxfId="370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13"/>
            <x v="20"/>
            <x v="34"/>
          </reference>
          <reference field="2" count="3" selected="0">
            <x v="7"/>
            <x v="8"/>
            <x v="10"/>
          </reference>
        </references>
      </pivotArea>
    </format>
    <format dxfId="369">
      <pivotArea collapsedLevelsAreSubtotals="1" fieldPosition="0">
        <references count="2">
          <reference field="0" count="1">
            <x v="3"/>
          </reference>
          <reference field="2" count="1" selected="0">
            <x v="13"/>
          </reference>
        </references>
      </pivotArea>
    </format>
    <format dxfId="368">
      <pivotArea collapsedLevelsAreSubtotals="1" fieldPosition="0">
        <references count="2">
          <reference field="0" count="1">
            <x v="4"/>
          </reference>
          <reference field="2" count="1" selected="0">
            <x v="13"/>
          </reference>
        </references>
      </pivotArea>
    </format>
    <format dxfId="367">
      <pivotArea collapsedLevelsAreSubtotals="1" fieldPosition="0">
        <references count="2">
          <reference field="0" count="1">
            <x v="34"/>
          </reference>
          <reference field="2" count="1" selected="0">
            <x v="13"/>
          </reference>
        </references>
      </pivotArea>
    </format>
    <format dxfId="366">
      <pivotArea collapsedLevelsAreSubtotals="1" fieldPosition="0">
        <references count="2">
          <reference field="0" count="1">
            <x v="4"/>
          </reference>
          <reference field="2" count="1" selected="0">
            <x v="14"/>
          </reference>
        </references>
      </pivotArea>
    </format>
    <format dxfId="365">
      <pivotArea collapsedLevelsAreSubtotals="1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364">
      <pivotArea collapsedLevelsAreSubtotals="1" fieldPosition="0">
        <references count="2">
          <reference field="0" count="1">
            <x v="34"/>
          </reference>
          <reference field="2" count="1" selected="0">
            <x v="14"/>
          </reference>
        </references>
      </pivotArea>
    </format>
    <format dxfId="363">
      <pivotArea collapsedLevelsAreSubtotals="1" fieldPosition="0">
        <references count="2">
          <reference field="0" count="1">
            <x v="5"/>
          </reference>
          <reference field="2" count="1" selected="0">
            <x v="14"/>
          </reference>
        </references>
      </pivotArea>
    </format>
    <format dxfId="362">
      <pivotArea dataOnly="0" labelOnly="1" fieldPosition="0">
        <references count="1">
          <reference field="2" count="1">
            <x v="15"/>
          </reference>
        </references>
      </pivotArea>
    </format>
    <format dxfId="361">
      <pivotArea outline="0" collapsedLevelsAreSubtotals="1" fieldPosition="0">
        <references count="1">
          <reference field="2" count="2" selected="0">
            <x v="13"/>
            <x v="14"/>
          </reference>
        </references>
      </pivotArea>
    </format>
    <format dxfId="360">
      <pivotArea collapsedLevelsAreSubtotals="1" fieldPosition="0">
        <references count="2">
          <reference field="0" count="1">
            <x v="34"/>
          </reference>
          <reference field="2" count="1" selected="0">
            <x v="16"/>
          </reference>
        </references>
      </pivotArea>
    </format>
    <format dxfId="359">
      <pivotArea collapsedLevelsAreSubtotals="1" fieldPosition="0">
        <references count="2">
          <reference field="0" count="1">
            <x v="3"/>
          </reference>
          <reference field="2" count="1" selected="0">
            <x v="16"/>
          </reference>
        </references>
      </pivotArea>
    </format>
    <format dxfId="358">
      <pivotArea collapsedLevelsAreSubtotals="1" fieldPosition="0">
        <references count="2">
          <reference field="0" count="1">
            <x v="4"/>
          </reference>
          <reference field="2" count="1" selected="0">
            <x v="16"/>
          </reference>
        </references>
      </pivotArea>
    </format>
    <format dxfId="357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56">
      <pivotArea collapsedLevelsAreSubtotals="1" fieldPosition="0">
        <references count="2">
          <reference field="0" count="1">
            <x v="34"/>
          </reference>
          <reference field="2" count="1" selected="0">
            <x v="17"/>
          </reference>
        </references>
      </pivotArea>
    </format>
    <format dxfId="355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54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53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352">
      <pivotArea collapsedLevelsAreSubtotals="1" fieldPosition="0">
        <references count="2">
          <reference field="0" count="1">
            <x v="5"/>
          </reference>
          <reference field="2" count="1" selected="0">
            <x v="17"/>
          </reference>
        </references>
      </pivotArea>
    </format>
    <format dxfId="351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350">
      <pivotArea collapsedLevelsAreSubtotals="1" fieldPosition="0">
        <references count="2">
          <reference field="0" count="1">
            <x v="4"/>
          </reference>
          <reference field="2" count="1" selected="0">
            <x v="18"/>
          </reference>
        </references>
      </pivotArea>
    </format>
    <format dxfId="349">
      <pivotArea collapsedLevelsAreSubtotals="1" fieldPosition="0">
        <references count="2">
          <reference field="0" count="1">
            <x v="34"/>
          </reference>
          <reference field="2" count="1" selected="0">
            <x v="18"/>
          </reference>
        </references>
      </pivotArea>
    </format>
    <format dxfId="348">
      <pivotArea collapsedLevelsAreSubtotals="1" fieldPosition="0">
        <references count="2">
          <reference field="0" count="1">
            <x v="6"/>
          </reference>
          <reference field="2" count="1" selected="0">
            <x v="18"/>
          </reference>
        </references>
      </pivotArea>
    </format>
    <format dxfId="347">
      <pivotArea collapsedLevelsAreSubtotals="1" fieldPosition="0">
        <references count="2">
          <reference field="0" count="1">
            <x v="6"/>
          </reference>
          <reference field="2" count="1" selected="0">
            <x v="19"/>
          </reference>
        </references>
      </pivotArea>
    </format>
    <format dxfId="346">
      <pivotArea collapsedLevelsAreSubtotals="1" fieldPosition="0">
        <references count="2">
          <reference field="0" count="2">
            <x v="13"/>
            <x v="23"/>
          </reference>
          <reference field="2" count="1" selected="0">
            <x v="19"/>
          </reference>
        </references>
      </pivotArea>
    </format>
    <format dxfId="345">
      <pivotArea collapsedLevelsAreSubtotals="1" fieldPosition="0">
        <references count="2">
          <reference field="0" count="1">
            <x v="3"/>
          </reference>
          <reference field="2" count="1" selected="0">
            <x v="20"/>
          </reference>
        </references>
      </pivotArea>
    </format>
    <format dxfId="344">
      <pivotArea collapsedLevelsAreSubtotals="1" fieldPosition="0">
        <references count="2">
          <reference field="0" count="1">
            <x v="34"/>
          </reference>
          <reference field="2" count="1" selected="0">
            <x v="20"/>
          </reference>
        </references>
      </pivotArea>
    </format>
    <format dxfId="343">
      <pivotArea collapsedLevelsAreSubtotals="1" fieldPosition="0">
        <references count="2">
          <reference field="0" count="1">
            <x v="6"/>
          </reference>
          <reference field="2" count="1" selected="0">
            <x v="20"/>
          </reference>
        </references>
      </pivotArea>
    </format>
    <format dxfId="342">
      <pivotArea collapsedLevelsAreSubtotals="1" fieldPosition="0">
        <references count="2">
          <reference field="0" count="1">
            <x v="34"/>
          </reference>
          <reference field="2" count="1" selected="0">
            <x v="19"/>
          </reference>
        </references>
      </pivotArea>
    </format>
    <format dxfId="341">
      <pivotArea outline="0" collapsedLevelsAreSubtotals="1" fieldPosition="0">
        <references count="1">
          <reference field="2" count="5" selected="0">
            <x v="16"/>
            <x v="17"/>
            <x v="18"/>
            <x v="19"/>
            <x v="20"/>
          </reference>
        </references>
      </pivotArea>
    </format>
    <format dxfId="340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339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338">
      <pivotArea collapsedLevelsAreSubtotals="1" fieldPosition="0">
        <references count="2">
          <reference field="0" count="1">
            <x v="34"/>
          </reference>
          <reference field="2" count="5" selected="0">
            <x v="17"/>
            <x v="18"/>
            <x v="19"/>
            <x v="20"/>
            <x v="21"/>
          </reference>
        </references>
      </pivotArea>
    </format>
    <format dxfId="337">
      <pivotArea collapsedLevelsAreSubtotals="1" fieldPosition="0">
        <references count="2">
          <reference field="0" count="2">
            <x v="5"/>
            <x v="6"/>
          </reference>
          <reference field="2" count="1" selected="0">
            <x v="22"/>
          </reference>
        </references>
      </pivotArea>
    </format>
    <format dxfId="336">
      <pivotArea collapsedLevelsAreSubtotals="1" fieldPosition="0">
        <references count="2">
          <reference field="0" count="1">
            <x v="3"/>
          </reference>
          <reference field="2" count="2" selected="0">
            <x v="20"/>
            <x v="21"/>
          </reference>
        </references>
      </pivotArea>
    </format>
    <format dxfId="335">
      <pivotArea collapsedLevelsAreSubtotals="1" fieldPosition="0">
        <references count="2">
          <reference field="0" count="2">
            <x v="13"/>
            <x v="23"/>
          </reference>
          <reference field="2" count="5" selected="0">
            <x v="18"/>
            <x v="19"/>
            <x v="20"/>
            <x v="21"/>
            <x v="22"/>
          </reference>
        </references>
      </pivotArea>
    </format>
    <format dxfId="334">
      <pivotArea collapsedLevelsAreSubtotals="1" fieldPosition="0">
        <references count="2">
          <reference field="0" count="1">
            <x v="6"/>
          </reference>
          <reference field="2" count="5" selected="0">
            <x v="19"/>
            <x v="20"/>
            <x v="21"/>
            <x v="22"/>
            <x v="23"/>
          </reference>
        </references>
      </pivotArea>
    </format>
    <format dxfId="333">
      <pivotArea outline="0" collapsedLevelsAreSubtotals="1" fieldPosition="0">
        <references count="1">
          <reference field="2" count="1" selected="0">
            <x v="21"/>
          </reference>
        </references>
      </pivotArea>
    </format>
    <format dxfId="332">
      <pivotArea outline="0" collapsedLevelsAreSubtotals="1" fieldPosition="0">
        <references count="1">
          <reference field="2" count="1" selected="0">
            <x v="23"/>
          </reference>
        </references>
      </pivotArea>
    </format>
    <format dxfId="331">
      <pivotArea outline="0" collapsedLevelsAreSubtotals="1" fieldPosition="0">
        <references count="1">
          <reference field="2" count="1" selected="0">
            <x v="24"/>
          </reference>
        </references>
      </pivotArea>
    </format>
    <format dxfId="330">
      <pivotArea outline="0" collapsedLevelsAreSubtotals="1" fieldPosition="0">
        <references count="1">
          <reference field="2" count="1" selected="0">
            <x v="25"/>
          </reference>
        </references>
      </pivotArea>
    </format>
    <format dxfId="329">
      <pivotArea collapsedLevelsAreSubtotals="1" fieldPosition="0">
        <references count="2">
          <reference field="0" count="1">
            <x v="2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8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7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6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5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4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3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2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1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20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19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18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17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16">
      <pivotArea collapsedLevelsAreSubtotals="1" fieldPosition="0">
        <references count="2">
          <reference field="0" count="2">
            <x v="28"/>
            <x v="29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15">
      <pivotArea outline="0" collapsedLevelsAreSubtotals="1" fieldPosition="0">
        <references count="1">
          <reference field="2" count="1" selected="0">
            <x v="26"/>
          </reference>
        </references>
      </pivotArea>
    </format>
    <format dxfId="314">
      <pivotArea outline="0" collapsedLevelsAreSubtotals="1" fieldPosition="0">
        <references count="1">
          <reference field="2" count="1" selected="0">
            <x v="27"/>
          </reference>
        </references>
      </pivotArea>
    </format>
    <format dxfId="313">
      <pivotArea collapsedLevelsAreSubtotals="1" fieldPosition="0">
        <references count="2">
          <reference field="0" count="1">
            <x v="2"/>
          </reference>
          <reference field="2" count="1" selected="0">
            <x v="27"/>
          </reference>
        </references>
      </pivotArea>
    </format>
    <format dxfId="312">
      <pivotArea outline="0" collapsedLevelsAreSubtotals="1" fieldPosition="0">
        <references count="1">
          <reference field="2" count="1" selected="0">
            <x v="28"/>
          </reference>
        </references>
      </pivotArea>
    </format>
    <format dxfId="311">
      <pivotArea outline="0" collapsedLevelsAreSubtotals="1" fieldPosition="0">
        <references count="1">
          <reference field="2" count="1" selected="0">
            <x v="29"/>
          </reference>
        </references>
      </pivotArea>
    </format>
    <format dxfId="310">
      <pivotArea dataOnly="0" labelOnly="1" fieldPosition="0">
        <references count="1">
          <reference field="2" count="6">
            <x v="26"/>
            <x v="27"/>
            <x v="28"/>
            <x v="29"/>
            <x v="30"/>
            <x v="31"/>
          </reference>
        </references>
      </pivotArea>
    </format>
    <format dxfId="309">
      <pivotArea collapsedLevelsAreSubtotals="1" fieldPosition="0">
        <references count="2">
          <reference field="0" count="1">
            <x v="2"/>
          </reference>
          <reference field="2" count="1" selected="0">
            <x v="31"/>
          </reference>
        </references>
      </pivotArea>
    </format>
    <format dxfId="308">
      <pivotArea collapsedLevelsAreSubtotals="1" fieldPosition="0">
        <references count="2">
          <reference field="0" count="2">
            <x v="21"/>
            <x v="27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307">
      <pivotArea collapsedLevelsAreSubtotals="1" fieldPosition="0">
        <references count="2">
          <reference field="0" count="3">
            <x v="14"/>
            <x v="24"/>
            <x v="25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306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05">
      <pivotArea collapsedLevelsAreSubtotals="1" fieldPosition="0">
        <references count="2">
          <reference field="0" count="1">
            <x v="2"/>
          </reference>
          <reference field="2" count="1" selected="0">
            <x v="32"/>
          </reference>
        </references>
      </pivotArea>
    </format>
    <format dxfId="304">
      <pivotArea collapsedLevelsAreSubtotals="1" fieldPosition="0">
        <references count="2">
          <reference field="0" count="1">
            <x v="3"/>
          </reference>
          <reference field="2" count="1" selected="0">
            <x v="32"/>
          </reference>
        </references>
      </pivotArea>
    </format>
    <format dxfId="303">
      <pivotArea collapsedLevelsAreSubtotals="1" fieldPosition="0">
        <references count="2">
          <reference field="0" count="1">
            <x v="5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02">
      <pivotArea collapsedLevelsAreSubtotals="1" fieldPosition="0">
        <references count="2">
          <reference field="0" count="1">
            <x v="6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01">
      <pivotArea outline="0" collapsedLevelsAreSubtotals="1" fieldPosition="0">
        <references count="1">
          <reference field="2" count="5" selected="0">
            <x v="28"/>
            <x v="29"/>
            <x v="30"/>
            <x v="31"/>
            <x v="32"/>
          </reference>
        </references>
      </pivotArea>
    </format>
    <format dxfId="300">
      <pivotArea outline="0" collapsedLevelsAreSubtotals="1" fieldPosition="0">
        <references count="1">
          <reference field="2" count="1" selected="0">
            <x v="33"/>
          </reference>
        </references>
      </pivotArea>
    </format>
    <format dxfId="299">
      <pivotArea collapsedLevelsAreSubtotals="1" fieldPosition="0">
        <references count="1">
          <reference field="0" count="1">
            <x v="25"/>
          </reference>
        </references>
      </pivotArea>
    </format>
    <format dxfId="298">
      <pivotArea collapsedLevelsAreSubtotals="1" fieldPosition="0">
        <references count="2">
          <reference field="0" count="4">
            <x v="14"/>
            <x v="21"/>
            <x v="24"/>
            <x v="27"/>
          </reference>
          <reference field="2" count="6" selected="0">
            <x v="28"/>
            <x v="29"/>
            <x v="30"/>
            <x v="31"/>
            <x v="32"/>
            <x v="33"/>
          </reference>
        </references>
      </pivotArea>
    </format>
    <format dxfId="297">
      <pivotArea field="0" grandCol="1" collapsedLevelsAreSubtotals="1" axis="axisRow" fieldPosition="0">
        <references count="1">
          <reference field="0" count="4">
            <x v="14"/>
            <x v="21"/>
            <x v="24"/>
            <x v="27"/>
          </reference>
        </references>
      </pivotArea>
    </format>
    <format dxfId="296">
      <pivotArea collapsedLevelsAreSubtotals="1" fieldPosition="0">
        <references count="2">
          <reference field="0" count="1">
            <x v="4"/>
          </reference>
          <reference field="2" count="1" selected="0">
            <x v="33"/>
          </reference>
        </references>
      </pivotArea>
    </format>
    <format dxfId="295">
      <pivotArea outline="0" collapsedLevelsAreSubtotals="1" fieldPosition="0">
        <references count="1">
          <reference field="2" count="1" selected="0">
            <x v="34"/>
          </reference>
        </references>
      </pivotArea>
    </format>
    <format dxfId="294">
      <pivotArea collapsedLevelsAreSubtotals="1" fieldPosition="0">
        <references count="2">
          <reference field="0" count="1">
            <x v="14"/>
          </reference>
          <reference field="2" count="1" selected="0">
            <x v="34"/>
          </reference>
        </references>
      </pivotArea>
    </format>
    <format dxfId="293">
      <pivotArea collapsedLevelsAreSubtotals="1" fieldPosition="0">
        <references count="2">
          <reference field="0" count="1">
            <x v="24"/>
          </reference>
          <reference field="2" count="1" selected="0">
            <x v="34"/>
          </reference>
        </references>
      </pivotArea>
    </format>
    <format dxfId="292">
      <pivotArea collapsedLevelsAreSubtotals="1" fieldPosition="0">
        <references count="2">
          <reference field="0" count="2">
            <x v="21"/>
            <x v="27"/>
          </reference>
          <reference field="2" count="1" selected="0">
            <x v="34"/>
          </reference>
        </references>
      </pivotArea>
    </format>
    <format dxfId="291">
      <pivotArea collapsedLevelsAreSubtotals="1" fieldPosition="0">
        <references count="2">
          <reference field="0" count="3">
            <x v="14"/>
            <x v="21"/>
            <x v="24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290">
      <pivotArea collapsedLevelsAreSubtotals="1" fieldPosition="0">
        <references count="2">
          <reference field="0" count="1">
            <x v="27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289">
      <pivotArea collapsedLevelsAreSubtotals="1" fieldPosition="0">
        <references count="2">
          <reference field="0" count="1">
            <x v="24"/>
          </reference>
          <reference field="2" count="1" selected="0">
            <x v="42"/>
          </reference>
        </references>
      </pivotArea>
    </format>
    <format dxfId="288">
      <pivotArea collapsedLevelsAreSubtotals="1" fieldPosition="0">
        <references count="2">
          <reference field="0" count="1">
            <x v="27"/>
          </reference>
          <reference field="2" count="1" selected="0">
            <x v="42"/>
          </reference>
        </references>
      </pivotArea>
    </format>
    <format dxfId="287">
      <pivotArea collapsedLevelsAreSubtotals="1" fieldPosition="0">
        <references count="2">
          <reference field="0" count="2">
            <x v="14"/>
            <x v="21"/>
          </reference>
          <reference field="2" count="1" selected="0">
            <x v="42"/>
          </reference>
        </references>
      </pivotArea>
    </format>
    <format dxfId="286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285">
      <pivotArea collapsedLevelsAreSubtotals="1" fieldPosition="0">
        <references count="1">
          <reference field="0" count="2">
            <x v="28"/>
            <x v="29"/>
          </reference>
        </references>
      </pivotArea>
    </format>
    <format dxfId="284">
      <pivotArea collapsedLevelsAreSubtotals="1" fieldPosition="0">
        <references count="1">
          <reference field="0" count="1">
            <x v="4"/>
          </reference>
        </references>
      </pivotArea>
    </format>
    <format dxfId="283">
      <pivotArea collapsedLevelsAreSubtotals="1" fieldPosition="0">
        <references count="2">
          <reference field="0" count="1">
            <x v="24"/>
          </reference>
          <reference field="2" count="2" selected="0">
            <x v="41"/>
            <x v="42"/>
          </reference>
        </references>
      </pivotArea>
    </format>
    <format dxfId="282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281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280">
      <pivotArea collapsedLevelsAreSubtotals="1" fieldPosition="0">
        <references count="2">
          <reference field="0" count="1">
            <x v="4"/>
          </reference>
          <reference field="2" count="1" selected="0">
            <x v="42"/>
          </reference>
        </references>
      </pivotArea>
    </format>
    <format dxfId="279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278">
      <pivotArea outline="0" collapsedLevelsAreSubtotals="1" fieldPosition="0">
        <references count="1">
          <reference field="2" count="1" selected="0">
            <x v="43"/>
          </reference>
        </references>
      </pivotArea>
    </format>
    <format dxfId="277">
      <pivotArea collapsedLevelsAreSubtotals="1" fieldPosition="0">
        <references count="2">
          <reference field="0" count="1">
            <x v="4"/>
          </reference>
          <reference field="2" count="1" selected="0">
            <x v="43"/>
          </reference>
        </references>
      </pivotArea>
    </format>
    <format dxfId="276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1" selected="0">
            <x v="43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4D1B7-C29A-49D7-B1FA-2F2ED779510F}" name="PivotTable4" cacheId="1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outline="1" outlineData="1" multipleFieldFilters="0" rowHeaderCaption="KPI" colHeaderCaption="Month">
  <location ref="B47:I60" firstHeaderRow="1" firstDataRow="2" firstDataCol="1" rowPageCount="1" colPageCount="1"/>
  <pivotFields count="4">
    <pivotField axis="axisRow" showAll="0">
      <items count="19">
        <item x="16"/>
        <item x="0"/>
        <item x="1"/>
        <item x="2"/>
        <item x="3"/>
        <item x="7"/>
        <item x="8"/>
        <item x="10"/>
        <item x="6"/>
        <item x="4"/>
        <item x="5"/>
        <item x="11"/>
        <item x="12"/>
        <item x="17"/>
        <item x="9"/>
        <item x="15"/>
        <item x="13"/>
        <item x="14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4"/>
    </i>
    <i>
      <x v="16"/>
    </i>
    <i>
      <x v="17"/>
    </i>
  </rowItems>
  <colFields count="1">
    <field x="2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Total KPI (WPAY &amp; Adyen)" fld="1" subtotal="average" baseField="0" baseItem="0"/>
  </dataFields>
  <formats count="19">
    <format dxfId="440">
      <pivotArea collapsedLevelsAreSubtotals="1" fieldPosition="0">
        <references count="1">
          <reference field="0" count="1">
            <x v="1"/>
          </reference>
        </references>
      </pivotArea>
    </format>
    <format dxfId="439">
      <pivotArea collapsedLevelsAreSubtotals="1" fieldPosition="0">
        <references count="1">
          <reference field="0" count="1">
            <x v="3"/>
          </reference>
        </references>
      </pivotArea>
    </format>
    <format dxfId="438">
      <pivotArea collapsedLevelsAreSubtotals="1" fieldPosition="0">
        <references count="1">
          <reference field="0" count="1">
            <x v="4"/>
          </reference>
        </references>
      </pivotArea>
    </format>
    <format dxfId="437">
      <pivotArea collapsedLevelsAreSubtotals="1" fieldPosition="0">
        <references count="1">
          <reference field="0" count="1">
            <x v="5"/>
          </reference>
        </references>
      </pivotArea>
    </format>
    <format dxfId="436">
      <pivotArea collapsedLevelsAreSubtotals="1" fieldPosition="0">
        <references count="1">
          <reference field="0" count="5">
            <x v="6"/>
            <x v="7"/>
            <x v="11"/>
            <x v="12"/>
            <x v="14"/>
          </reference>
        </references>
      </pivotArea>
    </format>
    <format dxfId="435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434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433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432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431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430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429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428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427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426">
      <pivotArea collapsedLevelsAreSubtotals="1" fieldPosition="0">
        <references count="1">
          <reference field="0" count="1">
            <x v="2"/>
          </reference>
        </references>
      </pivotArea>
    </format>
    <format dxfId="425">
      <pivotArea collapsedLevelsAreSubtotals="1" fieldPosition="0">
        <references count="1">
          <reference field="0" count="2">
            <x v="16"/>
            <x v="17"/>
          </reference>
        </references>
      </pivotArea>
    </format>
    <format dxfId="424">
      <pivotArea collapsedLevelsAreSubtotals="1" fieldPosition="0">
        <references count="2">
          <reference field="0" count="1">
            <x v="3"/>
          </reference>
          <reference field="2" count="1" selected="0">
            <x v="9"/>
          </reference>
        </references>
      </pivotArea>
    </format>
    <format dxfId="423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422">
      <pivotArea outline="0" collapsedLevelsAreSubtotals="1" fieldPosition="0">
        <references count="1">
          <reference field="2" count="1" selected="0">
            <x v="1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57D05-67F2-4FB0-AEF2-CB3BA992D0BE}" name="Table1" displayName="Table1" ref="B3:F8" totalsRowShown="0" headerRowDxfId="469" dataDxfId="468">
  <autoFilter ref="B3:F8" xr:uid="{AEB57D05-67F2-4FB0-AEF2-CB3BA992D0BE}"/>
  <tableColumns count="5">
    <tableColumn id="1" xr3:uid="{FED40174-FCAC-4DF9-9FD9-5D6C118942FA}" name="RBA Scenario" dataDxfId="467"/>
    <tableColumn id="2" xr3:uid="{1BB0FA01-DEA4-42B2-B1D3-4993CA9027C3}" name="No." dataDxfId="466"/>
    <tableColumn id="3" xr3:uid="{4885A5EE-42EB-4142-BEED-E374E8AEE127}" name="." dataDxfId="465"/>
    <tableColumn id="4" xr3:uid="{F4B62D35-FFED-44BF-BE4A-7A2A92A85D6F}" name="Description" dataDxfId="464"/>
    <tableColumn id="5" xr3:uid="{5F6213B3-6D25-4C9E-AD5C-35B1E4754A22}" name="Impact" dataDxfId="4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97534-5524-4136-B376-0FF232AA582F}" name="Table14" displayName="Table14" ref="B10:F12" totalsRowShown="0" headerRowDxfId="462">
  <autoFilter ref="B10:F12" xr:uid="{B3597534-5524-4136-B376-0FF232AA582F}"/>
  <tableColumns count="5">
    <tableColumn id="1" xr3:uid="{8A1B9469-F474-4789-9F9B-B9FD445A51AC}" name="RBA Scenario" dataDxfId="461"/>
    <tableColumn id="2" xr3:uid="{9EA45085-154F-44EA-B99F-F6B81D4DE617}" name="No." dataDxfId="460"/>
    <tableColumn id="3" xr3:uid="{ABE13DC4-2D4C-44AF-B585-490EAB11DC5C}" name="." dataDxfId="459"/>
    <tableColumn id="4" xr3:uid="{12C18664-E2BB-4F29-AC72-9B8D1075569F}" name="Description"/>
    <tableColumn id="5" xr3:uid="{64A8F15D-D69D-4442-9B1A-C8A6043D269C}" name="Impa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870D6-1F1B-4DF9-AE28-E260D518052A}" name="Table145" displayName="Table145" ref="B14:F17" totalsRowShown="0" headerRowDxfId="458" dataDxfId="457">
  <autoFilter ref="B14:F17" xr:uid="{043870D6-1F1B-4DF9-AE28-E260D518052A}"/>
  <tableColumns count="5">
    <tableColumn id="1" xr3:uid="{74563A10-F251-4F9D-9DE1-E6F837595BA4}" name="Strategy" dataDxfId="456"/>
    <tableColumn id="2" xr3:uid="{D7560423-3D39-4729-8838-E3719FA0BC4B}" name="No." dataDxfId="455"/>
    <tableColumn id="3" xr3:uid="{F3C2A484-ABFB-4481-99B5-2D994907A9A9}" name="." dataDxfId="454"/>
    <tableColumn id="4" xr3:uid="{F4E181D0-4F65-41CD-AA52-8A05BA066487}" name="Description" dataDxfId="453"/>
    <tableColumn id="5" xr3:uid="{CDA7C2F6-496B-4FE6-9B27-EC68C52AF251}" name="Impact" dataDxfId="4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9EA32-6774-442E-9E2B-DC69E61BB5EA}" name="Table2" displayName="Table2" ref="H3:O8" totalsRowShown="0" headerRowDxfId="451" dataDxfId="449" headerRowBorderDxfId="450">
  <autoFilter ref="H3:O8" xr:uid="{E8C9EA32-6774-442E-9E2B-DC69E61BB5EA}"/>
  <tableColumns count="8">
    <tableColumn id="9" xr3:uid="{639AD191-2FDB-475F-880B-476CE8BA6E09}" name="Description" dataDxfId="448"/>
    <tableColumn id="1" xr3:uid="{EA07E17E-B6F5-4376-98E7-B1B84DA70DF0}" name="MSF Revenue" dataDxfId="447"/>
    <tableColumn id="2" xr3:uid="{48D96A77-9CE0-40C4-A19A-848D6E4C7F7C}" name="COA" dataDxfId="446"/>
    <tableColumn id="3" xr3:uid="{425B125C-3017-4409-B285-BD624FAB183A}" name="GP  Before Incentives" dataDxfId="445"/>
    <tableColumn id="4" xr3:uid="{CC0CC32B-906B-40EC-9384-8497C2F19E89}" name="GP Rate  %" dataDxfId="444"/>
    <tableColumn id="5" xr3:uid="{64FE0884-0547-4C07-8077-88D2D826F167}" name="Incentives" dataDxfId="443"/>
    <tableColumn id="6" xr3:uid="{6E23AD3A-D371-42AD-95F2-29C87F27AFF0}" name="GP After Incentives" dataDxfId="442"/>
    <tableColumn id="8" xr3:uid="{38920F1E-0036-4AB5-B204-6E2EEC14BFB4}" name="GP After Incentives  %" dataDxfId="4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3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11B2-B9AA-43E5-9CBF-D89BE167FEA7}">
  <sheetPr codeName="Sheet4"/>
  <dimension ref="A1:O115"/>
  <sheetViews>
    <sheetView showGridLines="0" topLeftCell="A37" workbookViewId="0">
      <selection activeCell="K49" sqref="K49"/>
    </sheetView>
  </sheetViews>
  <sheetFormatPr defaultRowHeight="15" x14ac:dyDescent="0.25"/>
  <cols>
    <col min="1" max="1" width="19.7109375" customWidth="1"/>
    <col min="2" max="2" width="11.85546875" hidden="1" customWidth="1"/>
    <col min="3" max="11" width="14" customWidth="1"/>
    <col min="12" max="12" width="14.5703125" bestFit="1" customWidth="1"/>
    <col min="13" max="13" width="15.42578125" customWidth="1"/>
  </cols>
  <sheetData>
    <row r="1" spans="1:12" ht="34.5" customHeight="1" x14ac:dyDescent="0.35">
      <c r="A1" s="782" t="s">
        <v>0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</row>
    <row r="2" spans="1:12" ht="29.1" customHeight="1" x14ac:dyDescent="0.25">
      <c r="A2" s="91" t="s">
        <v>1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13</v>
      </c>
      <c r="C3" s="95" t="s">
        <v>14</v>
      </c>
      <c r="D3" s="95" t="s">
        <v>14</v>
      </c>
      <c r="E3" s="95" t="s">
        <v>14</v>
      </c>
      <c r="F3" s="95" t="s">
        <v>14</v>
      </c>
      <c r="G3" s="76" t="s">
        <v>14</v>
      </c>
      <c r="H3" s="57" t="s">
        <v>14</v>
      </c>
      <c r="I3" s="57" t="s">
        <v>14</v>
      </c>
      <c r="J3" s="57" t="s">
        <v>14</v>
      </c>
      <c r="K3" s="95" t="s">
        <v>14</v>
      </c>
      <c r="L3" s="58" t="s">
        <v>15</v>
      </c>
    </row>
    <row r="4" spans="1:12" x14ac:dyDescent="0.25">
      <c r="A4" s="275" t="s">
        <v>16</v>
      </c>
      <c r="B4" s="73">
        <v>0.32727272727272722</v>
      </c>
      <c r="C4" s="11">
        <v>59549.25</v>
      </c>
      <c r="D4" s="11">
        <v>65026.41</v>
      </c>
      <c r="E4" s="74">
        <v>16134.75</v>
      </c>
      <c r="F4" s="11">
        <v>103319.73</v>
      </c>
      <c r="G4" s="74">
        <v>169330</v>
      </c>
      <c r="H4" s="11">
        <v>20841</v>
      </c>
      <c r="I4" s="74">
        <v>55261.54</v>
      </c>
      <c r="J4" s="11">
        <v>54948.93</v>
      </c>
      <c r="K4" s="96">
        <f>SUM(C4:J4)</f>
        <v>544411.61</v>
      </c>
      <c r="L4" s="78">
        <f>K4/$K$34</f>
        <v>0.47621920143801838</v>
      </c>
    </row>
    <row r="5" spans="1:12" x14ac:dyDescent="0.25">
      <c r="A5" s="9" t="s">
        <v>17</v>
      </c>
      <c r="C5" s="12">
        <f>C4/$K$4</f>
        <v>0.10938277014334798</v>
      </c>
      <c r="D5" s="12">
        <f t="shared" ref="D5:K5" si="0">D4/$K$4</f>
        <v>0.11944346668139573</v>
      </c>
      <c r="E5" s="5">
        <f t="shared" si="0"/>
        <v>2.9637042457636053E-2</v>
      </c>
      <c r="F5" s="12">
        <f t="shared" si="0"/>
        <v>0.18978237807970333</v>
      </c>
      <c r="G5" s="5">
        <f t="shared" si="0"/>
        <v>0.31103304354585681</v>
      </c>
      <c r="H5" s="12">
        <f t="shared" si="0"/>
        <v>3.8281696453901858E-2</v>
      </c>
      <c r="I5" s="5">
        <f t="shared" si="0"/>
        <v>0.10150690945036973</v>
      </c>
      <c r="J5" s="12">
        <f t="shared" si="0"/>
        <v>0.10093269318778855</v>
      </c>
      <c r="K5" s="5">
        <f t="shared" si="0"/>
        <v>1</v>
      </c>
      <c r="L5" s="12"/>
    </row>
    <row r="6" spans="1:12" x14ac:dyDescent="0.25">
      <c r="A6" s="102" t="s">
        <v>18</v>
      </c>
      <c r="B6" s="103"/>
      <c r="C6" s="104">
        <f>C4/'MSF By Card'!C4</f>
        <v>1.0851139802309802</v>
      </c>
      <c r="D6" s="104">
        <f>D4/'MSF By Card'!D4</f>
        <v>0.20730997179121041</v>
      </c>
      <c r="E6" s="104">
        <f>E4/'MSF By Card'!E4</f>
        <v>0.43481730701857979</v>
      </c>
      <c r="F6" s="104">
        <f>F4/'MSF By Card'!F4</f>
        <v>0.47821677592974327</v>
      </c>
      <c r="G6" s="104">
        <f>G4/'MSF By Card'!G4</f>
        <v>0.66733234019715082</v>
      </c>
      <c r="H6" s="104">
        <f>H4/'MSF By Card'!H4</f>
        <v>0.39993733615506732</v>
      </c>
      <c r="I6" s="104">
        <f>I4/'MSF By Card'!I4</f>
        <v>2.0242827909454957</v>
      </c>
      <c r="J6" s="104">
        <f>J4/'MSF By Card'!J4</f>
        <v>2.143053722221218</v>
      </c>
      <c r="K6" s="104">
        <f>K4/'MSF By Card'!K4</f>
        <v>0.55523859605142389</v>
      </c>
      <c r="L6" s="104"/>
    </row>
    <row r="7" spans="1:12" x14ac:dyDescent="0.25">
      <c r="A7" s="275" t="s">
        <v>19</v>
      </c>
      <c r="B7" s="73"/>
      <c r="C7" s="11">
        <v>501.43</v>
      </c>
      <c r="D7" s="11">
        <v>2696.34</v>
      </c>
      <c r="E7" s="74">
        <v>648.61</v>
      </c>
      <c r="F7" s="11">
        <v>3775.44</v>
      </c>
      <c r="G7" s="74">
        <v>3615.17</v>
      </c>
      <c r="H7" s="11">
        <v>711.62</v>
      </c>
      <c r="I7" s="74">
        <v>318.8</v>
      </c>
      <c r="J7" s="11">
        <v>483.56</v>
      </c>
      <c r="K7" s="96">
        <f>SUM(C7:J7)</f>
        <v>12750.97</v>
      </c>
      <c r="L7" s="78">
        <f>K7/$K$34</f>
        <v>1.1153797309649823E-2</v>
      </c>
    </row>
    <row r="8" spans="1:12" x14ac:dyDescent="0.25">
      <c r="A8" s="9" t="s">
        <v>17</v>
      </c>
      <c r="C8" s="12">
        <f>C7/$K$7</f>
        <v>3.9324851364249153E-2</v>
      </c>
      <c r="D8" s="12">
        <f t="shared" ref="D8:K8" si="1">D7/$K$7</f>
        <v>0.21146155939508918</v>
      </c>
      <c r="E8" s="5">
        <f t="shared" si="1"/>
        <v>5.086750262921174E-2</v>
      </c>
      <c r="F8" s="12">
        <f t="shared" si="1"/>
        <v>0.29609041508214673</v>
      </c>
      <c r="G8" s="5">
        <f t="shared" si="1"/>
        <v>0.28352117525176518</v>
      </c>
      <c r="H8" s="12">
        <f t="shared" si="1"/>
        <v>5.580908746550263E-2</v>
      </c>
      <c r="I8" s="5">
        <f t="shared" si="1"/>
        <v>2.5002019454206232E-2</v>
      </c>
      <c r="J8" s="12">
        <f t="shared" si="1"/>
        <v>3.7923389357829247E-2</v>
      </c>
      <c r="K8" s="5">
        <f t="shared" si="1"/>
        <v>1</v>
      </c>
      <c r="L8" s="12"/>
    </row>
    <row r="9" spans="1:12" x14ac:dyDescent="0.25">
      <c r="A9" s="102" t="s">
        <v>18</v>
      </c>
      <c r="B9" s="103"/>
      <c r="C9" s="104">
        <f>C7/'MSF By Card'!C6</f>
        <v>1.1718143190992136</v>
      </c>
      <c r="D9" s="104">
        <f>D7/'MSF By Card'!D6</f>
        <v>0.18395576587919354</v>
      </c>
      <c r="E9" s="104">
        <f>E7/'MSF By Card'!E6</f>
        <v>0.43992810413185435</v>
      </c>
      <c r="F9" s="104">
        <f>F7/'MSF By Card'!F6</f>
        <v>0.44217466019603557</v>
      </c>
      <c r="G9" s="104">
        <f>G7/'MSF By Card'!G6</f>
        <v>0.70841236870982893</v>
      </c>
      <c r="H9" s="104">
        <f>H7/'MSF By Card'!H6</f>
        <v>0.37529281471289061</v>
      </c>
      <c r="I9" s="104">
        <f>I7/'MSF By Card'!I6</f>
        <v>2.2876899993476409</v>
      </c>
      <c r="J9" s="104">
        <f>J7/'MSF By Card'!J6</f>
        <v>2.1298790742372065</v>
      </c>
      <c r="K9" s="104">
        <f>K7/'MSF By Card'!K6</f>
        <v>0.39277359955710278</v>
      </c>
      <c r="L9" s="104"/>
    </row>
    <row r="10" spans="1:12" x14ac:dyDescent="0.25">
      <c r="A10" s="275" t="s">
        <v>20</v>
      </c>
      <c r="B10" s="73">
        <v>2.7272727272727268E-2</v>
      </c>
      <c r="C10" s="11">
        <v>58306.29</v>
      </c>
      <c r="D10" s="11">
        <v>33089</v>
      </c>
      <c r="E10" s="74">
        <v>11330</v>
      </c>
      <c r="F10" s="11">
        <v>59926</v>
      </c>
      <c r="G10" s="74">
        <v>140277</v>
      </c>
      <c r="H10" s="11">
        <v>15971</v>
      </c>
      <c r="I10" s="74">
        <v>37170</v>
      </c>
      <c r="J10" s="11">
        <v>30719</v>
      </c>
      <c r="K10" s="96">
        <f>SUM(C10:J10)</f>
        <v>386788.29000000004</v>
      </c>
      <c r="L10" s="78">
        <f>K10/$K$34</f>
        <v>0.33833960776364908</v>
      </c>
    </row>
    <row r="11" spans="1:12" x14ac:dyDescent="0.25">
      <c r="A11" s="9" t="s">
        <v>17</v>
      </c>
      <c r="C11" s="12">
        <f>C10/$K$10</f>
        <v>0.15074471360030056</v>
      </c>
      <c r="D11" s="12">
        <f t="shared" ref="D11:K11" si="2">D10/$K$10</f>
        <v>8.5548091437825061E-2</v>
      </c>
      <c r="E11" s="5">
        <f t="shared" si="2"/>
        <v>2.9292510380808063E-2</v>
      </c>
      <c r="F11" s="12">
        <f t="shared" si="2"/>
        <v>0.15493230159579027</v>
      </c>
      <c r="G11" s="5">
        <f t="shared" si="2"/>
        <v>0.36267126908107788</v>
      </c>
      <c r="H11" s="12">
        <f t="shared" si="2"/>
        <v>4.1291322444120523E-2</v>
      </c>
      <c r="I11" s="5">
        <f t="shared" si="2"/>
        <v>9.6099083041009323E-2</v>
      </c>
      <c r="J11" s="12">
        <f t="shared" si="2"/>
        <v>7.9420708419068217E-2</v>
      </c>
      <c r="K11" s="5">
        <f t="shared" si="2"/>
        <v>1</v>
      </c>
      <c r="L11" s="12"/>
    </row>
    <row r="12" spans="1:12" x14ac:dyDescent="0.25">
      <c r="A12" s="105" t="s">
        <v>18</v>
      </c>
      <c r="B12" s="106"/>
      <c r="C12" s="107">
        <f>C10/'MSF By Card'!C8</f>
        <v>1.1028337689684402</v>
      </c>
      <c r="D12" s="107">
        <f>D10/'MSF By Card'!D8</f>
        <v>0.1607797632328386</v>
      </c>
      <c r="E12" s="107">
        <f>E10/'MSF By Card'!E8</f>
        <v>0.37895165728637425</v>
      </c>
      <c r="F12" s="107">
        <f>F10/'MSF By Card'!F8</f>
        <v>0.40069432464491411</v>
      </c>
      <c r="G12" s="107">
        <f>G10/'MSF By Card'!G8</f>
        <v>0.68253874030275996</v>
      </c>
      <c r="H12" s="107">
        <f>H10/'MSF By Card'!H8</f>
        <v>0.3383262881187834</v>
      </c>
      <c r="I12" s="107">
        <f>I10/'MSF By Card'!I8</f>
        <v>2.027850395258977</v>
      </c>
      <c r="J12" s="107">
        <f>J10/'MSF By Card'!J8</f>
        <v>2.0088472532019432</v>
      </c>
      <c r="K12" s="107">
        <f>K10/'MSF By Card'!K8</f>
        <v>0.5338863581179899</v>
      </c>
      <c r="L12" s="107"/>
    </row>
    <row r="13" spans="1:12" x14ac:dyDescent="0.25">
      <c r="A13" s="275" t="s">
        <v>21</v>
      </c>
      <c r="B13" s="73">
        <v>5.4545454545454536E-2</v>
      </c>
      <c r="C13" s="11">
        <v>3551.69</v>
      </c>
      <c r="D13" s="11">
        <v>7933.87</v>
      </c>
      <c r="E13" s="74">
        <v>1719.42</v>
      </c>
      <c r="F13" s="11">
        <v>13031</v>
      </c>
      <c r="G13" s="74">
        <v>17021</v>
      </c>
      <c r="H13" s="11">
        <v>2180.58</v>
      </c>
      <c r="I13" s="74">
        <v>4669.1000000000004</v>
      </c>
      <c r="J13" s="11">
        <v>4630</v>
      </c>
      <c r="K13" s="96">
        <f>SUM(C13:J13)</f>
        <v>54736.659999999996</v>
      </c>
      <c r="L13" s="78">
        <f>K13/$K$34</f>
        <v>4.788040525914633E-2</v>
      </c>
    </row>
    <row r="14" spans="1:12" x14ac:dyDescent="0.25">
      <c r="A14" s="9" t="s">
        <v>17</v>
      </c>
      <c r="C14" s="12">
        <f>C13/$K$13</f>
        <v>6.488686010436151E-2</v>
      </c>
      <c r="D14" s="12">
        <f t="shared" ref="D14:K14" si="3">D13/$K$13</f>
        <v>0.14494618414788188</v>
      </c>
      <c r="E14" s="5">
        <f t="shared" si="3"/>
        <v>3.1412585276485633E-2</v>
      </c>
      <c r="F14" s="12">
        <f t="shared" si="3"/>
        <v>0.23806713818490205</v>
      </c>
      <c r="G14" s="5">
        <f t="shared" si="3"/>
        <v>0.3109616114684382</v>
      </c>
      <c r="H14" s="12">
        <f t="shared" si="3"/>
        <v>3.983765176757223E-2</v>
      </c>
      <c r="I14" s="5">
        <f t="shared" si="3"/>
        <v>8.5301149174977081E-2</v>
      </c>
      <c r="J14" s="12">
        <f t="shared" si="3"/>
        <v>8.4586819875381511E-2</v>
      </c>
      <c r="K14" s="5">
        <f t="shared" si="3"/>
        <v>1</v>
      </c>
      <c r="L14" s="12"/>
    </row>
    <row r="15" spans="1:12" x14ac:dyDescent="0.25">
      <c r="A15" s="105" t="s">
        <v>18</v>
      </c>
      <c r="B15" s="106"/>
      <c r="C15" s="107">
        <f>C13/'MSF By Card'!C10</f>
        <v>1.0611706707590347</v>
      </c>
      <c r="D15" s="107">
        <f>D13/'MSF By Card'!D10</f>
        <v>0.2370073965204092</v>
      </c>
      <c r="E15" s="107">
        <f>E13/'MSF By Card'!E10</f>
        <v>0.41996576080077946</v>
      </c>
      <c r="F15" s="107">
        <f>F13/'MSF By Card'!F10</f>
        <v>0.45631050035271975</v>
      </c>
      <c r="G15" s="107">
        <f>G13/'MSF By Card'!G10</f>
        <v>0.63266882567453231</v>
      </c>
      <c r="H15" s="107">
        <f>H13/'MSF By Card'!H10</f>
        <v>0.38402416883603419</v>
      </c>
      <c r="I15" s="107">
        <f>I13/'MSF By Card'!I10</f>
        <v>2.1312659761643968</v>
      </c>
      <c r="J15" s="107">
        <f>J13/'MSF By Card'!J10</f>
        <v>2.0067060941926496</v>
      </c>
      <c r="K15" s="107">
        <f>K13/'MSF By Card'!K10</f>
        <v>0.51370141149811277</v>
      </c>
      <c r="L15" s="107"/>
    </row>
    <row r="16" spans="1:12" x14ac:dyDescent="0.25">
      <c r="A16" s="275" t="s">
        <v>22</v>
      </c>
      <c r="B16" s="73"/>
      <c r="C16" s="11">
        <v>183.9</v>
      </c>
      <c r="D16" s="11">
        <v>429.37</v>
      </c>
      <c r="E16" s="74">
        <v>160.05000000000001</v>
      </c>
      <c r="F16" s="11">
        <v>548.6</v>
      </c>
      <c r="G16" s="74">
        <v>1520.96</v>
      </c>
      <c r="H16" s="11">
        <v>153.30000000000001</v>
      </c>
      <c r="I16" s="74">
        <v>109.32</v>
      </c>
      <c r="J16" s="11">
        <v>100.36</v>
      </c>
      <c r="K16" s="96">
        <f>SUM(C16:J16)</f>
        <v>3205.8600000000006</v>
      </c>
      <c r="L16" s="78">
        <f>K16/$K$34</f>
        <v>2.8042974489873311E-3</v>
      </c>
    </row>
    <row r="17" spans="1:12" x14ac:dyDescent="0.25">
      <c r="A17" s="9" t="s">
        <v>17</v>
      </c>
      <c r="C17" s="12">
        <f>C16/$K$16</f>
        <v>5.7363702719395102E-2</v>
      </c>
      <c r="D17" s="12">
        <f t="shared" ref="D17:K17" si="4">D16/$K$16</f>
        <v>0.13393286044930219</v>
      </c>
      <c r="E17" s="5">
        <f t="shared" si="4"/>
        <v>4.9924201306357725E-2</v>
      </c>
      <c r="F17" s="12">
        <f t="shared" si="4"/>
        <v>0.17112412893888065</v>
      </c>
      <c r="G17" s="5">
        <f t="shared" si="4"/>
        <v>0.47443119786890248</v>
      </c>
      <c r="H17" s="12">
        <f t="shared" si="4"/>
        <v>4.7818682038516962E-2</v>
      </c>
      <c r="I17" s="5">
        <f t="shared" si="4"/>
        <v>3.4100054275607784E-2</v>
      </c>
      <c r="J17" s="12">
        <f t="shared" si="4"/>
        <v>3.1305172403036929E-2</v>
      </c>
      <c r="K17" s="5">
        <f t="shared" si="4"/>
        <v>1</v>
      </c>
      <c r="L17" s="12"/>
    </row>
    <row r="18" spans="1:12" x14ac:dyDescent="0.25">
      <c r="A18" s="105" t="s">
        <v>18</v>
      </c>
      <c r="B18" s="106"/>
      <c r="C18" s="107">
        <f>C16/'MSF By Card'!C12</f>
        <v>1.3722949596363887</v>
      </c>
      <c r="D18" s="107">
        <f>D16/'MSF By Card'!D12</f>
        <v>0.19883010654913005</v>
      </c>
      <c r="E18" s="107">
        <f>E16/'MSF By Card'!E12</f>
        <v>0.52880485387318676</v>
      </c>
      <c r="F18" s="107">
        <f>F16/'MSF By Card'!F12</f>
        <v>0.50243951176460788</v>
      </c>
      <c r="G18" s="107">
        <f>G16/'MSF By Card'!G12</f>
        <v>0.89062927532991598</v>
      </c>
      <c r="H18" s="107">
        <f>H16/'MSF By Card'!H12</f>
        <v>0.47154721624115647</v>
      </c>
      <c r="I18" s="107">
        <f>I16/'MSF By Card'!I12</f>
        <v>2.5766445253910435</v>
      </c>
      <c r="J18" s="107">
        <f>J16/'MSF By Card'!J12</f>
        <v>2.3114740368509219</v>
      </c>
      <c r="K18" s="107">
        <f>K16/'MSF By Card'!K12</f>
        <v>0.55209585150719087</v>
      </c>
      <c r="L18" s="107"/>
    </row>
    <row r="19" spans="1:12" x14ac:dyDescent="0.25">
      <c r="A19" s="275" t="s">
        <v>23</v>
      </c>
      <c r="B19" s="73"/>
      <c r="C19" s="11">
        <v>2674.91</v>
      </c>
      <c r="D19" s="11">
        <v>7125.88</v>
      </c>
      <c r="E19" s="74">
        <v>1602</v>
      </c>
      <c r="F19" s="11">
        <v>8601</v>
      </c>
      <c r="G19" s="74">
        <v>13801</v>
      </c>
      <c r="H19" s="11">
        <v>1975</v>
      </c>
      <c r="I19" s="74">
        <v>2135</v>
      </c>
      <c r="J19" s="11">
        <v>2324</v>
      </c>
      <c r="K19" s="96">
        <f>SUM(C19:J19)</f>
        <v>40238.79</v>
      </c>
      <c r="L19" s="78">
        <f>K19/$K$34</f>
        <v>3.5198522751254555E-2</v>
      </c>
    </row>
    <row r="20" spans="1:12" x14ac:dyDescent="0.25">
      <c r="A20" s="9" t="s">
        <v>17</v>
      </c>
      <c r="C20" s="12">
        <f>C19/$K$19</f>
        <v>6.6475905463360102E-2</v>
      </c>
      <c r="D20" s="12">
        <f t="shared" ref="D20:K20" si="5">D19/$K$19</f>
        <v>0.1770898180586444</v>
      </c>
      <c r="E20" s="5">
        <f t="shared" si="5"/>
        <v>3.9812330340947132E-2</v>
      </c>
      <c r="F20" s="12">
        <f t="shared" si="5"/>
        <v>0.21374897207396146</v>
      </c>
      <c r="G20" s="5">
        <f t="shared" si="5"/>
        <v>0.34297751000962007</v>
      </c>
      <c r="H20" s="12">
        <f t="shared" si="5"/>
        <v>4.9081992773639567E-2</v>
      </c>
      <c r="I20" s="5">
        <f t="shared" si="5"/>
        <v>5.3058255479352133E-2</v>
      </c>
      <c r="J20" s="12">
        <f t="shared" si="5"/>
        <v>5.7755215800475115E-2</v>
      </c>
      <c r="K20" s="5">
        <f t="shared" si="5"/>
        <v>1</v>
      </c>
      <c r="L20" s="12"/>
    </row>
    <row r="21" spans="1:12" x14ac:dyDescent="0.25">
      <c r="A21" s="102" t="s">
        <v>18</v>
      </c>
      <c r="B21" s="103"/>
      <c r="C21" s="104">
        <f>C19/'MSF By Card'!C14</f>
        <v>1.1513317551307884</v>
      </c>
      <c r="D21" s="104">
        <f>D19/'MSF By Card'!D14</f>
        <v>0.19438803168945804</v>
      </c>
      <c r="E21" s="107">
        <f>E19/'MSF By Card'!E14</f>
        <v>0.41706013078392257</v>
      </c>
      <c r="F21" s="104">
        <f>F19/'MSF By Card'!F14</f>
        <v>0.44220046271412189</v>
      </c>
      <c r="G21" s="107">
        <f>G19/'MSF By Card'!G14</f>
        <v>0.68150088121824515</v>
      </c>
      <c r="H21" s="104">
        <f>H19/'MSF By Card'!H14</f>
        <v>0.37512712881408056</v>
      </c>
      <c r="I21" s="107">
        <f>I19/'MSF By Card'!I14</f>
        <v>2.0418543184545026</v>
      </c>
      <c r="J21" s="104">
        <f>J19/'MSF By Card'!J14</f>
        <v>1.9996558251591816</v>
      </c>
      <c r="K21" s="107">
        <f>K19/'MSF By Card'!K14</f>
        <v>0.44711478348514566</v>
      </c>
      <c r="L21" s="104"/>
    </row>
    <row r="22" spans="1:12" x14ac:dyDescent="0.25">
      <c r="A22" s="275" t="s">
        <v>24</v>
      </c>
      <c r="B22" s="73"/>
      <c r="C22" s="11">
        <v>1287.78</v>
      </c>
      <c r="D22" s="11">
        <v>2084.09</v>
      </c>
      <c r="E22" s="74">
        <v>505.36</v>
      </c>
      <c r="F22" s="11">
        <v>2954.1</v>
      </c>
      <c r="G22" s="74">
        <v>5217.2</v>
      </c>
      <c r="H22" s="11">
        <v>639.89</v>
      </c>
      <c r="I22" s="74">
        <v>1148.68</v>
      </c>
      <c r="J22" s="11">
        <v>1210.47</v>
      </c>
      <c r="K22" s="96">
        <f>SUM(C22:J22)</f>
        <v>15047.569999999998</v>
      </c>
      <c r="L22" s="78">
        <f>K22/$K$34</f>
        <v>1.3162727681326784E-2</v>
      </c>
    </row>
    <row r="23" spans="1:12" x14ac:dyDescent="0.25">
      <c r="A23" s="9" t="s">
        <v>17</v>
      </c>
      <c r="C23" s="12">
        <f>C22/$K$22</f>
        <v>8.5580595405105292E-2</v>
      </c>
      <c r="D23" s="12">
        <f t="shared" ref="D23:K23" si="6">D22/$K$22</f>
        <v>0.13850010333894447</v>
      </c>
      <c r="E23" s="5">
        <f t="shared" si="6"/>
        <v>3.3584160100268684E-2</v>
      </c>
      <c r="F23" s="12">
        <f t="shared" si="6"/>
        <v>0.1963174120472608</v>
      </c>
      <c r="G23" s="5">
        <f t="shared" si="6"/>
        <v>0.34671378833924682</v>
      </c>
      <c r="H23" s="12">
        <f t="shared" si="6"/>
        <v>4.2524474051292005E-2</v>
      </c>
      <c r="I23" s="5">
        <f t="shared" si="6"/>
        <v>7.6336577932516692E-2</v>
      </c>
      <c r="J23" s="12">
        <f t="shared" si="6"/>
        <v>8.044288878536536E-2</v>
      </c>
      <c r="K23" s="5">
        <f t="shared" si="6"/>
        <v>1</v>
      </c>
      <c r="L23" s="12"/>
    </row>
    <row r="24" spans="1:12" x14ac:dyDescent="0.25">
      <c r="A24" s="102" t="s">
        <v>18</v>
      </c>
      <c r="B24" s="103"/>
      <c r="C24" s="104">
        <f>C22/'MSF By Card'!C16</f>
        <v>1.2143972841136079</v>
      </c>
      <c r="D24" s="104">
        <f>D22/'MSF By Card'!D16</f>
        <v>0.19952748737123185</v>
      </c>
      <c r="E24" s="107">
        <f>E22/'MSF By Card'!E16</f>
        <v>0.41055228135478067</v>
      </c>
      <c r="F24" s="104">
        <f>F22/'MSF By Card'!F16</f>
        <v>0.45856488472057189</v>
      </c>
      <c r="G24" s="107">
        <f>G22/'MSF By Card'!G16</f>
        <v>0.60338040726379627</v>
      </c>
      <c r="H24" s="104">
        <f>H22/'MSF By Card'!H16</f>
        <v>0.35132292826090211</v>
      </c>
      <c r="I24" s="107">
        <f>I22/'MSF By Card'!I16</f>
        <v>2.0310684605616385</v>
      </c>
      <c r="J24" s="104">
        <f>J22/'MSF By Card'!J16</f>
        <v>2.0668669088199683</v>
      </c>
      <c r="K24" s="107">
        <f>K22/'MSF By Card'!K16</f>
        <v>0.48859337654981133</v>
      </c>
      <c r="L24" s="104"/>
    </row>
    <row r="25" spans="1:12" x14ac:dyDescent="0.25">
      <c r="A25" s="275" t="s">
        <v>25</v>
      </c>
      <c r="B25" s="73">
        <v>0.21818181818181814</v>
      </c>
      <c r="C25" s="11">
        <v>3655.3</v>
      </c>
      <c r="D25" s="11">
        <v>14219.75</v>
      </c>
      <c r="E25" s="74">
        <v>2749.12</v>
      </c>
      <c r="F25" s="11">
        <v>20047.8</v>
      </c>
      <c r="G25" s="74">
        <v>21395</v>
      </c>
      <c r="H25" s="11">
        <v>4083.48</v>
      </c>
      <c r="I25" s="74">
        <v>3647.08</v>
      </c>
      <c r="J25" s="11">
        <v>3835.72</v>
      </c>
      <c r="K25" s="96">
        <f>SUM(C25:J25)</f>
        <v>73633.25</v>
      </c>
      <c r="L25" s="78">
        <f>K25/$K$34</f>
        <v>6.4410028864531316E-2</v>
      </c>
    </row>
    <row r="26" spans="1:12" x14ac:dyDescent="0.25">
      <c r="A26" s="9" t="s">
        <v>17</v>
      </c>
      <c r="C26" s="12">
        <f t="shared" ref="C26:K26" si="7">C25/$K$25</f>
        <v>4.9641975602054779E-2</v>
      </c>
      <c r="D26" s="12">
        <f t="shared" si="7"/>
        <v>0.19311588175179012</v>
      </c>
      <c r="E26" s="5">
        <f t="shared" si="7"/>
        <v>3.7335307079342551E-2</v>
      </c>
      <c r="F26" s="12">
        <f t="shared" si="7"/>
        <v>0.27226558653869004</v>
      </c>
      <c r="G26" s="5">
        <f t="shared" si="7"/>
        <v>0.29056166881130469</v>
      </c>
      <c r="H26" s="12">
        <f t="shared" si="7"/>
        <v>5.5457011608206888E-2</v>
      </c>
      <c r="I26" s="5">
        <f t="shared" si="7"/>
        <v>4.9530341252083804E-2</v>
      </c>
      <c r="J26" s="12">
        <f t="shared" si="7"/>
        <v>5.2092227356527111E-2</v>
      </c>
      <c r="K26" s="5">
        <f t="shared" si="7"/>
        <v>1</v>
      </c>
      <c r="L26" s="12"/>
    </row>
    <row r="27" spans="1:12" x14ac:dyDescent="0.25">
      <c r="A27" s="102" t="s">
        <v>18</v>
      </c>
      <c r="B27" s="103"/>
      <c r="C27" s="104"/>
      <c r="D27" s="104"/>
      <c r="E27" s="108"/>
      <c r="F27" s="104"/>
      <c r="G27" s="108"/>
      <c r="H27" s="104"/>
      <c r="I27" s="108"/>
      <c r="J27" s="104"/>
      <c r="K27" s="108"/>
      <c r="L27" s="104"/>
    </row>
    <row r="28" spans="1:12" x14ac:dyDescent="0.25">
      <c r="A28" s="275" t="s">
        <v>26</v>
      </c>
      <c r="B28" s="73"/>
      <c r="C28" s="11">
        <v>81.290000000000006</v>
      </c>
      <c r="D28" s="11">
        <v>482.99</v>
      </c>
      <c r="E28" s="74">
        <v>111.29</v>
      </c>
      <c r="F28" s="11">
        <v>536.76</v>
      </c>
      <c r="G28" s="74">
        <v>791.65</v>
      </c>
      <c r="H28" s="11">
        <v>142.38</v>
      </c>
      <c r="I28" s="74">
        <v>28.91</v>
      </c>
      <c r="J28" s="11">
        <v>17.010000000000002</v>
      </c>
      <c r="K28" s="96">
        <f>SUM(C28:J28)</f>
        <v>2192.2800000000002</v>
      </c>
      <c r="L28" s="78">
        <f>K28/$K$34</f>
        <v>1.917677381877545E-3</v>
      </c>
    </row>
    <row r="29" spans="1:12" x14ac:dyDescent="0.25">
      <c r="A29" s="9" t="s">
        <v>17</v>
      </c>
      <c r="C29" s="12">
        <f t="shared" ref="C29:K29" si="8">C28/$K$28</f>
        <v>3.7080117503238634E-2</v>
      </c>
      <c r="D29" s="12">
        <f t="shared" si="8"/>
        <v>0.22031401098399839</v>
      </c>
      <c r="E29" s="5">
        <f t="shared" si="8"/>
        <v>5.0764500884923458E-2</v>
      </c>
      <c r="F29" s="12">
        <f t="shared" si="8"/>
        <v>0.2448409874651048</v>
      </c>
      <c r="G29" s="5">
        <f t="shared" si="8"/>
        <v>0.36110807013702623</v>
      </c>
      <c r="H29" s="12">
        <f t="shared" si="8"/>
        <v>6.4946083529476159E-2</v>
      </c>
      <c r="I29" s="5">
        <f t="shared" si="8"/>
        <v>1.3187184118816938E-2</v>
      </c>
      <c r="J29" s="12">
        <f t="shared" si="8"/>
        <v>7.7590453774152935E-3</v>
      </c>
      <c r="K29" s="5">
        <f t="shared" si="8"/>
        <v>1</v>
      </c>
      <c r="L29" s="12"/>
    </row>
    <row r="30" spans="1:12" x14ac:dyDescent="0.25">
      <c r="A30" s="105" t="s">
        <v>18</v>
      </c>
      <c r="B30" s="103"/>
      <c r="C30" s="104">
        <f>C28/'MSF By Card'!C20</f>
        <v>1.1854567148349466</v>
      </c>
      <c r="D30" s="104">
        <f>D28/'MSF By Card'!D20</f>
        <v>0.18668379053595838</v>
      </c>
      <c r="E30" s="107">
        <f>E28/'MSF By Card'!E20</f>
        <v>0.40314496476322215</v>
      </c>
      <c r="F30" s="104">
        <f>F28/'MSF By Card'!F20</f>
        <v>0.42012551765358835</v>
      </c>
      <c r="G30" s="107">
        <f>G28/'MSF By Card'!G20</f>
        <v>0.68547060351545619</v>
      </c>
      <c r="H30" s="104">
        <f>H28/'MSF By Card'!H20</f>
        <v>0.42972617022444171</v>
      </c>
      <c r="I30" s="107">
        <f>I28/'MSF By Card'!I20</f>
        <v>1.8360854503464206</v>
      </c>
      <c r="J30" s="104">
        <f>J28/'MSF By Card'!J20</f>
        <v>2.1384000000000003</v>
      </c>
      <c r="K30" s="107">
        <f>K28/'MSF By Card'!K20</f>
        <v>0.38330715970575341</v>
      </c>
      <c r="L30" s="104"/>
    </row>
    <row r="31" spans="1:12" x14ac:dyDescent="0.25">
      <c r="A31" s="277" t="s">
        <v>27</v>
      </c>
      <c r="B31" s="73"/>
      <c r="C31" s="99">
        <f>C47</f>
        <v>2142.5699999999997</v>
      </c>
      <c r="D31" s="99">
        <f t="shared" ref="D31:J31" si="9">D47</f>
        <v>0</v>
      </c>
      <c r="E31" s="99">
        <f t="shared" si="9"/>
        <v>251.15545454545455</v>
      </c>
      <c r="F31" s="99">
        <f t="shared" si="9"/>
        <v>2986.9818181818187</v>
      </c>
      <c r="G31" s="99">
        <f t="shared" si="9"/>
        <v>1298.7572727272727</v>
      </c>
      <c r="H31" s="99">
        <f t="shared" si="9"/>
        <v>622.91454545454542</v>
      </c>
      <c r="I31" s="99">
        <f t="shared" si="9"/>
        <v>1540.8772727272728</v>
      </c>
      <c r="J31" s="99">
        <f t="shared" si="9"/>
        <v>1346.8836363636365</v>
      </c>
      <c r="K31" s="96">
        <f>SUM(C31:J31)</f>
        <v>10190.140000000001</v>
      </c>
      <c r="L31" s="78">
        <f>K31/$K$34</f>
        <v>8.9137341015589466E-3</v>
      </c>
    </row>
    <row r="32" spans="1:12" x14ac:dyDescent="0.25">
      <c r="A32" s="9" t="s">
        <v>17</v>
      </c>
      <c r="C32" s="12">
        <f>C31/$K$31</f>
        <v>0.21025913284802755</v>
      </c>
      <c r="D32" s="12">
        <f t="shared" ref="D32:K32" si="10">D31/$K$31</f>
        <v>0</v>
      </c>
      <c r="E32" s="12">
        <f t="shared" si="10"/>
        <v>2.4646909124453099E-2</v>
      </c>
      <c r="F32" s="12">
        <f t="shared" si="10"/>
        <v>0.29312470860869611</v>
      </c>
      <c r="G32" s="12">
        <f t="shared" si="10"/>
        <v>0.12745234832173774</v>
      </c>
      <c r="H32" s="12">
        <f t="shared" si="10"/>
        <v>6.112914498275248E-2</v>
      </c>
      <c r="I32" s="12">
        <f t="shared" si="10"/>
        <v>0.15121257143937891</v>
      </c>
      <c r="J32" s="12">
        <f t="shared" si="10"/>
        <v>0.13217518467495407</v>
      </c>
      <c r="K32" s="12">
        <f t="shared" si="10"/>
        <v>1</v>
      </c>
      <c r="L32" s="72"/>
    </row>
    <row r="33" spans="1:15" x14ac:dyDescent="0.25">
      <c r="A33" s="105" t="s">
        <v>18</v>
      </c>
      <c r="B33" s="103"/>
      <c r="C33" s="108">
        <f>C31/'MSF By Card'!C22</f>
        <v>0.95816102514899937</v>
      </c>
      <c r="D33" s="108" t="e">
        <f>D31/'MSF By Card'!D22</f>
        <v>#DIV/0!</v>
      </c>
      <c r="E33" s="108">
        <f>E31/'MSF By Card'!E22</f>
        <v>0.68048720411832797</v>
      </c>
      <c r="F33" s="108">
        <f>F31/'MSF By Card'!F22</f>
        <v>0.71343919433883196</v>
      </c>
      <c r="G33" s="108">
        <f>G31/'MSF By Card'!G22</f>
        <v>1.0259556621591537</v>
      </c>
      <c r="H33" s="108">
        <f>H31/'MSF By Card'!H22</f>
        <v>0.87423256526065996</v>
      </c>
      <c r="I33" s="108">
        <f>I31/'MSF By Card'!I22</f>
        <v>1.0414083572442356</v>
      </c>
      <c r="J33" s="108">
        <f>J31/'MSF By Card'!J22</f>
        <v>0.76205103410674913</v>
      </c>
      <c r="K33" s="108">
        <f>K31/'MSF By Card'!K22</f>
        <v>0.84783207875978761</v>
      </c>
      <c r="L33" s="109"/>
    </row>
    <row r="34" spans="1:15" x14ac:dyDescent="0.25">
      <c r="A34" s="83" t="s">
        <v>10</v>
      </c>
      <c r="B34" s="100">
        <v>1.227272727272728</v>
      </c>
      <c r="C34" s="94">
        <f>SUM(C31+C28+C25+C22+C19+C16+C13+C10+C7+C4)</f>
        <v>131934.40999999997</v>
      </c>
      <c r="D34" s="94">
        <f t="shared" ref="D34:J34" si="11">SUM(D31+D28+D25+D22+D19+D16+D13+D10+D7+D4)</f>
        <v>133087.70000000001</v>
      </c>
      <c r="E34" s="94">
        <f t="shared" si="11"/>
        <v>35211.755454545455</v>
      </c>
      <c r="F34" s="94">
        <f t="shared" si="11"/>
        <v>215727.4118181818</v>
      </c>
      <c r="G34" s="94">
        <f t="shared" si="11"/>
        <v>374267.7372727273</v>
      </c>
      <c r="H34" s="94">
        <f t="shared" si="11"/>
        <v>47321.164545454551</v>
      </c>
      <c r="I34" s="94">
        <f t="shared" si="11"/>
        <v>106029.30727272728</v>
      </c>
      <c r="J34" s="94">
        <f t="shared" si="11"/>
        <v>99615.933636363625</v>
      </c>
      <c r="K34" s="94">
        <f>SUM(K4,K7,K10,K13,K16,K19,K22,K25,K28,K31)</f>
        <v>1143195.42</v>
      </c>
      <c r="L34" s="101">
        <f>K34/$K$34</f>
        <v>1</v>
      </c>
      <c r="M34" s="71">
        <f>SUM(C34:J34)</f>
        <v>1143195.42</v>
      </c>
    </row>
    <row r="35" spans="1:15" x14ac:dyDescent="0.25">
      <c r="A35" s="129" t="s">
        <v>17</v>
      </c>
      <c r="B35" s="42"/>
      <c r="C35" s="89">
        <f>C34/$K$34</f>
        <v>0.11540844871474379</v>
      </c>
      <c r="D35" s="89">
        <f t="shared" ref="D35:K35" si="12">D34/$K$34</f>
        <v>0.11641727885858746</v>
      </c>
      <c r="E35" s="89">
        <f t="shared" si="12"/>
        <v>3.080116910768017E-2</v>
      </c>
      <c r="F35" s="89">
        <f t="shared" si="12"/>
        <v>0.18870562988975395</v>
      </c>
      <c r="G35" s="89">
        <f t="shared" si="12"/>
        <v>0.32738736590873269</v>
      </c>
      <c r="H35" s="89">
        <f t="shared" si="12"/>
        <v>4.1393766732773084E-2</v>
      </c>
      <c r="I35" s="89">
        <f t="shared" si="12"/>
        <v>9.2748191094683782E-2</v>
      </c>
      <c r="J35" s="89">
        <f t="shared" si="12"/>
        <v>8.7138149693045161E-2</v>
      </c>
      <c r="K35" s="89">
        <f t="shared" si="12"/>
        <v>1</v>
      </c>
      <c r="L35" s="75"/>
      <c r="M35" s="149">
        <f>K34/'TTV By Card'!K24*10000</f>
        <v>78.508432748021932</v>
      </c>
    </row>
    <row r="36" spans="1:15" x14ac:dyDescent="0.25">
      <c r="A36" s="105" t="s">
        <v>18</v>
      </c>
      <c r="B36" s="106"/>
      <c r="C36" s="117">
        <f>C34/'MSF By Card'!C24</f>
        <v>1.0953842302187118</v>
      </c>
      <c r="D36" s="117">
        <f>D34/'MSF By Card'!D24</f>
        <v>0.20043463052305024</v>
      </c>
      <c r="E36" s="117">
        <f>E34/'MSF By Card'!E24</f>
        <v>0.41988491926092864</v>
      </c>
      <c r="F36" s="117">
        <f>F34/'MSF By Card'!F24</f>
        <v>0.46033366351372912</v>
      </c>
      <c r="G36" s="117">
        <f>G34/'MSF By Card'!G24</f>
        <v>0.67837338722692042</v>
      </c>
      <c r="H36" s="117">
        <f>H34/'MSF By Card'!H24</f>
        <v>0.38401200933846552</v>
      </c>
      <c r="I36" s="117">
        <f>I34/'MSF By Card'!I24</f>
        <v>2.0117233806653352</v>
      </c>
      <c r="J36" s="117">
        <f>J34/'MSF By Card'!J24</f>
        <v>2.0440994277772861</v>
      </c>
      <c r="K36" s="117">
        <f>K34/'MSF By Card'!K24</f>
        <v>0.54094795538193918</v>
      </c>
      <c r="L36" s="110"/>
    </row>
    <row r="37" spans="1:15" x14ac:dyDescent="0.25">
      <c r="L37" s="116">
        <f>SUM(L4:L33)</f>
        <v>1</v>
      </c>
      <c r="O37">
        <v>259085</v>
      </c>
    </row>
    <row r="38" spans="1:15" x14ac:dyDescent="0.25">
      <c r="L38" s="69"/>
    </row>
    <row r="39" spans="1:15" x14ac:dyDescent="0.25">
      <c r="A39" s="1" t="s">
        <v>28</v>
      </c>
      <c r="C39" s="69"/>
      <c r="D39" s="69"/>
      <c r="E39" s="69">
        <v>0.14545454545454545</v>
      </c>
      <c r="F39" s="69">
        <v>1.0818181818181818</v>
      </c>
      <c r="G39" s="69">
        <v>2.627272727272727</v>
      </c>
      <c r="H39" s="69"/>
      <c r="I39" s="69">
        <v>2.0272727272727269</v>
      </c>
      <c r="J39" s="69">
        <v>5.6363636363636358</v>
      </c>
      <c r="K39" s="70">
        <f>SUM(C39:J39)</f>
        <v>11.518181818181816</v>
      </c>
      <c r="L39" s="69"/>
    </row>
    <row r="40" spans="1:15" x14ac:dyDescent="0.25">
      <c r="A40" s="1" t="s">
        <v>29</v>
      </c>
      <c r="B40">
        <v>2.7272727272727268E-2</v>
      </c>
      <c r="C40" s="69">
        <v>1103.46</v>
      </c>
      <c r="D40" s="69"/>
      <c r="E40" s="69">
        <v>105.9</v>
      </c>
      <c r="F40" s="69">
        <v>1502.39</v>
      </c>
      <c r="G40" s="69">
        <v>498.51</v>
      </c>
      <c r="H40" s="69">
        <v>332.74</v>
      </c>
      <c r="I40" s="69">
        <v>152.47</v>
      </c>
      <c r="J40" s="69">
        <v>105.06</v>
      </c>
      <c r="K40" s="70">
        <f t="shared" ref="K40:K45" si="13">SUM(C40:J40)</f>
        <v>3800.5299999999997</v>
      </c>
      <c r="L40" s="69"/>
    </row>
    <row r="41" spans="1:15" x14ac:dyDescent="0.25">
      <c r="A41" s="1" t="s">
        <v>30</v>
      </c>
      <c r="C41" s="69"/>
      <c r="D41" s="69"/>
      <c r="E41" s="69"/>
      <c r="F41" s="69"/>
      <c r="G41" s="69"/>
      <c r="H41" s="69"/>
      <c r="I41" s="69"/>
      <c r="J41" s="69">
        <v>2.7272727272727268E-2</v>
      </c>
      <c r="K41" s="70">
        <f t="shared" si="13"/>
        <v>2.7272727272727268E-2</v>
      </c>
      <c r="L41" s="69"/>
    </row>
    <row r="42" spans="1:15" x14ac:dyDescent="0.25">
      <c r="A42" s="1" t="s">
        <v>31</v>
      </c>
      <c r="C42" s="69">
        <v>118.02</v>
      </c>
      <c r="D42" s="69"/>
      <c r="E42" s="69">
        <v>21.64</v>
      </c>
      <c r="F42" s="69">
        <v>70.94</v>
      </c>
      <c r="G42" s="69">
        <v>110.42</v>
      </c>
      <c r="H42" s="69">
        <v>1.8545454545454545</v>
      </c>
      <c r="I42" s="69">
        <v>972.06</v>
      </c>
      <c r="J42" s="69">
        <v>601.84</v>
      </c>
      <c r="K42" s="70">
        <f t="shared" si="13"/>
        <v>1896.7745454545457</v>
      </c>
    </row>
    <row r="43" spans="1:15" x14ac:dyDescent="0.25">
      <c r="A43" s="1" t="s">
        <v>32</v>
      </c>
      <c r="B43">
        <v>5.4545454545454536E-2</v>
      </c>
      <c r="C43" s="69">
        <v>882.12</v>
      </c>
      <c r="D43" s="69"/>
      <c r="E43" s="69">
        <v>98.9</v>
      </c>
      <c r="F43" s="69">
        <v>947.46</v>
      </c>
      <c r="G43" s="69">
        <v>631.04999999999995</v>
      </c>
      <c r="H43" s="69">
        <v>213.7</v>
      </c>
      <c r="I43" s="69">
        <v>99.18</v>
      </c>
      <c r="J43" s="69">
        <v>47</v>
      </c>
      <c r="K43" s="70">
        <f t="shared" si="13"/>
        <v>2919.4099999999994</v>
      </c>
    </row>
    <row r="44" spans="1:15" x14ac:dyDescent="0.25">
      <c r="A44" s="1" t="s">
        <v>33</v>
      </c>
      <c r="B44">
        <v>0.51818181818181841</v>
      </c>
      <c r="C44" s="69">
        <v>26.16</v>
      </c>
      <c r="D44" s="69"/>
      <c r="E44" s="69"/>
      <c r="F44" s="69"/>
      <c r="G44" s="69"/>
      <c r="H44" s="69"/>
      <c r="I44" s="69">
        <v>313.68</v>
      </c>
      <c r="J44" s="69">
        <v>584.28</v>
      </c>
      <c r="K44" s="70">
        <f t="shared" si="13"/>
        <v>924.12</v>
      </c>
    </row>
    <row r="45" spans="1:15" x14ac:dyDescent="0.25">
      <c r="A45" s="1" t="s">
        <v>34</v>
      </c>
      <c r="C45" s="69">
        <v>12.81</v>
      </c>
      <c r="D45" s="69"/>
      <c r="E45" s="69">
        <v>24.57</v>
      </c>
      <c r="F45" s="69">
        <v>465.11</v>
      </c>
      <c r="G45" s="69">
        <v>56.15</v>
      </c>
      <c r="H45" s="69">
        <v>74.62</v>
      </c>
      <c r="I45" s="69">
        <v>1.46</v>
      </c>
      <c r="J45" s="69">
        <v>3.04</v>
      </c>
      <c r="K45" s="70">
        <f t="shared" si="13"/>
        <v>637.76</v>
      </c>
    </row>
    <row r="47" spans="1:15" x14ac:dyDescent="0.25">
      <c r="C47" s="71">
        <f>SUM(C39:C45)</f>
        <v>2142.5699999999997</v>
      </c>
      <c r="D47" s="71">
        <f t="shared" ref="D47:J47" si="14">SUM(D39:D45)</f>
        <v>0</v>
      </c>
      <c r="E47" s="71">
        <f t="shared" si="14"/>
        <v>251.15545454545455</v>
      </c>
      <c r="F47" s="71">
        <f t="shared" si="14"/>
        <v>2986.9818181818187</v>
      </c>
      <c r="G47" s="71">
        <f t="shared" si="14"/>
        <v>1298.7572727272727</v>
      </c>
      <c r="H47" s="71">
        <f t="shared" si="14"/>
        <v>622.91454545454542</v>
      </c>
      <c r="I47" s="71">
        <f t="shared" si="14"/>
        <v>1540.8772727272728</v>
      </c>
      <c r="J47" s="71">
        <f t="shared" si="14"/>
        <v>1346.8836363636365</v>
      </c>
      <c r="K47" s="71">
        <f t="shared" ref="K47" si="15">SUM(K39:K45)</f>
        <v>10190.140000000001</v>
      </c>
    </row>
    <row r="48" spans="1:15" x14ac:dyDescent="0.25">
      <c r="A48" s="276" t="s">
        <v>35</v>
      </c>
    </row>
    <row r="49" spans="1:13" x14ac:dyDescent="0.25">
      <c r="K49" s="71">
        <f>K34-K47</f>
        <v>1133005.28</v>
      </c>
      <c r="L49" s="781"/>
    </row>
    <row r="53" spans="1:13" ht="21" x14ac:dyDescent="0.35">
      <c r="A53" s="782" t="s">
        <v>36</v>
      </c>
      <c r="B53" s="783"/>
      <c r="C53" s="783"/>
      <c r="D53" s="783"/>
      <c r="E53" s="783"/>
      <c r="F53" s="783"/>
      <c r="G53" s="783"/>
      <c r="H53" s="783"/>
      <c r="I53" s="783"/>
      <c r="J53" s="783"/>
      <c r="K53" s="783"/>
      <c r="L53" s="783"/>
    </row>
    <row r="54" spans="1:13" ht="27" x14ac:dyDescent="0.25">
      <c r="A54" s="517" t="s">
        <v>1</v>
      </c>
      <c r="B54" s="518"/>
      <c r="C54" s="519" t="s">
        <v>2</v>
      </c>
      <c r="D54" s="519" t="s">
        <v>3</v>
      </c>
      <c r="E54" s="520" t="s">
        <v>4</v>
      </c>
      <c r="F54" s="520" t="s">
        <v>5</v>
      </c>
      <c r="G54" s="493" t="s">
        <v>6</v>
      </c>
      <c r="H54" s="494" t="s">
        <v>7</v>
      </c>
      <c r="I54" s="493" t="s">
        <v>8</v>
      </c>
      <c r="J54" s="494" t="s">
        <v>9</v>
      </c>
      <c r="K54" s="492" t="s">
        <v>10</v>
      </c>
      <c r="L54" s="495" t="s">
        <v>11</v>
      </c>
    </row>
    <row r="55" spans="1:13" x14ac:dyDescent="0.25">
      <c r="A55" s="503" t="s">
        <v>12</v>
      </c>
      <c r="B55" s="518" t="s">
        <v>13</v>
      </c>
      <c r="C55" s="521" t="s">
        <v>14</v>
      </c>
      <c r="D55" s="521" t="s">
        <v>14</v>
      </c>
      <c r="E55" s="521" t="s">
        <v>14</v>
      </c>
      <c r="F55" s="521" t="s">
        <v>14</v>
      </c>
      <c r="G55" s="522" t="s">
        <v>14</v>
      </c>
      <c r="H55" s="514" t="s">
        <v>14</v>
      </c>
      <c r="I55" s="514" t="s">
        <v>14</v>
      </c>
      <c r="J55" s="514" t="s">
        <v>14</v>
      </c>
      <c r="K55" s="521" t="s">
        <v>14</v>
      </c>
      <c r="L55" s="515" t="s">
        <v>15</v>
      </c>
    </row>
    <row r="57" spans="1:13" x14ac:dyDescent="0.25">
      <c r="A57" s="523" t="s">
        <v>10</v>
      </c>
      <c r="B57" s="524">
        <v>1.227272727272728</v>
      </c>
      <c r="C57" s="525">
        <f>C58*$K$57</f>
        <v>29900.597935259393</v>
      </c>
      <c r="D57" s="525">
        <f t="shared" ref="D57:J57" si="16">D58*$K$57</f>
        <v>30161.970693077132</v>
      </c>
      <c r="E57" s="525">
        <f t="shared" si="16"/>
        <v>7980.120898263317</v>
      </c>
      <c r="F57" s="525">
        <f t="shared" si="16"/>
        <v>48890.798119986903</v>
      </c>
      <c r="G57" s="525">
        <f t="shared" si="16"/>
        <v>84821.155696464004</v>
      </c>
      <c r="H57" s="525">
        <f t="shared" si="16"/>
        <v>10724.504053960514</v>
      </c>
      <c r="I57" s="525">
        <f t="shared" si="16"/>
        <v>24029.665089766149</v>
      </c>
      <c r="J57" s="525">
        <f t="shared" si="16"/>
        <v>22576.187513222605</v>
      </c>
      <c r="K57" s="525">
        <v>259085</v>
      </c>
      <c r="L57" s="526"/>
      <c r="M57" s="149">
        <f>K57/'TTV By Card'!L55*10000</f>
        <v>65.104675457269977</v>
      </c>
    </row>
    <row r="58" spans="1:13" x14ac:dyDescent="0.25">
      <c r="A58" s="506" t="s">
        <v>17</v>
      </c>
      <c r="B58" s="527"/>
      <c r="C58" s="508">
        <f>C103</f>
        <v>0.11540844871474379</v>
      </c>
      <c r="D58" s="508">
        <f t="shared" ref="D58:J58" si="17">D103</f>
        <v>0.11641727885858746</v>
      </c>
      <c r="E58" s="508">
        <f t="shared" si="17"/>
        <v>3.080116910768017E-2</v>
      </c>
      <c r="F58" s="508">
        <f t="shared" si="17"/>
        <v>0.18870562988975395</v>
      </c>
      <c r="G58" s="508">
        <f t="shared" si="17"/>
        <v>0.32738736590873269</v>
      </c>
      <c r="H58" s="508">
        <f t="shared" si="17"/>
        <v>4.1393766732773084E-2</v>
      </c>
      <c r="I58" s="508">
        <f t="shared" si="17"/>
        <v>9.2748191094683782E-2</v>
      </c>
      <c r="J58" s="508">
        <f t="shared" si="17"/>
        <v>8.7138149693045161E-2</v>
      </c>
      <c r="K58" s="528">
        <f>SUM(C58:J58)</f>
        <v>1</v>
      </c>
      <c r="L58" s="529"/>
    </row>
    <row r="62" spans="1:13" ht="21" x14ac:dyDescent="0.35">
      <c r="A62" s="782" t="s">
        <v>37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</row>
    <row r="63" spans="1:13" ht="27" x14ac:dyDescent="0.25">
      <c r="A63" s="583" t="s">
        <v>1</v>
      </c>
      <c r="B63" s="568"/>
      <c r="C63" s="584" t="s">
        <v>2</v>
      </c>
      <c r="D63" s="584" t="s">
        <v>3</v>
      </c>
      <c r="E63" s="585" t="s">
        <v>4</v>
      </c>
      <c r="F63" s="585" t="s">
        <v>5</v>
      </c>
      <c r="G63" s="559" t="s">
        <v>6</v>
      </c>
      <c r="H63" s="560" t="s">
        <v>7</v>
      </c>
      <c r="I63" s="559" t="s">
        <v>8</v>
      </c>
      <c r="J63" s="560" t="s">
        <v>9</v>
      </c>
      <c r="K63" s="558" t="s">
        <v>10</v>
      </c>
      <c r="L63" s="561" t="s">
        <v>11</v>
      </c>
    </row>
    <row r="64" spans="1:13" x14ac:dyDescent="0.25">
      <c r="A64" s="570" t="s">
        <v>12</v>
      </c>
      <c r="B64" s="568" t="s">
        <v>13</v>
      </c>
      <c r="C64" s="586" t="s">
        <v>14</v>
      </c>
      <c r="D64" s="586" t="s">
        <v>14</v>
      </c>
      <c r="E64" s="586" t="s">
        <v>14</v>
      </c>
      <c r="F64" s="586" t="s">
        <v>14</v>
      </c>
      <c r="G64" s="587" t="s">
        <v>14</v>
      </c>
      <c r="H64" s="581" t="s">
        <v>14</v>
      </c>
      <c r="I64" s="581" t="s">
        <v>14</v>
      </c>
      <c r="J64" s="581" t="s">
        <v>14</v>
      </c>
      <c r="K64" s="586" t="s">
        <v>14</v>
      </c>
      <c r="L64" s="582" t="s">
        <v>15</v>
      </c>
    </row>
    <row r="65" spans="1:12" x14ac:dyDescent="0.25">
      <c r="A65" s="568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</row>
    <row r="66" spans="1:12" x14ac:dyDescent="0.25">
      <c r="A66" s="588" t="s">
        <v>10</v>
      </c>
      <c r="B66" s="589">
        <v>1.227272727272728</v>
      </c>
      <c r="C66" s="590">
        <f>C67*$K$57</f>
        <v>6777663.5999999996</v>
      </c>
      <c r="D66" s="590">
        <f t="shared" ref="D66" si="18">D67*$K$57</f>
        <v>0</v>
      </c>
      <c r="E66" s="590">
        <f t="shared" ref="E66" si="19">E67*$K$57</f>
        <v>0</v>
      </c>
      <c r="F66" s="590">
        <f t="shared" ref="F66" si="20">F67*$K$57</f>
        <v>0</v>
      </c>
      <c r="G66" s="590">
        <f t="shared" ref="G66" si="21">G67*$K$57</f>
        <v>0</v>
      </c>
      <c r="H66" s="590">
        <f t="shared" ref="H66" si="22">H67*$K$57</f>
        <v>0</v>
      </c>
      <c r="I66" s="590">
        <f t="shared" ref="I66" si="23">I67*$K$57</f>
        <v>81269782.799999997</v>
      </c>
      <c r="J66" s="590">
        <f t="shared" ref="J66" si="24">J67*$K$57</f>
        <v>151378183.79999998</v>
      </c>
      <c r="K66" s="590">
        <v>259085</v>
      </c>
      <c r="L66" s="591"/>
    </row>
    <row r="67" spans="1:12" x14ac:dyDescent="0.25">
      <c r="A67" s="573" t="s">
        <v>17</v>
      </c>
      <c r="B67" s="592"/>
      <c r="C67" s="575">
        <f>C112</f>
        <v>26.16</v>
      </c>
      <c r="D67" s="575">
        <f t="shared" ref="D67:J67" si="25">D112</f>
        <v>0</v>
      </c>
      <c r="E67" s="575">
        <f t="shared" si="25"/>
        <v>0</v>
      </c>
      <c r="F67" s="575">
        <f t="shared" si="25"/>
        <v>0</v>
      </c>
      <c r="G67" s="575">
        <f t="shared" si="25"/>
        <v>0</v>
      </c>
      <c r="H67" s="575">
        <f t="shared" si="25"/>
        <v>0</v>
      </c>
      <c r="I67" s="575">
        <f t="shared" si="25"/>
        <v>313.68</v>
      </c>
      <c r="J67" s="575">
        <f t="shared" si="25"/>
        <v>584.28</v>
      </c>
      <c r="K67" s="593">
        <f>SUM(C67:J67)</f>
        <v>924.12</v>
      </c>
      <c r="L67" s="594"/>
    </row>
    <row r="69" spans="1:12" ht="21" x14ac:dyDescent="0.35">
      <c r="A69" s="782" t="s">
        <v>0</v>
      </c>
      <c r="B69" s="783"/>
      <c r="C69" s="783"/>
      <c r="D69" s="783"/>
      <c r="E69" s="783"/>
      <c r="F69" s="783"/>
      <c r="G69" s="783"/>
      <c r="H69" s="783"/>
      <c r="I69" s="783"/>
      <c r="J69" s="783"/>
      <c r="K69" s="783"/>
      <c r="L69" s="783"/>
    </row>
    <row r="70" spans="1:12" ht="27" x14ac:dyDescent="0.25">
      <c r="A70" s="91" t="s">
        <v>1</v>
      </c>
      <c r="C70" s="80" t="s">
        <v>2</v>
      </c>
      <c r="D70" s="80" t="s">
        <v>3</v>
      </c>
      <c r="E70" s="82" t="s">
        <v>4</v>
      </c>
      <c r="F70" s="82" t="s">
        <v>5</v>
      </c>
      <c r="G70" s="25" t="s">
        <v>6</v>
      </c>
      <c r="H70" s="27" t="s">
        <v>7</v>
      </c>
      <c r="I70" s="25" t="s">
        <v>8</v>
      </c>
      <c r="J70" s="27" t="s">
        <v>9</v>
      </c>
      <c r="K70" s="23" t="s">
        <v>10</v>
      </c>
      <c r="L70" s="21" t="s">
        <v>11</v>
      </c>
    </row>
    <row r="71" spans="1:12" x14ac:dyDescent="0.25">
      <c r="A71" s="29" t="s">
        <v>12</v>
      </c>
      <c r="B71" t="s">
        <v>13</v>
      </c>
      <c r="C71" s="95" t="s">
        <v>14</v>
      </c>
      <c r="D71" s="95" t="s">
        <v>14</v>
      </c>
      <c r="E71" s="95" t="s">
        <v>14</v>
      </c>
      <c r="F71" s="95" t="s">
        <v>14</v>
      </c>
      <c r="G71" s="76" t="s">
        <v>14</v>
      </c>
      <c r="H71" s="57" t="s">
        <v>14</v>
      </c>
      <c r="I71" s="57" t="s">
        <v>14</v>
      </c>
      <c r="J71" s="57" t="s">
        <v>14</v>
      </c>
      <c r="K71" s="95" t="s">
        <v>14</v>
      </c>
      <c r="L71" s="58" t="s">
        <v>15</v>
      </c>
    </row>
    <row r="72" spans="1:12" x14ac:dyDescent="0.25">
      <c r="A72" s="275" t="s">
        <v>16</v>
      </c>
      <c r="B72" s="73">
        <v>0.32727272727272722</v>
      </c>
      <c r="C72" s="11">
        <v>59549.25</v>
      </c>
      <c r="D72" s="11">
        <v>65026.41</v>
      </c>
      <c r="E72" s="74">
        <v>16134.75</v>
      </c>
      <c r="F72" s="11">
        <v>103319.73</v>
      </c>
      <c r="G72" s="74">
        <v>169330</v>
      </c>
      <c r="H72" s="11">
        <v>20841</v>
      </c>
      <c r="I72" s="74">
        <v>55261.54</v>
      </c>
      <c r="J72" s="11">
        <v>54948.93</v>
      </c>
      <c r="K72" s="96">
        <f>SUM(C72:J72)</f>
        <v>544411.61</v>
      </c>
      <c r="L72" s="78">
        <f>K72/$K$34</f>
        <v>0.47621920143801838</v>
      </c>
    </row>
    <row r="73" spans="1:12" x14ac:dyDescent="0.25">
      <c r="A73" s="9" t="s">
        <v>17</v>
      </c>
      <c r="C73" s="12">
        <f>C72/$K$4</f>
        <v>0.10938277014334798</v>
      </c>
      <c r="D73" s="12">
        <f t="shared" ref="D73:K73" si="26">D72/$K$4</f>
        <v>0.11944346668139573</v>
      </c>
      <c r="E73" s="5">
        <f t="shared" si="26"/>
        <v>2.9637042457636053E-2</v>
      </c>
      <c r="F73" s="12">
        <f t="shared" si="26"/>
        <v>0.18978237807970333</v>
      </c>
      <c r="G73" s="5">
        <f t="shared" si="26"/>
        <v>0.31103304354585681</v>
      </c>
      <c r="H73" s="12">
        <f t="shared" si="26"/>
        <v>3.8281696453901858E-2</v>
      </c>
      <c r="I73" s="5">
        <f t="shared" si="26"/>
        <v>0.10150690945036973</v>
      </c>
      <c r="J73" s="12">
        <f t="shared" si="26"/>
        <v>0.10093269318778855</v>
      </c>
      <c r="K73" s="5">
        <f t="shared" si="26"/>
        <v>1</v>
      </c>
      <c r="L73" s="12"/>
    </row>
    <row r="74" spans="1:12" x14ac:dyDescent="0.25">
      <c r="A74" s="102" t="s">
        <v>18</v>
      </c>
      <c r="B74" s="103"/>
      <c r="C74" s="104">
        <f>C72/'MSF By Card'!C72</f>
        <v>2306712.6008422505</v>
      </c>
      <c r="D74" s="104">
        <f>D72/'MSF By Card'!D72</f>
        <v>159641.8231185959</v>
      </c>
      <c r="E74" s="104">
        <f>E72/'MSF By Card'!E72</f>
        <v>378028.27718274947</v>
      </c>
      <c r="F74" s="104">
        <f>F72/'MSF By Card'!F72</f>
        <v>478056.67959259148</v>
      </c>
      <c r="G74" s="104">
        <f>G72/'MSF By Card'!G72</f>
        <v>752515.85965241492</v>
      </c>
      <c r="H74" s="104">
        <f>H72/'MSF By Card'!H72</f>
        <v>356250.76840367669</v>
      </c>
      <c r="I74" s="104">
        <f>I72/'MSF By Card'!I72</f>
        <v>4756371.192998833</v>
      </c>
      <c r="J74" s="104">
        <f>J72/'MSF By Card'!J72</f>
        <v>4255045.9266557936</v>
      </c>
      <c r="K74" s="104">
        <f>K72/'MSF By Card'!K72</f>
        <v>544411.61</v>
      </c>
      <c r="L74" s="104"/>
    </row>
    <row r="75" spans="1:12" x14ac:dyDescent="0.25">
      <c r="A75" s="275" t="s">
        <v>19</v>
      </c>
      <c r="B75" s="73"/>
      <c r="C75" s="11">
        <v>501.43</v>
      </c>
      <c r="D75" s="11">
        <v>2696.34</v>
      </c>
      <c r="E75" s="74">
        <v>648.61</v>
      </c>
      <c r="F75" s="11">
        <v>3775.44</v>
      </c>
      <c r="G75" s="74">
        <v>3615.17</v>
      </c>
      <c r="H75" s="11">
        <v>711.62</v>
      </c>
      <c r="I75" s="74">
        <v>318.8</v>
      </c>
      <c r="J75" s="11">
        <v>483.56</v>
      </c>
      <c r="K75" s="96">
        <f>SUM(C75:J75)</f>
        <v>12750.97</v>
      </c>
      <c r="L75" s="78">
        <f>K75/$K$34</f>
        <v>1.1153797309649823E-2</v>
      </c>
    </row>
    <row r="76" spans="1:12" x14ac:dyDescent="0.25">
      <c r="A76" s="9" t="s">
        <v>17</v>
      </c>
      <c r="C76" s="12">
        <f>C75/$K$7</f>
        <v>3.9324851364249153E-2</v>
      </c>
      <c r="D76" s="12">
        <f t="shared" ref="D76:K76" si="27">D75/$K$7</f>
        <v>0.21146155939508918</v>
      </c>
      <c r="E76" s="5">
        <f t="shared" si="27"/>
        <v>5.086750262921174E-2</v>
      </c>
      <c r="F76" s="12">
        <f t="shared" si="27"/>
        <v>0.29609041508214673</v>
      </c>
      <c r="G76" s="5">
        <f t="shared" si="27"/>
        <v>0.28352117525176518</v>
      </c>
      <c r="H76" s="12">
        <f t="shared" si="27"/>
        <v>5.580908746550263E-2</v>
      </c>
      <c r="I76" s="5">
        <f t="shared" si="27"/>
        <v>2.5002019454206232E-2</v>
      </c>
      <c r="J76" s="12">
        <f t="shared" si="27"/>
        <v>3.7923389357829247E-2</v>
      </c>
      <c r="K76" s="5">
        <f t="shared" si="27"/>
        <v>1</v>
      </c>
      <c r="L76" s="12"/>
    </row>
    <row r="77" spans="1:12" x14ac:dyDescent="0.25">
      <c r="A77" s="102" t="s">
        <v>18</v>
      </c>
      <c r="B77" s="103"/>
      <c r="C77" s="104">
        <f>C75/'MSF By Card'!C74</f>
        <v>14562.911895976751</v>
      </c>
      <c r="D77" s="104">
        <f>D75/'MSF By Card'!D74</f>
        <v>7950.2304087334342</v>
      </c>
      <c r="E77" s="104">
        <f>E75/'MSF By Card'!E74</f>
        <v>16228.18847661039</v>
      </c>
      <c r="F77" s="104">
        <f>F75/'MSF By Card'!F74</f>
        <v>18049.36685281093</v>
      </c>
      <c r="G77" s="104">
        <f>G75/'MSF By Card'!G74</f>
        <v>12876.601028116091</v>
      </c>
      <c r="H77" s="104">
        <f>H75/'MSF By Card'!H74</f>
        <v>12032.839200303466</v>
      </c>
      <c r="I77" s="104">
        <f>I75/'MSF By Card'!I74</f>
        <v>17360.5153236566</v>
      </c>
      <c r="J77" s="104">
        <f>J75/'MSF By Card'!J74</f>
        <v>25428.904311570583</v>
      </c>
      <c r="K77" s="104">
        <f>K75/'MSF By Card'!K74</f>
        <v>12750.97</v>
      </c>
      <c r="L77" s="104"/>
    </row>
    <row r="78" spans="1:12" x14ac:dyDescent="0.25">
      <c r="A78" s="275" t="s">
        <v>20</v>
      </c>
      <c r="B78" s="73">
        <v>2.7272727272727268E-2</v>
      </c>
      <c r="C78" s="11">
        <v>58306.29</v>
      </c>
      <c r="D78" s="11">
        <v>33089</v>
      </c>
      <c r="E78" s="74">
        <v>11330</v>
      </c>
      <c r="F78" s="11">
        <v>59926</v>
      </c>
      <c r="G78" s="74">
        <v>140277</v>
      </c>
      <c r="H78" s="11">
        <v>15971</v>
      </c>
      <c r="I78" s="74">
        <v>37170</v>
      </c>
      <c r="J78" s="11">
        <v>30719</v>
      </c>
      <c r="K78" s="96">
        <f>SUM(C78:J78)</f>
        <v>386788.29000000004</v>
      </c>
      <c r="L78" s="78">
        <f>K78/$K$34</f>
        <v>0.33833960776364908</v>
      </c>
    </row>
    <row r="79" spans="1:12" x14ac:dyDescent="0.25">
      <c r="A79" s="9" t="s">
        <v>17</v>
      </c>
      <c r="C79" s="12">
        <f>C78/$K$10</f>
        <v>0.15074471360030056</v>
      </c>
      <c r="D79" s="12">
        <f t="shared" ref="D79:K79" si="28">D78/$K$10</f>
        <v>8.5548091437825061E-2</v>
      </c>
      <c r="E79" s="5">
        <f t="shared" si="28"/>
        <v>2.9292510380808063E-2</v>
      </c>
      <c r="F79" s="12">
        <f t="shared" si="28"/>
        <v>0.15493230159579027</v>
      </c>
      <c r="G79" s="5">
        <f t="shared" si="28"/>
        <v>0.36267126908107788</v>
      </c>
      <c r="H79" s="12">
        <f t="shared" si="28"/>
        <v>4.1291322444120523E-2</v>
      </c>
      <c r="I79" s="5">
        <f t="shared" si="28"/>
        <v>9.6099083041009323E-2</v>
      </c>
      <c r="J79" s="12">
        <f t="shared" si="28"/>
        <v>7.9420708419068217E-2</v>
      </c>
      <c r="K79" s="5">
        <f t="shared" si="28"/>
        <v>1</v>
      </c>
      <c r="L79" s="12"/>
    </row>
    <row r="80" spans="1:12" x14ac:dyDescent="0.25">
      <c r="A80" s="105" t="s">
        <v>18</v>
      </c>
      <c r="B80" s="106"/>
      <c r="C80" s="107">
        <f>C78/'MSF By Card'!C76</f>
        <v>2350311.5453904062</v>
      </c>
      <c r="D80" s="107">
        <f>D78/'MSF By Card'!D76</f>
        <v>92847.358405195788</v>
      </c>
      <c r="E80" s="107">
        <f>E78/'MSF By Card'!E76</f>
        <v>268868.15993468545</v>
      </c>
      <c r="F80" s="107">
        <f>F78/'MSF By Card'!F76</f>
        <v>223705.17628483276</v>
      </c>
      <c r="G80" s="107">
        <f>G78/'MSF By Card'!G76</f>
        <v>639482.00962817296</v>
      </c>
      <c r="H80" s="107">
        <f>H78/'MSF By Card'!H76</f>
        <v>253246.93944203074</v>
      </c>
      <c r="I80" s="107">
        <f>I78/'MSF By Card'!I76</f>
        <v>2907980.1397013646</v>
      </c>
      <c r="J80" s="107">
        <f>J78/'MSF By Card'!J76</f>
        <v>2258341.6710086558</v>
      </c>
      <c r="K80" s="107">
        <f>K78/'MSF By Card'!K76</f>
        <v>386788.29000000004</v>
      </c>
      <c r="L80" s="107"/>
    </row>
    <row r="81" spans="1:12" x14ac:dyDescent="0.25">
      <c r="A81" s="275" t="s">
        <v>21</v>
      </c>
      <c r="B81" s="73">
        <v>5.4545454545454536E-2</v>
      </c>
      <c r="C81" s="11">
        <v>3551.69</v>
      </c>
      <c r="D81" s="11">
        <v>7933.87</v>
      </c>
      <c r="E81" s="74">
        <v>1719.42</v>
      </c>
      <c r="F81" s="11">
        <v>13031</v>
      </c>
      <c r="G81" s="74">
        <v>17021</v>
      </c>
      <c r="H81" s="11">
        <v>2180.58</v>
      </c>
      <c r="I81" s="74">
        <v>4669.1000000000004</v>
      </c>
      <c r="J81" s="11">
        <v>4630</v>
      </c>
      <c r="K81" s="96">
        <f>SUM(C81:J81)</f>
        <v>54736.659999999996</v>
      </c>
      <c r="L81" s="78">
        <f>K81/$K$34</f>
        <v>4.788040525914633E-2</v>
      </c>
    </row>
    <row r="82" spans="1:12" x14ac:dyDescent="0.25">
      <c r="A82" s="9" t="s">
        <v>17</v>
      </c>
      <c r="C82" s="12">
        <f>C81/$K$13</f>
        <v>6.488686010436151E-2</v>
      </c>
      <c r="D82" s="12">
        <f t="shared" ref="D82:K82" si="29">D81/$K$13</f>
        <v>0.14494618414788188</v>
      </c>
      <c r="E82" s="5">
        <f t="shared" si="29"/>
        <v>3.1412585276485633E-2</v>
      </c>
      <c r="F82" s="12">
        <f t="shared" si="29"/>
        <v>0.23806713818490205</v>
      </c>
      <c r="G82" s="5">
        <f t="shared" si="29"/>
        <v>0.3109616114684382</v>
      </c>
      <c r="H82" s="12">
        <f t="shared" si="29"/>
        <v>3.983765176757223E-2</v>
      </c>
      <c r="I82" s="5">
        <f t="shared" si="29"/>
        <v>8.5301149174977081E-2</v>
      </c>
      <c r="J82" s="12">
        <f t="shared" si="29"/>
        <v>8.4586819875381511E-2</v>
      </c>
      <c r="K82" s="5">
        <f t="shared" si="29"/>
        <v>1</v>
      </c>
      <c r="L82" s="12"/>
    </row>
    <row r="83" spans="1:12" x14ac:dyDescent="0.25">
      <c r="A83" s="105" t="s">
        <v>18</v>
      </c>
      <c r="B83" s="106"/>
      <c r="C83" s="107">
        <f>C81/'MSF By Card'!C78</f>
        <v>296232.51134561846</v>
      </c>
      <c r="D83" s="107">
        <f>D81/'MSF By Card'!D78</f>
        <v>17538.911711953562</v>
      </c>
      <c r="E83" s="107">
        <f>E81/'MSF By Card'!E78</f>
        <v>35623.465172890741</v>
      </c>
      <c r="F83" s="107">
        <f>F81/'MSF By Card'!F78</f>
        <v>58334.536509698446</v>
      </c>
      <c r="G83" s="107">
        <f>G81/'MSF By Card'!G78</f>
        <v>84292.664236966637</v>
      </c>
      <c r="H83" s="107">
        <f>H81/'MSF By Card'!H78</f>
        <v>37641.240645338316</v>
      </c>
      <c r="I83" s="107">
        <f>I81/'MSF By Card'!I78</f>
        <v>1696004.7466512702</v>
      </c>
      <c r="J83" s="107">
        <f>J81/'MSF By Card'!J78</f>
        <v>3329007.04</v>
      </c>
      <c r="K83" s="107">
        <f>K81/'MSF By Card'!K78</f>
        <v>54736.659999999996</v>
      </c>
      <c r="L83" s="107"/>
    </row>
    <row r="84" spans="1:12" x14ac:dyDescent="0.25">
      <c r="A84" s="275" t="s">
        <v>22</v>
      </c>
      <c r="B84" s="73"/>
      <c r="C84" s="11">
        <v>183.9</v>
      </c>
      <c r="D84" s="11">
        <v>429.37</v>
      </c>
      <c r="E84" s="74">
        <v>160.05000000000001</v>
      </c>
      <c r="F84" s="11">
        <v>548.6</v>
      </c>
      <c r="G84" s="74">
        <v>1520.96</v>
      </c>
      <c r="H84" s="11">
        <v>153.30000000000001</v>
      </c>
      <c r="I84" s="74">
        <v>109.32</v>
      </c>
      <c r="J84" s="11">
        <v>100.36</v>
      </c>
      <c r="K84" s="96">
        <f>SUM(C84:J84)</f>
        <v>3205.8600000000006</v>
      </c>
      <c r="L84" s="78">
        <f>K84/$K$34</f>
        <v>2.8042974489873311E-3</v>
      </c>
    </row>
    <row r="85" spans="1:12" x14ac:dyDescent="0.25">
      <c r="A85" s="9" t="s">
        <v>17</v>
      </c>
      <c r="C85" s="12">
        <f>C84/$K$16</f>
        <v>5.7363702719395102E-2</v>
      </c>
      <c r="D85" s="12">
        <f t="shared" ref="D85:K85" si="30">D84/$K$16</f>
        <v>0.13393286044930219</v>
      </c>
      <c r="E85" s="5">
        <f t="shared" si="30"/>
        <v>4.9924201306357725E-2</v>
      </c>
      <c r="F85" s="12">
        <f t="shared" si="30"/>
        <v>0.17112412893888065</v>
      </c>
      <c r="G85" s="5">
        <f t="shared" si="30"/>
        <v>0.47443119786890248</v>
      </c>
      <c r="H85" s="12">
        <f t="shared" si="30"/>
        <v>4.7818682038516962E-2</v>
      </c>
      <c r="I85" s="5">
        <f t="shared" si="30"/>
        <v>3.4100054275607784E-2</v>
      </c>
      <c r="J85" s="12">
        <f t="shared" si="30"/>
        <v>3.1305172403036929E-2</v>
      </c>
      <c r="K85" s="5">
        <f t="shared" si="30"/>
        <v>1</v>
      </c>
      <c r="L85" s="12"/>
    </row>
    <row r="86" spans="1:12" x14ac:dyDescent="0.25">
      <c r="A86" s="105" t="s">
        <v>18</v>
      </c>
      <c r="B86" s="106"/>
      <c r="C86" s="107">
        <f>C84/'MSF By Card'!C80</f>
        <v>988.45184613007882</v>
      </c>
      <c r="D86" s="107" t="e">
        <f>D84/'MSF By Card'!D80</f>
        <v>#DIV/0!</v>
      </c>
      <c r="E86" s="107">
        <f>E84/'MSF By Card'!E80</f>
        <v>5211.9871129830781</v>
      </c>
      <c r="F86" s="107">
        <f>F84/'MSF By Card'!F80</f>
        <v>1574.8909773505507</v>
      </c>
      <c r="G86" s="107">
        <f>G84/'MSF By Card'!G80</f>
        <v>14440.715065530092</v>
      </c>
      <c r="H86" s="107">
        <f>H84/'MSF By Card'!H80</f>
        <v>2585.8954910816815</v>
      </c>
      <c r="I86" s="107">
        <f>I84/'MSF By Card'!I80</f>
        <v>888.02039064372059</v>
      </c>
      <c r="J86" s="107">
        <f>J84/'MSF By Card'!J80</f>
        <v>682.47215837958242</v>
      </c>
      <c r="K86" s="107">
        <f>K84/'MSF By Card'!K80</f>
        <v>3205.8600000000006</v>
      </c>
      <c r="L86" s="107"/>
    </row>
    <row r="87" spans="1:12" x14ac:dyDescent="0.25">
      <c r="A87" s="275" t="s">
        <v>23</v>
      </c>
      <c r="B87" s="73"/>
      <c r="C87" s="11">
        <v>2674.91</v>
      </c>
      <c r="D87" s="11">
        <v>7125.88</v>
      </c>
      <c r="E87" s="74">
        <v>1602</v>
      </c>
      <c r="F87" s="11">
        <v>8601</v>
      </c>
      <c r="G87" s="74">
        <v>13801</v>
      </c>
      <c r="H87" s="11">
        <v>1975</v>
      </c>
      <c r="I87" s="74">
        <v>2135</v>
      </c>
      <c r="J87" s="11">
        <v>2324</v>
      </c>
      <c r="K87" s="96">
        <f>SUM(C87:J87)</f>
        <v>40238.79</v>
      </c>
      <c r="L87" s="78">
        <f>K87/$K$34</f>
        <v>3.5198522751254555E-2</v>
      </c>
    </row>
    <row r="88" spans="1:12" x14ac:dyDescent="0.25">
      <c r="A88" s="9" t="s">
        <v>17</v>
      </c>
      <c r="C88" s="12">
        <f>C87/$K$19</f>
        <v>6.6475905463360102E-2</v>
      </c>
      <c r="D88" s="12">
        <f t="shared" ref="D88:K88" si="31">D87/$K$19</f>
        <v>0.1770898180586444</v>
      </c>
      <c r="E88" s="5">
        <f t="shared" si="31"/>
        <v>3.9812330340947132E-2</v>
      </c>
      <c r="F88" s="12">
        <f t="shared" si="31"/>
        <v>0.21374897207396146</v>
      </c>
      <c r="G88" s="5">
        <f t="shared" si="31"/>
        <v>0.34297751000962007</v>
      </c>
      <c r="H88" s="12">
        <f t="shared" si="31"/>
        <v>4.9081992773639567E-2</v>
      </c>
      <c r="I88" s="5">
        <f t="shared" si="31"/>
        <v>5.3058255479352133E-2</v>
      </c>
      <c r="J88" s="12">
        <f t="shared" si="31"/>
        <v>5.7755215800475115E-2</v>
      </c>
      <c r="K88" s="5">
        <f t="shared" si="31"/>
        <v>1</v>
      </c>
      <c r="L88" s="12"/>
    </row>
    <row r="89" spans="1:12" x14ac:dyDescent="0.25">
      <c r="A89" s="102" t="s">
        <v>18</v>
      </c>
      <c r="B89" s="103"/>
      <c r="C89" s="104">
        <f>C87/'MSF By Card'!C82</f>
        <v>46933.459933994433</v>
      </c>
      <c r="D89" s="104">
        <f>D87/'MSF By Card'!D82</f>
        <v>22679.753859290042</v>
      </c>
      <c r="E89" s="107">
        <f>E87/'MSF By Card'!E82</f>
        <v>40371.055446632476</v>
      </c>
      <c r="F89" s="104">
        <f>F87/'MSF By Card'!F82</f>
        <v>38786.567027254023</v>
      </c>
      <c r="G89" s="107">
        <f>G87/'MSF By Card'!G82</f>
        <v>52864.235820810252</v>
      </c>
      <c r="H89" s="104">
        <f>H87/'MSF By Card'!H82</f>
        <v>33870.489627976684</v>
      </c>
      <c r="I89" s="107">
        <f>I87/'MSF By Card'!I82</f>
        <v>85606.198332317988</v>
      </c>
      <c r="J89" s="104">
        <f>J87/'MSF By Card'!J82</f>
        <v>100779.99278449077</v>
      </c>
      <c r="K89" s="107">
        <f>K87/'MSF By Card'!K82</f>
        <v>40238.79</v>
      </c>
      <c r="L89" s="104"/>
    </row>
    <row r="90" spans="1:12" x14ac:dyDescent="0.25">
      <c r="A90" s="275" t="s">
        <v>24</v>
      </c>
      <c r="B90" s="73"/>
      <c r="C90" s="11">
        <v>1287.78</v>
      </c>
      <c r="D90" s="11">
        <v>2084.09</v>
      </c>
      <c r="E90" s="74">
        <v>505.36</v>
      </c>
      <c r="F90" s="11">
        <v>2954.1</v>
      </c>
      <c r="G90" s="74">
        <v>5217.2</v>
      </c>
      <c r="H90" s="11">
        <v>639.89</v>
      </c>
      <c r="I90" s="74">
        <v>1148.68</v>
      </c>
      <c r="J90" s="11">
        <v>1210.47</v>
      </c>
      <c r="K90" s="96">
        <f>SUM(C90:J90)</f>
        <v>15047.569999999998</v>
      </c>
      <c r="L90" s="78">
        <f>K90/$K$34</f>
        <v>1.3162727681326784E-2</v>
      </c>
    </row>
    <row r="91" spans="1:12" x14ac:dyDescent="0.25">
      <c r="A91" s="9" t="s">
        <v>17</v>
      </c>
      <c r="C91" s="12">
        <f>C90/$K$22</f>
        <v>8.5580595405105292E-2</v>
      </c>
      <c r="D91" s="12">
        <f t="shared" ref="D91:K91" si="32">D90/$K$22</f>
        <v>0.13850010333894447</v>
      </c>
      <c r="E91" s="5">
        <f t="shared" si="32"/>
        <v>3.3584160100268684E-2</v>
      </c>
      <c r="F91" s="12">
        <f t="shared" si="32"/>
        <v>0.1963174120472608</v>
      </c>
      <c r="G91" s="5">
        <f t="shared" si="32"/>
        <v>0.34671378833924682</v>
      </c>
      <c r="H91" s="12">
        <f t="shared" si="32"/>
        <v>4.2524474051292005E-2</v>
      </c>
      <c r="I91" s="5">
        <f t="shared" si="32"/>
        <v>7.6336577932516692E-2</v>
      </c>
      <c r="J91" s="12">
        <f t="shared" si="32"/>
        <v>8.044288878536536E-2</v>
      </c>
      <c r="K91" s="5">
        <f t="shared" si="32"/>
        <v>1</v>
      </c>
      <c r="L91" s="12"/>
    </row>
    <row r="92" spans="1:12" x14ac:dyDescent="0.25">
      <c r="A92" s="102" t="s">
        <v>18</v>
      </c>
      <c r="B92" s="103"/>
      <c r="C92" s="104" t="e">
        <f>C90/'MSF By Card'!C84</f>
        <v>#DIV/0!</v>
      </c>
      <c r="D92" s="104" t="e">
        <f>D90/'MSF By Card'!D84</f>
        <v>#DIV/0!</v>
      </c>
      <c r="E92" s="107" t="e">
        <f>E90/'MSF By Card'!E84</f>
        <v>#DIV/0!</v>
      </c>
      <c r="F92" s="104" t="e">
        <f>F90/'MSF By Card'!F84</f>
        <v>#DIV/0!</v>
      </c>
      <c r="G92" s="107" t="e">
        <f>G90/'MSF By Card'!G84</f>
        <v>#DIV/0!</v>
      </c>
      <c r="H92" s="104" t="e">
        <f>H90/'MSF By Card'!H84</f>
        <v>#DIV/0!</v>
      </c>
      <c r="I92" s="107" t="e">
        <f>I90/'MSF By Card'!I84</f>
        <v>#DIV/0!</v>
      </c>
      <c r="J92" s="104" t="e">
        <f>J90/'MSF By Card'!J84</f>
        <v>#DIV/0!</v>
      </c>
      <c r="K92" s="107" t="e">
        <f>K90/'MSF By Card'!K84</f>
        <v>#DIV/0!</v>
      </c>
      <c r="L92" s="104"/>
    </row>
    <row r="93" spans="1:12" x14ac:dyDescent="0.25">
      <c r="A93" s="275" t="s">
        <v>25</v>
      </c>
      <c r="B93" s="73">
        <v>0.21818181818181814</v>
      </c>
      <c r="C93" s="11">
        <v>3655.3</v>
      </c>
      <c r="D93" s="11">
        <v>14219.75</v>
      </c>
      <c r="E93" s="74">
        <v>2749.12</v>
      </c>
      <c r="F93" s="11">
        <v>20047.8</v>
      </c>
      <c r="G93" s="74">
        <v>21395</v>
      </c>
      <c r="H93" s="11">
        <v>4083.48</v>
      </c>
      <c r="I93" s="74">
        <v>3647.08</v>
      </c>
      <c r="J93" s="11">
        <v>3835.72</v>
      </c>
      <c r="K93" s="96">
        <f>SUM(C93:J93)</f>
        <v>73633.25</v>
      </c>
      <c r="L93" s="78">
        <f>K93/$K$34</f>
        <v>6.4410028864531316E-2</v>
      </c>
    </row>
    <row r="94" spans="1:12" x14ac:dyDescent="0.25">
      <c r="A94" s="9" t="s">
        <v>17</v>
      </c>
      <c r="C94" s="12">
        <f t="shared" ref="C94:K94" si="33">C93/$K$25</f>
        <v>4.9641975602054779E-2</v>
      </c>
      <c r="D94" s="12">
        <f t="shared" si="33"/>
        <v>0.19311588175179012</v>
      </c>
      <c r="E94" s="5">
        <f t="shared" si="33"/>
        <v>3.7335307079342551E-2</v>
      </c>
      <c r="F94" s="12">
        <f t="shared" si="33"/>
        <v>0.27226558653869004</v>
      </c>
      <c r="G94" s="5">
        <f t="shared" si="33"/>
        <v>0.29056166881130469</v>
      </c>
      <c r="H94" s="12">
        <f t="shared" si="33"/>
        <v>5.5457011608206888E-2</v>
      </c>
      <c r="I94" s="5">
        <f t="shared" si="33"/>
        <v>4.9530341252083804E-2</v>
      </c>
      <c r="J94" s="12">
        <f t="shared" si="33"/>
        <v>5.2092227356527111E-2</v>
      </c>
      <c r="K94" s="5">
        <f t="shared" si="33"/>
        <v>1</v>
      </c>
      <c r="L94" s="12"/>
    </row>
    <row r="95" spans="1:12" x14ac:dyDescent="0.25">
      <c r="A95" s="102" t="s">
        <v>18</v>
      </c>
      <c r="B95" s="103"/>
      <c r="C95" s="104"/>
      <c r="D95" s="104"/>
      <c r="E95" s="108"/>
      <c r="F95" s="104"/>
      <c r="G95" s="108"/>
      <c r="H95" s="104"/>
      <c r="I95" s="108"/>
      <c r="J95" s="104"/>
      <c r="K95" s="108"/>
      <c r="L95" s="104"/>
    </row>
    <row r="96" spans="1:12" x14ac:dyDescent="0.25">
      <c r="A96" s="275" t="s">
        <v>26</v>
      </c>
      <c r="B96" s="73"/>
      <c r="C96" s="11">
        <v>81.290000000000006</v>
      </c>
      <c r="D96" s="11">
        <v>482.99</v>
      </c>
      <c r="E96" s="74">
        <v>111.29</v>
      </c>
      <c r="F96" s="11">
        <v>536.76</v>
      </c>
      <c r="G96" s="74">
        <v>791.65</v>
      </c>
      <c r="H96" s="11">
        <v>142.38</v>
      </c>
      <c r="I96" s="74">
        <v>28.91</v>
      </c>
      <c r="J96" s="11">
        <v>17.010000000000002</v>
      </c>
      <c r="K96" s="96">
        <f>SUM(C96:J96)</f>
        <v>2192.2800000000002</v>
      </c>
      <c r="L96" s="78">
        <f>K96/$K$34</f>
        <v>1.917677381877545E-3</v>
      </c>
    </row>
    <row r="97" spans="1:15" x14ac:dyDescent="0.25">
      <c r="A97" s="9" t="s">
        <v>17</v>
      </c>
      <c r="C97" s="12">
        <f t="shared" ref="C97:K97" si="34">C96/$K$28</f>
        <v>3.7080117503238634E-2</v>
      </c>
      <c r="D97" s="12">
        <f t="shared" si="34"/>
        <v>0.22031401098399839</v>
      </c>
      <c r="E97" s="5">
        <f t="shared" si="34"/>
        <v>5.0764500884923458E-2</v>
      </c>
      <c r="F97" s="12">
        <f t="shared" si="34"/>
        <v>0.2448409874651048</v>
      </c>
      <c r="G97" s="5">
        <f t="shared" si="34"/>
        <v>0.36110807013702623</v>
      </c>
      <c r="H97" s="12">
        <f t="shared" si="34"/>
        <v>6.4946083529476159E-2</v>
      </c>
      <c r="I97" s="5">
        <f t="shared" si="34"/>
        <v>1.3187184118816938E-2</v>
      </c>
      <c r="J97" s="12">
        <f t="shared" si="34"/>
        <v>7.7590453774152935E-3</v>
      </c>
      <c r="K97" s="5">
        <f t="shared" si="34"/>
        <v>1</v>
      </c>
      <c r="L97" s="12"/>
    </row>
    <row r="98" spans="1:15" x14ac:dyDescent="0.25">
      <c r="A98" s="105" t="s">
        <v>18</v>
      </c>
      <c r="B98" s="103"/>
      <c r="C98" s="104">
        <f>C96/'MSF By Card'!C88</f>
        <v>0.60528667163067773</v>
      </c>
      <c r="D98" s="104" t="e">
        <f>D96/'MSF By Card'!D88</f>
        <v>#DIV/0!</v>
      </c>
      <c r="E98" s="107">
        <f>E96/'MSF By Card'!E88</f>
        <v>2.0111549203219976</v>
      </c>
      <c r="F98" s="104">
        <f>F96/'MSF By Card'!F88</f>
        <v>1.3599502487562189</v>
      </c>
      <c r="G98" s="107">
        <f>G96/'MSF By Card'!G88</f>
        <v>3.9025499686295606</v>
      </c>
      <c r="H98" s="104">
        <f>H96/'MSF By Card'!H88</f>
        <v>12.13152594887684</v>
      </c>
      <c r="I98" s="107">
        <f>I96/'MSF By Card'!I88</f>
        <v>4.0212182137754023E-2</v>
      </c>
      <c r="J98" s="104">
        <f>J96/'MSF By Card'!J88</f>
        <v>3.5175681010659293E-2</v>
      </c>
      <c r="K98" s="107">
        <f>K96/'MSF By Card'!K88</f>
        <v>1.0953583124770052</v>
      </c>
      <c r="L98" s="104"/>
    </row>
    <row r="99" spans="1:15" x14ac:dyDescent="0.25">
      <c r="A99" s="277" t="s">
        <v>27</v>
      </c>
      <c r="B99" s="73"/>
      <c r="C99" s="99">
        <f>C115</f>
        <v>2142.5699999999997</v>
      </c>
      <c r="D99" s="99">
        <f t="shared" ref="D99:J99" si="35">D115</f>
        <v>0</v>
      </c>
      <c r="E99" s="99">
        <f t="shared" si="35"/>
        <v>251.15545454545455</v>
      </c>
      <c r="F99" s="99">
        <f t="shared" si="35"/>
        <v>2986.9818181818187</v>
      </c>
      <c r="G99" s="99">
        <f t="shared" si="35"/>
        <v>1298.7572727272727</v>
      </c>
      <c r="H99" s="99">
        <f t="shared" si="35"/>
        <v>622.91454545454542</v>
      </c>
      <c r="I99" s="99">
        <f t="shared" si="35"/>
        <v>1540.8772727272728</v>
      </c>
      <c r="J99" s="99">
        <f t="shared" si="35"/>
        <v>1346.8836363636365</v>
      </c>
      <c r="K99" s="96">
        <f>SUM(C99:J99)</f>
        <v>10190.140000000001</v>
      </c>
      <c r="L99" s="78">
        <f>K99/$K$34</f>
        <v>8.9137341015589466E-3</v>
      </c>
    </row>
    <row r="100" spans="1:15" x14ac:dyDescent="0.25">
      <c r="A100" s="9" t="s">
        <v>17</v>
      </c>
      <c r="C100" s="12">
        <f>C99/$K$31</f>
        <v>0.21025913284802755</v>
      </c>
      <c r="D100" s="12">
        <f t="shared" ref="D100:K100" si="36">D99/$K$31</f>
        <v>0</v>
      </c>
      <c r="E100" s="12">
        <f t="shared" si="36"/>
        <v>2.4646909124453099E-2</v>
      </c>
      <c r="F100" s="12">
        <f t="shared" si="36"/>
        <v>0.29312470860869611</v>
      </c>
      <c r="G100" s="12">
        <f t="shared" si="36"/>
        <v>0.12745234832173774</v>
      </c>
      <c r="H100" s="12">
        <f t="shared" si="36"/>
        <v>6.112914498275248E-2</v>
      </c>
      <c r="I100" s="12">
        <f t="shared" si="36"/>
        <v>0.15121257143937891</v>
      </c>
      <c r="J100" s="12">
        <f t="shared" si="36"/>
        <v>0.13217518467495407</v>
      </c>
      <c r="K100" s="12">
        <f t="shared" si="36"/>
        <v>1</v>
      </c>
      <c r="L100" s="72"/>
    </row>
    <row r="101" spans="1:15" x14ac:dyDescent="0.25">
      <c r="A101" s="105" t="s">
        <v>18</v>
      </c>
      <c r="B101" s="103"/>
      <c r="C101" s="108">
        <f>C99/'MSF By Card'!C90</f>
        <v>780.40629139072848</v>
      </c>
      <c r="D101" s="108" t="e">
        <f>D99/'MSF By Card'!D90</f>
        <v>#DIV/0!</v>
      </c>
      <c r="E101" s="108">
        <f>E99/'MSF By Card'!E90</f>
        <v>37.233288409703505</v>
      </c>
      <c r="F101" s="108">
        <f>F99/'MSF By Card'!F90</f>
        <v>19.407442409923213</v>
      </c>
      <c r="G101" s="108">
        <f>G99/'MSF By Card'!G90</f>
        <v>63.551290035587208</v>
      </c>
      <c r="H101" s="108">
        <f>H99/'MSF By Card'!H90</f>
        <v>27.51831325301205</v>
      </c>
      <c r="I101" s="108">
        <f>I99/'MSF By Card'!I90</f>
        <v>3198.0471698113211</v>
      </c>
      <c r="J101" s="108">
        <f>J99/'MSF By Card'!J90</f>
        <v>14815.720000000001</v>
      </c>
      <c r="K101" s="108">
        <f>K99/'MSF By Card'!K90</f>
        <v>49.216922063666303</v>
      </c>
      <c r="L101" s="109"/>
    </row>
    <row r="102" spans="1:15" x14ac:dyDescent="0.25">
      <c r="A102" s="83" t="s">
        <v>10</v>
      </c>
      <c r="B102" s="100">
        <v>1.227272727272728</v>
      </c>
      <c r="C102" s="94">
        <f>SUM(C99+C96+C93+C90+C87+C84+C81+C78+C75+C72)</f>
        <v>131934.40999999997</v>
      </c>
      <c r="D102" s="94">
        <f t="shared" ref="D102:J102" si="37">SUM(D99+D96+D93+D90+D87+D84+D81+D78+D75+D72)</f>
        <v>133087.70000000001</v>
      </c>
      <c r="E102" s="94">
        <f t="shared" si="37"/>
        <v>35211.755454545455</v>
      </c>
      <c r="F102" s="94">
        <f t="shared" si="37"/>
        <v>215727.4118181818</v>
      </c>
      <c r="G102" s="94">
        <f t="shared" si="37"/>
        <v>374267.7372727273</v>
      </c>
      <c r="H102" s="94">
        <f t="shared" si="37"/>
        <v>47321.164545454551</v>
      </c>
      <c r="I102" s="94">
        <f t="shared" si="37"/>
        <v>106029.30727272728</v>
      </c>
      <c r="J102" s="94">
        <f t="shared" si="37"/>
        <v>99615.933636363625</v>
      </c>
      <c r="K102" s="94">
        <f>SUM(K72,K75,K78,K81,K84,K87,K90,K93,K96,K99)</f>
        <v>1143195.42</v>
      </c>
      <c r="L102" s="101">
        <f>K102/$K$34</f>
        <v>1</v>
      </c>
      <c r="M102" s="71">
        <f>SUM(C102:J102)</f>
        <v>1143195.42</v>
      </c>
    </row>
    <row r="103" spans="1:15" x14ac:dyDescent="0.25">
      <c r="A103" s="129" t="s">
        <v>17</v>
      </c>
      <c r="B103" s="42"/>
      <c r="C103" s="89">
        <f>C102/$K$34</f>
        <v>0.11540844871474379</v>
      </c>
      <c r="D103" s="89">
        <f t="shared" ref="D103:K103" si="38">D102/$K$34</f>
        <v>0.11641727885858746</v>
      </c>
      <c r="E103" s="89">
        <f t="shared" si="38"/>
        <v>3.080116910768017E-2</v>
      </c>
      <c r="F103" s="89">
        <f t="shared" si="38"/>
        <v>0.18870562988975395</v>
      </c>
      <c r="G103" s="89">
        <f t="shared" si="38"/>
        <v>0.32738736590873269</v>
      </c>
      <c r="H103" s="89">
        <f t="shared" si="38"/>
        <v>4.1393766732773084E-2</v>
      </c>
      <c r="I103" s="89">
        <f t="shared" si="38"/>
        <v>9.2748191094683782E-2</v>
      </c>
      <c r="J103" s="89">
        <f t="shared" si="38"/>
        <v>8.7138149693045161E-2</v>
      </c>
      <c r="K103" s="89">
        <f t="shared" si="38"/>
        <v>1</v>
      </c>
      <c r="L103" s="75"/>
    </row>
    <row r="104" spans="1:15" x14ac:dyDescent="0.25">
      <c r="A104" s="105" t="s">
        <v>18</v>
      </c>
      <c r="B104" s="106"/>
      <c r="C104" s="117" t="e">
        <f>C102/'MSF By Card'!C92</f>
        <v>#DIV/0!</v>
      </c>
      <c r="D104" s="117" t="e">
        <f>D102/'MSF By Card'!D92</f>
        <v>#DIV/0!</v>
      </c>
      <c r="E104" s="117" t="e">
        <f>E102/'MSF By Card'!E92</f>
        <v>#DIV/0!</v>
      </c>
      <c r="F104" s="117" t="e">
        <f>F102/'MSF By Card'!F92</f>
        <v>#DIV/0!</v>
      </c>
      <c r="G104" s="117" t="e">
        <f>G102/'MSF By Card'!G92</f>
        <v>#DIV/0!</v>
      </c>
      <c r="H104" s="117" t="e">
        <f>H102/'MSF By Card'!H92</f>
        <v>#DIV/0!</v>
      </c>
      <c r="I104" s="117" t="e">
        <f>I102/'MSF By Card'!I92</f>
        <v>#DIV/0!</v>
      </c>
      <c r="J104" s="117" t="e">
        <f>J102/'MSF By Card'!J92</f>
        <v>#DIV/0!</v>
      </c>
      <c r="K104" s="117" t="e">
        <f>K102/'MSF By Card'!K92</f>
        <v>#DIV/0!</v>
      </c>
      <c r="L104" s="110"/>
    </row>
    <row r="105" spans="1:15" x14ac:dyDescent="0.25">
      <c r="L105" s="116">
        <f>SUM(L72:L101)</f>
        <v>1</v>
      </c>
      <c r="O105">
        <v>259085</v>
      </c>
    </row>
    <row r="106" spans="1:15" x14ac:dyDescent="0.25">
      <c r="L106" s="69"/>
    </row>
    <row r="107" spans="1:15" x14ac:dyDescent="0.25">
      <c r="A107" s="1" t="s">
        <v>28</v>
      </c>
      <c r="C107" s="69"/>
      <c r="D107" s="69"/>
      <c r="E107" s="69">
        <v>0.14545454545454545</v>
      </c>
      <c r="F107" s="69">
        <v>1.0818181818181818</v>
      </c>
      <c r="G107" s="69">
        <v>2.627272727272727</v>
      </c>
      <c r="H107" s="69"/>
      <c r="I107" s="69">
        <v>2.0272727272727269</v>
      </c>
      <c r="J107" s="69">
        <v>5.6363636363636358</v>
      </c>
      <c r="K107" s="70">
        <f>SUM(C107:J107)</f>
        <v>11.518181818181816</v>
      </c>
      <c r="L107" s="69"/>
    </row>
    <row r="108" spans="1:15" x14ac:dyDescent="0.25">
      <c r="A108" s="1" t="s">
        <v>29</v>
      </c>
      <c r="B108">
        <v>2.7272727272727268E-2</v>
      </c>
      <c r="C108" s="69">
        <v>1103.46</v>
      </c>
      <c r="D108" s="69"/>
      <c r="E108" s="69">
        <v>105.9</v>
      </c>
      <c r="F108" s="69">
        <v>1502.39</v>
      </c>
      <c r="G108" s="69">
        <v>498.51</v>
      </c>
      <c r="H108" s="69">
        <v>332.74</v>
      </c>
      <c r="I108" s="69">
        <v>152.47</v>
      </c>
      <c r="J108" s="69">
        <v>105.06</v>
      </c>
      <c r="K108" s="70">
        <f t="shared" ref="K108:K113" si="39">SUM(C108:J108)</f>
        <v>3800.5299999999997</v>
      </c>
      <c r="L108" s="69"/>
    </row>
    <row r="109" spans="1:15" x14ac:dyDescent="0.25">
      <c r="A109" s="1" t="s">
        <v>30</v>
      </c>
      <c r="C109" s="69"/>
      <c r="D109" s="69"/>
      <c r="E109" s="69"/>
      <c r="F109" s="69"/>
      <c r="G109" s="69"/>
      <c r="H109" s="69"/>
      <c r="I109" s="69"/>
      <c r="J109" s="69">
        <v>2.7272727272727268E-2</v>
      </c>
      <c r="K109" s="70">
        <f t="shared" si="39"/>
        <v>2.7272727272727268E-2</v>
      </c>
      <c r="L109" s="69"/>
    </row>
    <row r="110" spans="1:15" x14ac:dyDescent="0.25">
      <c r="A110" s="1" t="s">
        <v>31</v>
      </c>
      <c r="C110" s="69">
        <v>118.02</v>
      </c>
      <c r="D110" s="69"/>
      <c r="E110" s="69">
        <v>21.64</v>
      </c>
      <c r="F110" s="69">
        <v>70.94</v>
      </c>
      <c r="G110" s="69">
        <v>110.42</v>
      </c>
      <c r="H110" s="69">
        <v>1.8545454545454545</v>
      </c>
      <c r="I110" s="69">
        <v>972.06</v>
      </c>
      <c r="J110" s="69">
        <v>601.84</v>
      </c>
      <c r="K110" s="70">
        <f t="shared" si="39"/>
        <v>1896.7745454545457</v>
      </c>
    </row>
    <row r="111" spans="1:15" x14ac:dyDescent="0.25">
      <c r="A111" s="1" t="s">
        <v>32</v>
      </c>
      <c r="B111">
        <v>5.4545454545454536E-2</v>
      </c>
      <c r="C111" s="69">
        <v>882.12</v>
      </c>
      <c r="D111" s="69"/>
      <c r="E111" s="69">
        <v>98.9</v>
      </c>
      <c r="F111" s="69">
        <v>947.46</v>
      </c>
      <c r="G111" s="69">
        <v>631.04999999999995</v>
      </c>
      <c r="H111" s="69">
        <v>213.7</v>
      </c>
      <c r="I111" s="69">
        <v>99.18</v>
      </c>
      <c r="J111" s="69">
        <v>47</v>
      </c>
      <c r="K111" s="70">
        <f t="shared" si="39"/>
        <v>2919.4099999999994</v>
      </c>
    </row>
    <row r="112" spans="1:15" x14ac:dyDescent="0.25">
      <c r="A112" s="1" t="s">
        <v>33</v>
      </c>
      <c r="B112">
        <v>0.51818181818181841</v>
      </c>
      <c r="C112" s="69">
        <v>26.16</v>
      </c>
      <c r="D112" s="69"/>
      <c r="E112" s="69"/>
      <c r="F112" s="69"/>
      <c r="G112" s="69"/>
      <c r="H112" s="69"/>
      <c r="I112" s="69">
        <v>313.68</v>
      </c>
      <c r="J112" s="69">
        <v>584.28</v>
      </c>
      <c r="K112" s="70">
        <f t="shared" si="39"/>
        <v>924.12</v>
      </c>
    </row>
    <row r="113" spans="1:11" x14ac:dyDescent="0.25">
      <c r="A113" s="1" t="s">
        <v>34</v>
      </c>
      <c r="C113" s="69">
        <v>12.81</v>
      </c>
      <c r="D113" s="69"/>
      <c r="E113" s="69">
        <v>24.57</v>
      </c>
      <c r="F113" s="69">
        <v>465.11</v>
      </c>
      <c r="G113" s="69">
        <v>56.15</v>
      </c>
      <c r="H113" s="69">
        <v>74.62</v>
      </c>
      <c r="I113" s="69">
        <v>1.46</v>
      </c>
      <c r="J113" s="69">
        <v>3.04</v>
      </c>
      <c r="K113" s="70">
        <f t="shared" si="39"/>
        <v>637.76</v>
      </c>
    </row>
    <row r="115" spans="1:11" x14ac:dyDescent="0.25">
      <c r="C115" s="71">
        <f>SUM(C107:C113)</f>
        <v>2142.5699999999997</v>
      </c>
      <c r="D115" s="71">
        <f t="shared" ref="D115:K115" si="40">SUM(D107:D113)</f>
        <v>0</v>
      </c>
      <c r="E115" s="71">
        <f t="shared" si="40"/>
        <v>251.15545454545455</v>
      </c>
      <c r="F115" s="71">
        <f t="shared" si="40"/>
        <v>2986.9818181818187</v>
      </c>
      <c r="G115" s="71">
        <f t="shared" si="40"/>
        <v>1298.7572727272727</v>
      </c>
      <c r="H115" s="71">
        <f t="shared" si="40"/>
        <v>622.91454545454542</v>
      </c>
      <c r="I115" s="71">
        <f t="shared" si="40"/>
        <v>1540.8772727272728</v>
      </c>
      <c r="J115" s="71">
        <f t="shared" si="40"/>
        <v>1346.8836363636365</v>
      </c>
      <c r="K115" s="71">
        <f t="shared" si="40"/>
        <v>10190.140000000001</v>
      </c>
    </row>
  </sheetData>
  <mergeCells count="4">
    <mergeCell ref="A1:L1"/>
    <mergeCell ref="A53:L53"/>
    <mergeCell ref="A69:L69"/>
    <mergeCell ref="A62:L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DFB9-864F-479C-B7CF-8483DE1175D2}">
  <sheetPr codeName="Sheet9">
    <tabColor theme="1"/>
  </sheetPr>
  <dimension ref="A1:Q67"/>
  <sheetViews>
    <sheetView topLeftCell="A32" zoomScale="115" zoomScaleNormal="115" workbookViewId="0">
      <selection activeCell="B33" sqref="B33"/>
    </sheetView>
  </sheetViews>
  <sheetFormatPr defaultColWidth="9.140625" defaultRowHeight="15" x14ac:dyDescent="0.25"/>
  <cols>
    <col min="1" max="1" width="2.28515625" style="178" customWidth="1"/>
    <col min="2" max="2" width="26.28515625" style="178" bestFit="1" customWidth="1"/>
    <col min="3" max="3" width="11.7109375" style="178" bestFit="1" customWidth="1"/>
    <col min="4" max="4" width="10.85546875" style="178" bestFit="1" customWidth="1"/>
    <col min="5" max="6" width="11.140625" style="178" bestFit="1" customWidth="1"/>
    <col min="7" max="7" width="10.5703125" style="178" bestFit="1" customWidth="1"/>
    <col min="8" max="8" width="11" style="178" bestFit="1" customWidth="1"/>
    <col min="9" max="10" width="9.5703125" style="178" bestFit="1" customWidth="1"/>
    <col min="11" max="11" width="8.85546875" style="178" bestFit="1" customWidth="1"/>
    <col min="12" max="12" width="8.42578125" style="178" bestFit="1" customWidth="1"/>
    <col min="13" max="13" width="6.140625" style="178" bestFit="1" customWidth="1"/>
    <col min="14" max="14" width="8.28515625" style="178" bestFit="1" customWidth="1"/>
    <col min="15" max="15" width="7.42578125" style="178" bestFit="1" customWidth="1"/>
    <col min="16" max="16" width="16.42578125" style="178" bestFit="1" customWidth="1"/>
    <col min="17" max="17" width="12.7109375" style="178" bestFit="1" customWidth="1"/>
    <col min="18" max="18" width="6.140625" style="178" bestFit="1" customWidth="1"/>
    <col min="19" max="21" width="5.140625" style="178" bestFit="1" customWidth="1"/>
    <col min="22" max="22" width="2.28515625" style="178" customWidth="1"/>
    <col min="23" max="23" width="4.140625" style="178" bestFit="1" customWidth="1"/>
    <col min="24" max="24" width="5.140625" style="178" bestFit="1" customWidth="1"/>
    <col min="25" max="25" width="6.140625" style="178" bestFit="1" customWidth="1"/>
    <col min="26" max="27" width="3.28515625" style="178" bestFit="1" customWidth="1"/>
    <col min="28" max="28" width="6.140625" style="178" bestFit="1" customWidth="1"/>
    <col min="29" max="29" width="8.28515625" style="178" bestFit="1" customWidth="1"/>
    <col min="30" max="30" width="16" style="178" bestFit="1" customWidth="1"/>
    <col min="31" max="31" width="13.5703125" style="178" bestFit="1" customWidth="1"/>
    <col min="32" max="35" width="5.140625" style="178" bestFit="1" customWidth="1"/>
    <col min="36" max="36" width="2.28515625" style="178" bestFit="1" customWidth="1"/>
    <col min="37" max="38" width="5.140625" style="178" bestFit="1" customWidth="1"/>
    <col min="39" max="40" width="6.140625" style="178" bestFit="1" customWidth="1"/>
    <col min="41" max="41" width="4.42578125" style="178" bestFit="1" customWidth="1"/>
    <col min="42" max="42" width="6.140625" style="178" bestFit="1" customWidth="1"/>
    <col min="43" max="43" width="6.5703125" style="178" bestFit="1" customWidth="1"/>
    <col min="44" max="44" width="16.7109375" style="178" bestFit="1" customWidth="1"/>
    <col min="45" max="45" width="12.42578125" style="178" bestFit="1" customWidth="1"/>
    <col min="46" max="46" width="6.140625" style="178" bestFit="1" customWidth="1"/>
    <col min="47" max="49" width="5.140625" style="178" bestFit="1" customWidth="1"/>
    <col min="50" max="50" width="2.28515625" style="178" bestFit="1" customWidth="1"/>
    <col min="51" max="53" width="5.140625" style="178" bestFit="1" customWidth="1"/>
    <col min="54" max="54" width="6.140625" style="178" bestFit="1" customWidth="1"/>
    <col min="55" max="55" width="4.42578125" style="178" bestFit="1" customWidth="1"/>
    <col min="56" max="56" width="6.140625" style="178" bestFit="1" customWidth="1"/>
    <col min="57" max="57" width="8.28515625" style="178" bestFit="1" customWidth="1"/>
    <col min="58" max="58" width="15.7109375" style="178" bestFit="1" customWidth="1"/>
    <col min="59" max="59" width="11.85546875" style="178" bestFit="1" customWidth="1"/>
    <col min="60" max="60" width="6.140625" style="178" bestFit="1" customWidth="1"/>
    <col min="61" max="63" width="5.140625" style="178" bestFit="1" customWidth="1"/>
    <col min="64" max="64" width="2.28515625" style="178" bestFit="1" customWidth="1"/>
    <col min="65" max="66" width="5.140625" style="178" bestFit="1" customWidth="1"/>
    <col min="67" max="67" width="6.140625" style="178" bestFit="1" customWidth="1"/>
    <col min="68" max="69" width="4.42578125" style="178" bestFit="1" customWidth="1"/>
    <col min="70" max="70" width="6.140625" style="178" bestFit="1" customWidth="1"/>
    <col min="71" max="71" width="8.28515625" style="178" bestFit="1" customWidth="1"/>
    <col min="72" max="72" width="15.140625" style="178" bestFit="1" customWidth="1"/>
    <col min="73" max="73" width="12.85546875" style="178" bestFit="1" customWidth="1"/>
    <col min="74" max="74" width="5.140625" style="178" bestFit="1" customWidth="1"/>
    <col min="75" max="75" width="6.140625" style="178" bestFit="1" customWidth="1"/>
    <col min="76" max="77" width="5.140625" style="178" bestFit="1" customWidth="1"/>
    <col min="78" max="78" width="2.28515625" style="178" bestFit="1" customWidth="1"/>
    <col min="79" max="80" width="5.140625" style="178" bestFit="1" customWidth="1"/>
    <col min="81" max="82" width="6.140625" style="178" bestFit="1" customWidth="1"/>
    <col min="83" max="83" width="4.42578125" style="178" bestFit="1" customWidth="1"/>
    <col min="84" max="84" width="6.140625" style="178" bestFit="1" customWidth="1"/>
    <col min="85" max="85" width="8.28515625" style="178" bestFit="1" customWidth="1"/>
    <col min="86" max="86" width="16.28515625" style="178" bestFit="1" customWidth="1"/>
    <col min="87" max="16384" width="9.140625" style="178"/>
  </cols>
  <sheetData>
    <row r="1" spans="2:16" x14ac:dyDescent="0.25">
      <c r="B1" s="206" t="s">
        <v>193</v>
      </c>
      <c r="C1" s="178" t="s">
        <v>194</v>
      </c>
    </row>
    <row r="2" spans="2:16" x14ac:dyDescent="0.25">
      <c r="B2" s="206" t="s">
        <v>195</v>
      </c>
      <c r="C2" s="178" t="s">
        <v>196</v>
      </c>
    </row>
    <row r="3" spans="2:16" x14ac:dyDescent="0.25">
      <c r="B3" s="206" t="s">
        <v>197</v>
      </c>
      <c r="C3" s="178" t="s">
        <v>194</v>
      </c>
    </row>
    <row r="4" spans="2:16" ht="30.75" customHeight="1" x14ac:dyDescent="0.25">
      <c r="E4" s="239" t="s">
        <v>198</v>
      </c>
      <c r="F4" s="239"/>
      <c r="H4" s="238" t="s">
        <v>199</v>
      </c>
    </row>
    <row r="5" spans="2:16" x14ac:dyDescent="0.25">
      <c r="B5" s="206" t="s">
        <v>200</v>
      </c>
      <c r="C5" s="206" t="s">
        <v>201</v>
      </c>
    </row>
    <row r="6" spans="2:16" ht="15.75" thickBot="1" x14ac:dyDescent="0.3">
      <c r="B6" s="206" t="s">
        <v>193</v>
      </c>
      <c r="C6" s="237" t="s">
        <v>202</v>
      </c>
      <c r="D6" s="237" t="s">
        <v>203</v>
      </c>
      <c r="E6" s="237" t="s">
        <v>204</v>
      </c>
      <c r="F6" s="237" t="s">
        <v>205</v>
      </c>
      <c r="G6" s="237" t="s">
        <v>206</v>
      </c>
      <c r="H6" s="237" t="s">
        <v>207</v>
      </c>
      <c r="I6" s="237" t="s">
        <v>208</v>
      </c>
      <c r="K6" s="192">
        <v>45712</v>
      </c>
      <c r="O6" s="227"/>
      <c r="P6" s="227"/>
    </row>
    <row r="7" spans="2:16" x14ac:dyDescent="0.25">
      <c r="B7" s="183" t="s">
        <v>209</v>
      </c>
      <c r="C7" s="219">
        <v>1194</v>
      </c>
      <c r="D7" s="219">
        <v>1243</v>
      </c>
      <c r="E7" s="219">
        <v>1363</v>
      </c>
      <c r="F7" s="219">
        <v>1409</v>
      </c>
      <c r="G7" s="219">
        <v>1433</v>
      </c>
      <c r="H7" s="220">
        <v>1600</v>
      </c>
      <c r="I7" s="236">
        <v>1373.6666666666667</v>
      </c>
      <c r="K7" s="203" t="s">
        <v>210</v>
      </c>
      <c r="L7" s="202">
        <v>0.63008029081883399</v>
      </c>
      <c r="M7" s="221"/>
      <c r="N7" s="188"/>
      <c r="O7" s="180"/>
      <c r="P7" s="188"/>
    </row>
    <row r="8" spans="2:16" x14ac:dyDescent="0.25">
      <c r="B8" s="183" t="s">
        <v>211</v>
      </c>
      <c r="C8" s="219">
        <v>148532</v>
      </c>
      <c r="D8" s="219">
        <v>158653</v>
      </c>
      <c r="E8" s="219">
        <v>179960</v>
      </c>
      <c r="F8" s="219">
        <v>212843</v>
      </c>
      <c r="G8" s="219">
        <v>191975</v>
      </c>
      <c r="H8" s="220">
        <v>179709</v>
      </c>
      <c r="I8" s="219">
        <v>178612</v>
      </c>
      <c r="K8" s="197" t="s">
        <v>212</v>
      </c>
      <c r="L8" s="222">
        <v>0.31852214110899052</v>
      </c>
      <c r="M8" s="221"/>
      <c r="N8" s="188"/>
      <c r="O8" s="180"/>
      <c r="P8" s="188"/>
    </row>
    <row r="9" spans="2:16" ht="15.75" thickBot="1" x14ac:dyDescent="0.3">
      <c r="B9" s="183" t="s">
        <v>213</v>
      </c>
      <c r="C9" s="233">
        <v>32.68</v>
      </c>
      <c r="D9" s="233">
        <v>32.33</v>
      </c>
      <c r="E9" s="233">
        <v>34</v>
      </c>
      <c r="F9" s="233">
        <v>38.200000000000003</v>
      </c>
      <c r="G9" s="235">
        <v>35.31</v>
      </c>
      <c r="H9" s="234">
        <v>33.6</v>
      </c>
      <c r="I9" s="233">
        <v>34.353333333333332</v>
      </c>
      <c r="K9" s="194" t="s">
        <v>214</v>
      </c>
      <c r="L9" s="232">
        <v>5.1397569176989663E-2</v>
      </c>
      <c r="M9" s="231"/>
      <c r="O9" s="223"/>
      <c r="P9" s="188"/>
    </row>
    <row r="10" spans="2:16" x14ac:dyDescent="0.25">
      <c r="B10" s="183" t="s">
        <v>215</v>
      </c>
      <c r="C10" s="213">
        <v>0.49</v>
      </c>
      <c r="D10" s="213">
        <v>0.48</v>
      </c>
      <c r="E10" s="213">
        <v>0.48</v>
      </c>
      <c r="F10" s="213">
        <v>0.47</v>
      </c>
      <c r="G10" s="213">
        <v>0.47</v>
      </c>
      <c r="H10" s="214">
        <v>0.46</v>
      </c>
      <c r="I10" s="213">
        <v>0.47499999999999992</v>
      </c>
      <c r="L10" s="180"/>
      <c r="P10" s="188"/>
    </row>
    <row r="11" spans="2:16" x14ac:dyDescent="0.25">
      <c r="B11" s="183" t="s">
        <v>216</v>
      </c>
      <c r="C11" s="229">
        <v>1.44</v>
      </c>
      <c r="D11" s="229">
        <v>1.44</v>
      </c>
      <c r="E11" s="229">
        <v>1.45</v>
      </c>
      <c r="F11" s="229">
        <v>1.45</v>
      </c>
      <c r="G11" s="229">
        <v>1.45</v>
      </c>
      <c r="H11" s="230">
        <v>1.45</v>
      </c>
      <c r="I11" s="229">
        <v>1.4466666666666665</v>
      </c>
      <c r="O11" s="221"/>
    </row>
    <row r="12" spans="2:16" x14ac:dyDescent="0.25">
      <c r="B12" s="183" t="s">
        <v>217</v>
      </c>
      <c r="C12" s="224">
        <v>0.28000000000000003</v>
      </c>
      <c r="D12" s="224">
        <v>0.28999999999999998</v>
      </c>
      <c r="E12" s="224">
        <v>0.28000000000000003</v>
      </c>
      <c r="F12" s="224">
        <v>0.26</v>
      </c>
      <c r="G12" s="224">
        <v>0.28000000000000003</v>
      </c>
      <c r="H12" s="225">
        <v>0.28999999999999998</v>
      </c>
      <c r="I12" s="224">
        <v>0.28000000000000003</v>
      </c>
      <c r="K12" s="192"/>
    </row>
    <row r="13" spans="2:16" x14ac:dyDescent="0.25">
      <c r="B13" s="183" t="s">
        <v>218</v>
      </c>
      <c r="C13" s="224">
        <v>0.71</v>
      </c>
      <c r="D13" s="224">
        <v>0.7</v>
      </c>
      <c r="E13" s="224">
        <v>0.7</v>
      </c>
      <c r="F13" s="224">
        <v>0.69</v>
      </c>
      <c r="G13" s="224">
        <v>0.68</v>
      </c>
      <c r="H13" s="225">
        <v>0.68</v>
      </c>
      <c r="I13" s="224">
        <v>0.69333333333333336</v>
      </c>
      <c r="K13" s="228"/>
      <c r="L13" s="188"/>
      <c r="N13" s="227"/>
      <c r="O13" s="227"/>
      <c r="P13" s="227"/>
    </row>
    <row r="14" spans="2:16" x14ac:dyDescent="0.25">
      <c r="B14" s="183" t="s">
        <v>219</v>
      </c>
      <c r="C14" s="224">
        <v>0.87</v>
      </c>
      <c r="D14" s="224">
        <v>0.89</v>
      </c>
      <c r="E14" s="224">
        <v>0.9</v>
      </c>
      <c r="F14" s="188">
        <v>0.9</v>
      </c>
      <c r="G14" s="226">
        <v>0.93</v>
      </c>
      <c r="H14" s="225">
        <v>0.94</v>
      </c>
      <c r="I14" s="224">
        <v>0.90499999999999992</v>
      </c>
      <c r="N14" s="188"/>
      <c r="O14" s="180"/>
      <c r="P14" s="188"/>
    </row>
    <row r="15" spans="2:16" ht="15.75" thickBot="1" x14ac:dyDescent="0.3">
      <c r="B15" s="183" t="s">
        <v>220</v>
      </c>
      <c r="C15" s="224">
        <v>1.78</v>
      </c>
      <c r="D15" s="224">
        <v>1.78</v>
      </c>
      <c r="E15" s="224">
        <v>1.77</v>
      </c>
      <c r="F15" s="224">
        <v>1.76</v>
      </c>
      <c r="G15" s="224">
        <v>1.76</v>
      </c>
      <c r="H15" s="225">
        <v>1.77</v>
      </c>
      <c r="I15" s="224">
        <v>1.7699999999999998</v>
      </c>
      <c r="K15" s="192">
        <v>45681</v>
      </c>
      <c r="O15" s="180"/>
      <c r="P15" s="188"/>
    </row>
    <row r="16" spans="2:16" x14ac:dyDescent="0.25">
      <c r="B16" s="183" t="s">
        <v>221</v>
      </c>
      <c r="C16" s="224">
        <v>0.73</v>
      </c>
      <c r="D16" s="224">
        <v>0.75</v>
      </c>
      <c r="E16" s="224">
        <v>0.75</v>
      </c>
      <c r="F16" s="224">
        <v>0.76</v>
      </c>
      <c r="G16" s="224">
        <v>0.77</v>
      </c>
      <c r="H16" s="225">
        <v>0.77</v>
      </c>
      <c r="I16" s="224">
        <v>0.755</v>
      </c>
      <c r="K16" s="203" t="s">
        <v>210</v>
      </c>
      <c r="L16" s="202">
        <v>0.63600000000000001</v>
      </c>
      <c r="O16" s="223"/>
      <c r="P16" s="188"/>
    </row>
    <row r="17" spans="2:16" x14ac:dyDescent="0.25">
      <c r="B17" s="183" t="s">
        <v>222</v>
      </c>
      <c r="C17" s="219">
        <v>2135.69</v>
      </c>
      <c r="D17" s="219">
        <v>2292.36</v>
      </c>
      <c r="E17" s="219">
        <v>2612.87</v>
      </c>
      <c r="F17" s="219">
        <v>3086.31</v>
      </c>
      <c r="G17" s="219">
        <v>2775.15</v>
      </c>
      <c r="H17" s="220">
        <v>2612.0700000000002</v>
      </c>
      <c r="I17" s="219">
        <v>2585.7416666666663</v>
      </c>
      <c r="K17" s="197" t="s">
        <v>212</v>
      </c>
      <c r="L17" s="222">
        <v>0.31900000000000001</v>
      </c>
      <c r="M17" s="221"/>
      <c r="P17" s="188"/>
    </row>
    <row r="18" spans="2:16" ht="15.75" thickBot="1" x14ac:dyDescent="0.3">
      <c r="B18" s="183" t="s">
        <v>223</v>
      </c>
      <c r="C18" s="219">
        <v>1089.03</v>
      </c>
      <c r="D18" s="219">
        <v>1197.73</v>
      </c>
      <c r="E18" s="219">
        <v>1365.42</v>
      </c>
      <c r="F18" s="219">
        <v>1620.52</v>
      </c>
      <c r="G18" s="219">
        <v>1478.07</v>
      </c>
      <c r="H18" s="220">
        <v>1402.58</v>
      </c>
      <c r="I18" s="219">
        <v>1358.8916666666667</v>
      </c>
      <c r="K18" s="194" t="s">
        <v>214</v>
      </c>
      <c r="L18" s="184">
        <v>4.4999999999999998E-2</v>
      </c>
    </row>
    <row r="19" spans="2:16" x14ac:dyDescent="0.25">
      <c r="L19" s="180"/>
    </row>
    <row r="20" spans="2:16" x14ac:dyDescent="0.25">
      <c r="L20" s="180"/>
    </row>
    <row r="21" spans="2:16" x14ac:dyDescent="0.25">
      <c r="L21" s="180"/>
    </row>
    <row r="22" spans="2:16" x14ac:dyDescent="0.25">
      <c r="L22" s="180"/>
    </row>
    <row r="25" spans="2:16" x14ac:dyDescent="0.25">
      <c r="B25" s="206" t="s">
        <v>197</v>
      </c>
      <c r="C25" s="178" t="s">
        <v>194</v>
      </c>
    </row>
    <row r="26" spans="2:16" x14ac:dyDescent="0.25">
      <c r="H26" s="953" t="s">
        <v>224</v>
      </c>
      <c r="I26" s="953"/>
    </row>
    <row r="27" spans="2:16" ht="15.75" thickBot="1" x14ac:dyDescent="0.3">
      <c r="B27" s="206" t="s">
        <v>225</v>
      </c>
      <c r="C27" s="206" t="s">
        <v>226</v>
      </c>
      <c r="K27" s="192">
        <v>45690</v>
      </c>
    </row>
    <row r="28" spans="2:16" x14ac:dyDescent="0.25">
      <c r="B28" s="206" t="s">
        <v>193</v>
      </c>
      <c r="C28" s="178" t="s">
        <v>227</v>
      </c>
      <c r="D28" s="178" t="s">
        <v>228</v>
      </c>
      <c r="E28" s="178" t="s">
        <v>229</v>
      </c>
      <c r="F28" s="178" t="s">
        <v>230</v>
      </c>
      <c r="G28" s="178" t="s">
        <v>231</v>
      </c>
      <c r="H28" s="178" t="s">
        <v>232</v>
      </c>
      <c r="I28" s="178" t="s">
        <v>233</v>
      </c>
      <c r="K28" s="191" t="s">
        <v>210</v>
      </c>
      <c r="L28" s="190">
        <v>0.65800000000000003</v>
      </c>
    </row>
    <row r="29" spans="2:16" x14ac:dyDescent="0.25">
      <c r="B29" s="178" t="s">
        <v>209</v>
      </c>
      <c r="C29" s="178">
        <v>203</v>
      </c>
      <c r="D29" s="178">
        <v>225</v>
      </c>
      <c r="E29" s="178">
        <v>236</v>
      </c>
      <c r="F29" s="178">
        <v>252</v>
      </c>
      <c r="G29" s="178">
        <v>258</v>
      </c>
      <c r="H29" s="208">
        <v>265</v>
      </c>
      <c r="I29" s="188">
        <v>239.83333333333334</v>
      </c>
      <c r="K29" s="187" t="s">
        <v>212</v>
      </c>
      <c r="L29" s="186">
        <v>0.32800000000000001</v>
      </c>
    </row>
    <row r="30" spans="2:16" ht="15.75" thickBot="1" x14ac:dyDescent="0.3">
      <c r="B30" s="178" t="s">
        <v>211</v>
      </c>
      <c r="C30" s="181">
        <v>30143.200000000001</v>
      </c>
      <c r="D30" s="181">
        <v>36703.4</v>
      </c>
      <c r="E30" s="181">
        <v>41614.9</v>
      </c>
      <c r="F30" s="181">
        <v>48189.8</v>
      </c>
      <c r="G30" s="181">
        <v>43444.1</v>
      </c>
      <c r="H30" s="182">
        <v>39794.800000000003</v>
      </c>
      <c r="I30" s="181">
        <v>39981.700000000004</v>
      </c>
      <c r="K30" s="185" t="s">
        <v>214</v>
      </c>
      <c r="L30" s="210">
        <v>1.4E-2</v>
      </c>
    </row>
    <row r="31" spans="2:16" x14ac:dyDescent="0.25">
      <c r="B31" s="178" t="s">
        <v>213</v>
      </c>
      <c r="C31" s="198">
        <v>32.1</v>
      </c>
      <c r="D31" s="198">
        <v>31.62</v>
      </c>
      <c r="E31" s="198">
        <v>32.020000000000003</v>
      </c>
      <c r="F31" s="198">
        <v>34.99</v>
      </c>
      <c r="G31" s="218">
        <v>32.869999999999997</v>
      </c>
      <c r="H31" s="217">
        <v>30.86</v>
      </c>
      <c r="I31" s="198">
        <v>32.410000000000004</v>
      </c>
      <c r="K31" s="216"/>
      <c r="L31" s="215"/>
    </row>
    <row r="32" spans="2:16" x14ac:dyDescent="0.25">
      <c r="B32" s="178" t="s">
        <v>215</v>
      </c>
      <c r="C32" s="213">
        <v>0.57099999999999995</v>
      </c>
      <c r="D32" s="213">
        <v>0.55800000000000005</v>
      </c>
      <c r="E32" s="213">
        <v>0.55200000000000005</v>
      </c>
      <c r="F32" s="213">
        <v>0.55500000000000005</v>
      </c>
      <c r="G32" s="213">
        <v>0.52200000000000002</v>
      </c>
      <c r="H32" s="214">
        <v>0.53500000000000003</v>
      </c>
      <c r="I32" s="213">
        <v>0.5488333333333334</v>
      </c>
    </row>
    <row r="33" spans="1:17" x14ac:dyDescent="0.25">
      <c r="B33" s="178" t="s">
        <v>234</v>
      </c>
      <c r="C33" s="188">
        <v>1.34</v>
      </c>
      <c r="D33" s="188">
        <v>1.32</v>
      </c>
      <c r="E33" s="188">
        <v>1.3</v>
      </c>
      <c r="F33" s="188">
        <v>1.3</v>
      </c>
      <c r="G33" s="188">
        <v>1.29</v>
      </c>
      <c r="H33" s="189">
        <v>1.3</v>
      </c>
      <c r="I33" s="188">
        <v>1.3083333333333333</v>
      </c>
    </row>
    <row r="34" spans="1:17" ht="15.75" thickBot="1" x14ac:dyDescent="0.3">
      <c r="B34" s="178" t="s">
        <v>235</v>
      </c>
      <c r="C34" s="188">
        <v>1</v>
      </c>
      <c r="D34" s="188">
        <v>1</v>
      </c>
      <c r="E34" s="188">
        <v>1</v>
      </c>
      <c r="F34" s="188">
        <v>1</v>
      </c>
      <c r="G34" s="188">
        <v>1</v>
      </c>
      <c r="H34" s="189">
        <v>1</v>
      </c>
      <c r="I34" s="188">
        <v>1</v>
      </c>
      <c r="K34" s="192">
        <v>45658</v>
      </c>
    </row>
    <row r="35" spans="1:17" x14ac:dyDescent="0.25">
      <c r="B35" s="178" t="s">
        <v>218</v>
      </c>
      <c r="C35" s="178">
        <v>0.8</v>
      </c>
      <c r="D35" s="178">
        <v>0.77</v>
      </c>
      <c r="E35" s="178">
        <v>0.75</v>
      </c>
      <c r="F35" s="178">
        <v>0.74</v>
      </c>
      <c r="G35" s="188">
        <v>0.7</v>
      </c>
      <c r="H35" s="208">
        <v>0.72</v>
      </c>
      <c r="I35" s="188">
        <v>0.7466666666666667</v>
      </c>
      <c r="K35" s="191" t="s">
        <v>210</v>
      </c>
      <c r="L35" s="190">
        <v>0.66</v>
      </c>
    </row>
    <row r="36" spans="1:17" x14ac:dyDescent="0.25">
      <c r="B36" s="178" t="s">
        <v>220</v>
      </c>
      <c r="C36" s="188">
        <v>1.64</v>
      </c>
      <c r="D36" s="188">
        <v>1.61</v>
      </c>
      <c r="E36" s="188">
        <v>1.59</v>
      </c>
      <c r="F36" s="188">
        <v>1.59</v>
      </c>
      <c r="G36" s="188">
        <v>1.59</v>
      </c>
      <c r="H36" s="189">
        <v>1.6</v>
      </c>
      <c r="I36" s="188">
        <v>1.6033333333333333</v>
      </c>
      <c r="K36" s="187" t="s">
        <v>212</v>
      </c>
      <c r="L36" s="186">
        <v>0.32500000000000001</v>
      </c>
    </row>
    <row r="37" spans="1:17" ht="15.75" thickBot="1" x14ac:dyDescent="0.3">
      <c r="B37" s="178" t="s">
        <v>217</v>
      </c>
      <c r="C37" s="178">
        <v>0.25</v>
      </c>
      <c r="D37" s="178">
        <v>0.25</v>
      </c>
      <c r="E37" s="178">
        <v>0.25</v>
      </c>
      <c r="F37" s="178">
        <v>0.23</v>
      </c>
      <c r="G37" s="212">
        <v>0.28000000000000003</v>
      </c>
      <c r="H37" s="211">
        <v>0.25</v>
      </c>
      <c r="I37" s="188">
        <v>0.25166666666666665</v>
      </c>
      <c r="K37" s="185" t="s">
        <v>214</v>
      </c>
      <c r="L37" s="210">
        <v>1.4999999999999999E-2</v>
      </c>
    </row>
    <row r="38" spans="1:17" x14ac:dyDescent="0.25">
      <c r="B38" s="178" t="s">
        <v>219</v>
      </c>
      <c r="C38" s="178">
        <v>0.64</v>
      </c>
      <c r="D38" s="178">
        <v>0.67</v>
      </c>
      <c r="E38" s="178">
        <v>0.67</v>
      </c>
      <c r="F38" s="178">
        <v>0.69</v>
      </c>
      <c r="G38" s="178">
        <v>0.71</v>
      </c>
      <c r="H38" s="208">
        <v>0.71</v>
      </c>
      <c r="I38" s="188">
        <v>0.68166666666666664</v>
      </c>
      <c r="L38" s="180"/>
    </row>
    <row r="39" spans="1:17" x14ac:dyDescent="0.25">
      <c r="B39" s="178" t="s">
        <v>236</v>
      </c>
      <c r="C39" s="209">
        <v>0.54</v>
      </c>
      <c r="D39" s="178">
        <v>0.55000000000000004</v>
      </c>
      <c r="E39" s="178">
        <v>0.55000000000000004</v>
      </c>
      <c r="F39" s="178">
        <v>0.56000000000000005</v>
      </c>
      <c r="G39" s="178">
        <v>0.59</v>
      </c>
      <c r="H39" s="208">
        <v>0.57999999999999996</v>
      </c>
      <c r="I39" s="188">
        <v>0.56166666666666665</v>
      </c>
    </row>
    <row r="40" spans="1:17" x14ac:dyDescent="0.25">
      <c r="B40" s="178" t="s">
        <v>222</v>
      </c>
      <c r="C40" s="204">
        <v>376.3</v>
      </c>
      <c r="D40" s="204">
        <v>456.4</v>
      </c>
      <c r="E40" s="204">
        <v>514.70000000000005</v>
      </c>
      <c r="F40" s="204">
        <v>600.79999999999995</v>
      </c>
      <c r="G40" s="204">
        <v>537.5</v>
      </c>
      <c r="H40" s="205">
        <v>494.5</v>
      </c>
      <c r="I40" s="204">
        <v>496.7</v>
      </c>
    </row>
    <row r="41" spans="1:17" x14ac:dyDescent="0.25">
      <c r="B41" s="178" t="s">
        <v>223</v>
      </c>
      <c r="C41" s="204">
        <v>161.30000000000001</v>
      </c>
      <c r="D41" s="204">
        <v>201.5</v>
      </c>
      <c r="E41" s="204">
        <v>230.5</v>
      </c>
      <c r="F41" s="204">
        <v>267.3</v>
      </c>
      <c r="G41" s="204">
        <v>257</v>
      </c>
      <c r="H41" s="205">
        <v>230.2</v>
      </c>
      <c r="I41" s="204">
        <v>224.63333333333333</v>
      </c>
    </row>
    <row r="42" spans="1:17" x14ac:dyDescent="0.25">
      <c r="C42" s="188"/>
      <c r="D42" s="188"/>
      <c r="E42" s="188"/>
      <c r="F42" s="188"/>
      <c r="G42" s="188"/>
      <c r="H42" s="188"/>
      <c r="I42" s="188"/>
    </row>
    <row r="43" spans="1:17" x14ac:dyDescent="0.25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</row>
    <row r="45" spans="1:17" x14ac:dyDescent="0.25">
      <c r="B45" s="206" t="s">
        <v>197</v>
      </c>
      <c r="C45" s="178" t="s">
        <v>194</v>
      </c>
    </row>
    <row r="46" spans="1:17" x14ac:dyDescent="0.25">
      <c r="H46" s="953" t="s">
        <v>224</v>
      </c>
      <c r="I46" s="953"/>
    </row>
    <row r="47" spans="1:17" x14ac:dyDescent="0.25">
      <c r="B47" s="206" t="s">
        <v>237</v>
      </c>
      <c r="C47" s="206" t="s">
        <v>226</v>
      </c>
    </row>
    <row r="48" spans="1:17" x14ac:dyDescent="0.25">
      <c r="B48" s="206" t="s">
        <v>193</v>
      </c>
      <c r="C48" s="178" t="s">
        <v>227</v>
      </c>
      <c r="D48" s="178" t="s">
        <v>228</v>
      </c>
      <c r="E48" s="178" t="s">
        <v>229</v>
      </c>
      <c r="F48" s="178" t="s">
        <v>230</v>
      </c>
      <c r="G48" s="178" t="s">
        <v>231</v>
      </c>
      <c r="H48" s="178" t="s">
        <v>238</v>
      </c>
      <c r="I48" s="178" t="s">
        <v>233</v>
      </c>
    </row>
    <row r="49" spans="2:12" ht="15.75" thickBot="1" x14ac:dyDescent="0.3">
      <c r="B49" s="183" t="s">
        <v>209</v>
      </c>
      <c r="C49" s="204">
        <v>1397</v>
      </c>
      <c r="D49" s="204">
        <v>1468</v>
      </c>
      <c r="E49" s="204">
        <v>1599</v>
      </c>
      <c r="F49" s="204">
        <v>1661</v>
      </c>
      <c r="G49" s="204">
        <v>1691</v>
      </c>
      <c r="H49" s="205">
        <v>1865</v>
      </c>
      <c r="I49" s="204">
        <v>1613.5</v>
      </c>
      <c r="K49" s="192">
        <v>45689</v>
      </c>
    </row>
    <row r="50" spans="2:12" x14ac:dyDescent="0.25">
      <c r="B50" s="183" t="s">
        <v>211</v>
      </c>
      <c r="C50" s="181">
        <v>178675.20000000001</v>
      </c>
      <c r="D50" s="181">
        <v>195356.4</v>
      </c>
      <c r="E50" s="181">
        <v>221574.9</v>
      </c>
      <c r="F50" s="181">
        <v>261032.8</v>
      </c>
      <c r="G50" s="181">
        <v>235419.1</v>
      </c>
      <c r="H50" s="182">
        <v>219503.8</v>
      </c>
      <c r="I50" s="181">
        <v>218593.70000000004</v>
      </c>
      <c r="K50" s="203" t="s">
        <v>210</v>
      </c>
      <c r="L50" s="202">
        <f>(L28*0.181)+(L7*(1-0.181))</f>
        <v>0.63513375818062501</v>
      </c>
    </row>
    <row r="51" spans="2:12" x14ac:dyDescent="0.25">
      <c r="B51" s="183" t="s">
        <v>213</v>
      </c>
      <c r="C51" s="198">
        <v>32.582154000000003</v>
      </c>
      <c r="D51" s="198">
        <v>32.196590999999998</v>
      </c>
      <c r="E51" s="198">
        <v>33.628156000000004</v>
      </c>
      <c r="F51" s="201">
        <v>37.597162000000004</v>
      </c>
      <c r="G51" s="200">
        <v>34.859723273916991</v>
      </c>
      <c r="H51" s="199">
        <v>33.103250880392444</v>
      </c>
      <c r="I51" s="198">
        <v>33.994506192384904</v>
      </c>
      <c r="K51" s="197" t="s">
        <v>212</v>
      </c>
      <c r="L51" s="196">
        <f>(L29*0.181)+(L8*(1-0.181))</f>
        <v>0.32023763356826318</v>
      </c>
    </row>
    <row r="52" spans="2:12" ht="15.75" thickBot="1" x14ac:dyDescent="0.3">
      <c r="B52" s="183" t="s">
        <v>215</v>
      </c>
      <c r="C52" s="179">
        <v>0.50366469999999997</v>
      </c>
      <c r="D52" s="179">
        <v>0.49465619999999999</v>
      </c>
      <c r="E52" s="179">
        <v>0.4935216</v>
      </c>
      <c r="F52" s="179">
        <v>0.48596300000000003</v>
      </c>
      <c r="G52" s="179">
        <v>0.47959606137553967</v>
      </c>
      <c r="H52" s="195">
        <v>0.47359714743451325</v>
      </c>
      <c r="I52" s="179">
        <v>0.4884997848016755</v>
      </c>
      <c r="K52" s="194" t="s">
        <v>214</v>
      </c>
      <c r="L52" s="193">
        <f>(L30*0.181)+(L9*(1-0.181))</f>
        <v>4.4628609155954534E-2</v>
      </c>
    </row>
    <row r="53" spans="2:12" x14ac:dyDescent="0.25">
      <c r="B53" s="183" t="s">
        <v>239</v>
      </c>
      <c r="C53" s="188">
        <v>1.4045926214126498</v>
      </c>
      <c r="D53" s="188">
        <v>1.392386641489002</v>
      </c>
      <c r="E53" s="188">
        <v>1.3977093704233419</v>
      </c>
      <c r="F53" s="188">
        <v>1.3977093704233419</v>
      </c>
      <c r="G53" s="188">
        <v>1.3964609781435715</v>
      </c>
      <c r="H53" s="189">
        <v>1.3972938426593584</v>
      </c>
      <c r="I53" s="188">
        <v>1.3976921374252109</v>
      </c>
      <c r="L53" s="180"/>
    </row>
    <row r="54" spans="2:12" x14ac:dyDescent="0.25">
      <c r="B54" s="183" t="s">
        <v>218</v>
      </c>
      <c r="C54" s="188">
        <v>0.72518300000000002</v>
      </c>
      <c r="D54" s="188">
        <v>0.71315300000000004</v>
      </c>
      <c r="E54" s="188">
        <v>0.70938999999999997</v>
      </c>
      <c r="F54" s="188">
        <v>0.69938999999999996</v>
      </c>
      <c r="G54" s="188">
        <v>0.68369079283674616</v>
      </c>
      <c r="H54" s="189">
        <v>0.68725181196507368</v>
      </c>
      <c r="I54" s="188">
        <v>0.70300976746696986</v>
      </c>
    </row>
    <row r="55" spans="2:12" x14ac:dyDescent="0.25">
      <c r="B55" s="183" t="s">
        <v>220</v>
      </c>
      <c r="C55" s="188">
        <v>1.7563820000000001</v>
      </c>
      <c r="D55" s="188">
        <v>1.748057</v>
      </c>
      <c r="E55" s="188">
        <v>1.7361960000000001</v>
      </c>
      <c r="F55" s="188">
        <v>1.7280740000000001</v>
      </c>
      <c r="G55" s="188">
        <v>1.7286282608876589</v>
      </c>
      <c r="H55" s="189">
        <v>1.7391797991484366</v>
      </c>
      <c r="I55" s="188">
        <v>1.7394195100060159</v>
      </c>
    </row>
    <row r="56" spans="2:12" ht="15.75" thickBot="1" x14ac:dyDescent="0.3">
      <c r="B56" s="183" t="s">
        <v>217</v>
      </c>
      <c r="C56" s="188">
        <v>0.27493900000000004</v>
      </c>
      <c r="D56" s="188">
        <v>0.28248400000000001</v>
      </c>
      <c r="E56" s="188">
        <v>0.27436600000000005</v>
      </c>
      <c r="F56" s="188">
        <v>0.25436600000000004</v>
      </c>
      <c r="G56" s="188">
        <v>0.28000000000000003</v>
      </c>
      <c r="H56" s="189">
        <v>0.28274818803492618</v>
      </c>
      <c r="I56" s="188">
        <v>0.27481719800582111</v>
      </c>
      <c r="K56" s="192">
        <v>45658</v>
      </c>
    </row>
    <row r="57" spans="2:12" x14ac:dyDescent="0.25">
      <c r="B57" s="183" t="s">
        <v>219</v>
      </c>
      <c r="C57" s="188">
        <v>0.83119900000000002</v>
      </c>
      <c r="D57" s="188">
        <v>0.84866200000000003</v>
      </c>
      <c r="E57" s="188">
        <v>0.85680600000000007</v>
      </c>
      <c r="F57" s="188">
        <v>0.86056200000000005</v>
      </c>
      <c r="G57" s="188">
        <v>0.88940127879579389</v>
      </c>
      <c r="H57" s="189">
        <v>0.89830208120082577</v>
      </c>
      <c r="I57" s="188">
        <v>0.86415539333277003</v>
      </c>
      <c r="K57" s="191" t="s">
        <v>210</v>
      </c>
      <c r="L57" s="190">
        <v>0.63523147716275907</v>
      </c>
    </row>
    <row r="58" spans="2:12" x14ac:dyDescent="0.25">
      <c r="B58" s="183" t="s">
        <v>221</v>
      </c>
      <c r="C58" s="188">
        <v>0.69794699999999998</v>
      </c>
      <c r="D58" s="188">
        <v>0.71242000000000005</v>
      </c>
      <c r="E58" s="188">
        <v>0.71244000000000007</v>
      </c>
      <c r="F58" s="188">
        <v>0.72244000000000008</v>
      </c>
      <c r="G58" s="188">
        <v>0.73678286446928576</v>
      </c>
      <c r="H58" s="189">
        <v>0.73555389316589959</v>
      </c>
      <c r="I58" s="188">
        <v>0.71959729293919761</v>
      </c>
      <c r="K58" s="187" t="s">
        <v>212</v>
      </c>
      <c r="L58" s="186">
        <v>0.3202708060743818</v>
      </c>
    </row>
    <row r="59" spans="2:12" ht="15.75" thickBot="1" x14ac:dyDescent="0.3">
      <c r="B59" s="183" t="s">
        <v>222</v>
      </c>
      <c r="C59" s="181">
        <v>2511.9900000000002</v>
      </c>
      <c r="D59" s="181">
        <v>2748.76</v>
      </c>
      <c r="E59" s="181">
        <v>3127.5699999999997</v>
      </c>
      <c r="F59" s="181">
        <v>3687.1099999999997</v>
      </c>
      <c r="G59" s="181">
        <v>3312.65</v>
      </c>
      <c r="H59" s="182">
        <v>3106.57</v>
      </c>
      <c r="I59" s="181">
        <v>3082.4416666666671</v>
      </c>
      <c r="K59" s="185" t="s">
        <v>214</v>
      </c>
      <c r="L59" s="184">
        <v>4.4497717663835069E-2</v>
      </c>
    </row>
    <row r="60" spans="2:12" x14ac:dyDescent="0.25">
      <c r="B60" s="183" t="s">
        <v>223</v>
      </c>
      <c r="C60" s="181">
        <v>1250.33</v>
      </c>
      <c r="D60" s="181">
        <v>1399.23</v>
      </c>
      <c r="E60" s="181">
        <v>1595.92</v>
      </c>
      <c r="F60" s="181">
        <v>1887.82</v>
      </c>
      <c r="G60" s="181">
        <v>1735.07</v>
      </c>
      <c r="H60" s="182">
        <v>1632.78</v>
      </c>
      <c r="I60" s="181">
        <v>1583.5249999999999</v>
      </c>
      <c r="L60" s="180"/>
    </row>
    <row r="67" spans="9:9" x14ac:dyDescent="0.25">
      <c r="I67" s="179"/>
    </row>
  </sheetData>
  <mergeCells count="2">
    <mergeCell ref="H46:I46"/>
    <mergeCell ref="H26:I26"/>
  </mergeCell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4A7-BE9E-4FBF-A997-A23F74E8F561}">
  <sheetPr codeName="Sheet10">
    <tabColor theme="1"/>
  </sheetPr>
  <dimension ref="B2:T46"/>
  <sheetViews>
    <sheetView showGridLines="0" topLeftCell="G27" workbookViewId="0">
      <selection activeCell="O37" sqref="O37"/>
    </sheetView>
  </sheetViews>
  <sheetFormatPr defaultRowHeight="15" x14ac:dyDescent="0.25"/>
  <cols>
    <col min="2" max="2" width="29.28515625" customWidth="1"/>
    <col min="3" max="3" width="14.85546875" bestFit="1" customWidth="1"/>
    <col min="4" max="4" width="12.140625" bestFit="1" customWidth="1"/>
    <col min="5" max="5" width="13.42578125" bestFit="1" customWidth="1"/>
    <col min="6" max="7" width="12.140625" bestFit="1" customWidth="1"/>
    <col min="9" max="9" width="41.140625" bestFit="1" customWidth="1"/>
    <col min="10" max="10" width="9.85546875" bestFit="1" customWidth="1"/>
    <col min="11" max="11" width="9.28515625" bestFit="1" customWidth="1"/>
    <col min="12" max="13" width="9.5703125" bestFit="1" customWidth="1"/>
    <col min="14" max="14" width="9.28515625" bestFit="1" customWidth="1"/>
    <col min="15" max="15" width="10.85546875" bestFit="1" customWidth="1"/>
    <col min="16" max="16" width="14.5703125" bestFit="1" customWidth="1"/>
  </cols>
  <sheetData>
    <row r="2" spans="2:20" x14ac:dyDescent="0.25">
      <c r="C2" t="s">
        <v>240</v>
      </c>
      <c r="D2" t="s">
        <v>241</v>
      </c>
      <c r="E2" t="s">
        <v>242</v>
      </c>
      <c r="F2" t="s">
        <v>103</v>
      </c>
      <c r="G2" t="s">
        <v>10</v>
      </c>
      <c r="I2" s="178" t="s">
        <v>200</v>
      </c>
      <c r="J2" s="178" t="s">
        <v>201</v>
      </c>
      <c r="K2" s="178"/>
      <c r="L2" s="178"/>
      <c r="M2" s="178"/>
      <c r="N2" s="178"/>
      <c r="O2" s="178"/>
      <c r="P2" s="178"/>
    </row>
    <row r="3" spans="2:20" x14ac:dyDescent="0.25">
      <c r="B3" s="178"/>
      <c r="I3" s="178" t="s">
        <v>193</v>
      </c>
      <c r="J3" s="237" t="s">
        <v>202</v>
      </c>
      <c r="K3" s="237" t="s">
        <v>203</v>
      </c>
      <c r="L3" s="237" t="s">
        <v>204</v>
      </c>
      <c r="M3" s="237" t="s">
        <v>205</v>
      </c>
      <c r="N3" s="237" t="s">
        <v>206</v>
      </c>
      <c r="O3" s="237" t="s">
        <v>207</v>
      </c>
      <c r="P3" s="237" t="s">
        <v>208</v>
      </c>
      <c r="Q3" s="178"/>
      <c r="R3" s="178"/>
      <c r="S3" s="178"/>
      <c r="T3" s="178"/>
    </row>
    <row r="4" spans="2:20" ht="15.75" thickBot="1" x14ac:dyDescent="0.3">
      <c r="B4" s="178"/>
      <c r="Q4" s="178"/>
      <c r="R4" s="192">
        <v>45712</v>
      </c>
      <c r="S4" s="178"/>
      <c r="T4" s="178"/>
    </row>
    <row r="5" spans="2:20" x14ac:dyDescent="0.25">
      <c r="B5" s="183" t="s">
        <v>209</v>
      </c>
      <c r="C5" s="240">
        <v>1278</v>
      </c>
      <c r="D5" s="69">
        <f>O5-C5</f>
        <v>322</v>
      </c>
      <c r="E5" s="240">
        <f>C5+D5</f>
        <v>1600</v>
      </c>
      <c r="F5" s="240">
        <v>265</v>
      </c>
      <c r="G5" s="250">
        <f>E5+F5</f>
        <v>1865</v>
      </c>
      <c r="I5" s="183" t="s">
        <v>209</v>
      </c>
      <c r="J5" s="219">
        <v>1194</v>
      </c>
      <c r="K5" s="219">
        <v>1243</v>
      </c>
      <c r="L5" s="219">
        <v>1363</v>
      </c>
      <c r="M5" s="219">
        <v>1409</v>
      </c>
      <c r="N5" s="219">
        <v>1433</v>
      </c>
      <c r="O5" s="220">
        <v>1600</v>
      </c>
      <c r="P5" s="236">
        <v>1373.6666666666667</v>
      </c>
      <c r="Q5" s="178"/>
      <c r="R5" s="203" t="s">
        <v>210</v>
      </c>
      <c r="S5" s="202">
        <v>0.63008029081883399</v>
      </c>
      <c r="T5" s="221"/>
    </row>
    <row r="6" spans="2:20" x14ac:dyDescent="0.25">
      <c r="B6" s="183" t="s">
        <v>211</v>
      </c>
      <c r="C6" s="69">
        <f>'GP Summary'!AH44</f>
        <v>145615141.97000006</v>
      </c>
      <c r="D6" s="69">
        <f>O6-C6</f>
        <v>34093858.029999942</v>
      </c>
      <c r="E6" s="69">
        <f>C6+D6</f>
        <v>179709000</v>
      </c>
      <c r="F6" s="69">
        <v>39795000</v>
      </c>
      <c r="G6" s="250">
        <f t="shared" ref="G6:G36" si="0">E6+F6</f>
        <v>219504000</v>
      </c>
      <c r="I6" s="183" t="s">
        <v>211</v>
      </c>
      <c r="J6" s="219">
        <v>148532</v>
      </c>
      <c r="K6" s="219">
        <v>158653</v>
      </c>
      <c r="L6" s="219">
        <v>179960</v>
      </c>
      <c r="M6" s="219">
        <v>212843</v>
      </c>
      <c r="N6" s="219">
        <v>191975</v>
      </c>
      <c r="O6" s="220">
        <v>179709000</v>
      </c>
      <c r="P6" s="219">
        <v>178612</v>
      </c>
      <c r="Q6" s="178"/>
      <c r="R6" s="197" t="s">
        <v>212</v>
      </c>
      <c r="S6" s="222">
        <v>0.31852214110899052</v>
      </c>
      <c r="T6" s="221"/>
    </row>
    <row r="7" spans="2:20" x14ac:dyDescent="0.25">
      <c r="B7" s="183" t="s">
        <v>243</v>
      </c>
      <c r="C7" s="69">
        <f>C6/C5</f>
        <v>113939.86069640068</v>
      </c>
      <c r="D7" s="69">
        <f>D6/D5</f>
        <v>105881.54667701846</v>
      </c>
      <c r="E7" s="69">
        <f>E6/E5</f>
        <v>112318.125</v>
      </c>
      <c r="F7" s="69">
        <f>F6/F5</f>
        <v>150169.81132075473</v>
      </c>
      <c r="G7" s="69">
        <f>G6/G5</f>
        <v>117696.5147453083</v>
      </c>
      <c r="I7" s="183"/>
      <c r="J7" s="219"/>
      <c r="K7" s="219"/>
      <c r="L7" s="219"/>
      <c r="M7" s="219"/>
      <c r="N7" s="219"/>
      <c r="O7" s="220"/>
      <c r="P7" s="219"/>
      <c r="Q7" s="178"/>
      <c r="R7" s="197"/>
      <c r="S7" s="222"/>
      <c r="T7" s="221"/>
    </row>
    <row r="8" spans="2:20" x14ac:dyDescent="0.25">
      <c r="B8" s="183" t="s">
        <v>244</v>
      </c>
      <c r="C8" s="69">
        <f>C6/C9</f>
        <v>4123906.5978476368</v>
      </c>
      <c r="D8" s="69">
        <f>D6/D9</f>
        <v>1161234.9465258836</v>
      </c>
      <c r="E8" s="69">
        <f>E6/E9</f>
        <v>5348482.1428571427</v>
      </c>
      <c r="F8" s="69">
        <f>F6/F9</f>
        <v>1289533.3765392094</v>
      </c>
      <c r="G8" s="250">
        <f>E8+F8</f>
        <v>6638015.5193963517</v>
      </c>
      <c r="I8" s="183"/>
      <c r="J8" s="219"/>
      <c r="K8" s="219"/>
      <c r="L8" s="219"/>
      <c r="M8" s="219"/>
      <c r="N8" s="219"/>
      <c r="O8" s="220"/>
      <c r="P8" s="219"/>
      <c r="Q8" s="178"/>
      <c r="R8" s="197"/>
      <c r="S8" s="222"/>
      <c r="T8" s="221"/>
    </row>
    <row r="9" spans="2:20" ht="15.75" thickBot="1" x14ac:dyDescent="0.3">
      <c r="B9" s="183" t="s">
        <v>213</v>
      </c>
      <c r="C9" s="148">
        <v>35.31</v>
      </c>
      <c r="D9" s="148">
        <v>29.36</v>
      </c>
      <c r="E9" s="148">
        <f>O9</f>
        <v>33.6</v>
      </c>
      <c r="F9" s="148">
        <v>30.86</v>
      </c>
      <c r="G9" s="148">
        <f>G6/G8</f>
        <v>33.067714192382795</v>
      </c>
      <c r="I9" s="183" t="s">
        <v>213</v>
      </c>
      <c r="J9" s="233">
        <v>32.68</v>
      </c>
      <c r="K9" s="233">
        <v>32.33</v>
      </c>
      <c r="L9" s="233">
        <v>34</v>
      </c>
      <c r="M9" s="233">
        <v>38.200000000000003</v>
      </c>
      <c r="N9" s="235">
        <v>35.31</v>
      </c>
      <c r="O9" s="234">
        <v>33.6</v>
      </c>
      <c r="P9" s="233">
        <v>34.353333333333332</v>
      </c>
      <c r="Q9" s="178"/>
      <c r="R9" s="194" t="s">
        <v>214</v>
      </c>
      <c r="S9" s="232">
        <v>5.1397569176989663E-2</v>
      </c>
      <c r="T9" s="231"/>
    </row>
    <row r="10" spans="2:20" x14ac:dyDescent="0.25">
      <c r="G10" s="250">
        <f t="shared" si="0"/>
        <v>0</v>
      </c>
      <c r="Q10" s="178"/>
      <c r="R10" s="178"/>
      <c r="S10" s="180"/>
      <c r="T10" s="178"/>
    </row>
    <row r="11" spans="2:20" x14ac:dyDescent="0.25">
      <c r="B11" s="183" t="s">
        <v>222</v>
      </c>
      <c r="C11" s="69">
        <f>'MSF By Card'!K24</f>
        <v>2113318.6818181812</v>
      </c>
      <c r="D11" s="71">
        <f>2612000-C11</f>
        <v>498681.31818181882</v>
      </c>
      <c r="E11" s="71">
        <f>C11+D11</f>
        <v>2612000</v>
      </c>
      <c r="F11" s="69">
        <v>495000</v>
      </c>
      <c r="G11" s="250">
        <f t="shared" si="0"/>
        <v>3107000</v>
      </c>
      <c r="I11" s="183" t="s">
        <v>222</v>
      </c>
      <c r="J11" s="219">
        <v>2135.69</v>
      </c>
      <c r="K11" s="219">
        <v>2292.36</v>
      </c>
      <c r="L11" s="219">
        <v>2612.87</v>
      </c>
      <c r="M11" s="219">
        <v>3086.31</v>
      </c>
      <c r="N11" s="219">
        <v>2775.15</v>
      </c>
      <c r="O11" s="220">
        <v>2612.0700000000002</v>
      </c>
      <c r="P11" s="219">
        <v>2585.7416666666663</v>
      </c>
      <c r="T11" s="178"/>
    </row>
    <row r="12" spans="2:20" x14ac:dyDescent="0.25">
      <c r="B12" s="183" t="s">
        <v>223</v>
      </c>
      <c r="C12" s="69">
        <f>'COA by Card'!K34</f>
        <v>1143195.42</v>
      </c>
      <c r="D12" s="71">
        <f>1403000-C12</f>
        <v>259804.58000000007</v>
      </c>
      <c r="E12" s="71">
        <f>C12+D12</f>
        <v>1403000</v>
      </c>
      <c r="F12" s="69">
        <v>230000</v>
      </c>
      <c r="G12" s="250">
        <f t="shared" si="0"/>
        <v>1633000</v>
      </c>
      <c r="I12" s="183" t="s">
        <v>223</v>
      </c>
      <c r="J12" s="219">
        <v>1089.03</v>
      </c>
      <c r="K12" s="219">
        <v>1197.73</v>
      </c>
      <c r="L12" s="219">
        <v>1365.42</v>
      </c>
      <c r="M12" s="219">
        <v>1620.52</v>
      </c>
      <c r="N12" s="219">
        <v>1478.07</v>
      </c>
      <c r="O12" s="220">
        <v>1402.58</v>
      </c>
      <c r="P12" s="219">
        <v>1358.8916666666667</v>
      </c>
      <c r="T12" s="178"/>
    </row>
    <row r="13" spans="2:20" x14ac:dyDescent="0.25">
      <c r="B13" s="183" t="s">
        <v>245</v>
      </c>
      <c r="C13" s="71">
        <f>C11-C12</f>
        <v>970123.26181818126</v>
      </c>
      <c r="D13" s="71">
        <f>D11-D12</f>
        <v>238876.73818181874</v>
      </c>
      <c r="E13" s="71">
        <f>C13+D13</f>
        <v>1209000</v>
      </c>
      <c r="F13" s="71">
        <f>F11-F12</f>
        <v>265000</v>
      </c>
      <c r="G13" s="250">
        <f t="shared" si="0"/>
        <v>1474000</v>
      </c>
      <c r="I13" s="183" t="s">
        <v>246</v>
      </c>
      <c r="J13" s="242">
        <f>J11-J12</f>
        <v>1046.6600000000001</v>
      </c>
      <c r="K13" s="242">
        <f t="shared" ref="K13:P13" si="1">K11-K12</f>
        <v>1094.6300000000001</v>
      </c>
      <c r="L13" s="242">
        <f t="shared" si="1"/>
        <v>1247.4499999999998</v>
      </c>
      <c r="M13" s="242">
        <f t="shared" si="1"/>
        <v>1465.79</v>
      </c>
      <c r="N13" s="242">
        <f t="shared" si="1"/>
        <v>1297.0800000000002</v>
      </c>
      <c r="O13" s="243">
        <f t="shared" si="1"/>
        <v>1209.4900000000002</v>
      </c>
      <c r="P13" s="242">
        <f t="shared" si="1"/>
        <v>1226.8499999999997</v>
      </c>
      <c r="Q13" s="178"/>
      <c r="R13" s="178"/>
      <c r="S13" s="178"/>
      <c r="T13" s="178"/>
    </row>
    <row r="14" spans="2:20" x14ac:dyDescent="0.25">
      <c r="B14" s="183" t="s">
        <v>215</v>
      </c>
      <c r="C14" s="3">
        <v>0.51470000000000005</v>
      </c>
      <c r="D14" s="3">
        <f>D13/D11</f>
        <v>0.47901681790037393</v>
      </c>
      <c r="E14" s="241">
        <f>E13/E11</f>
        <v>0.46286370597243492</v>
      </c>
      <c r="F14" s="3">
        <v>0.54</v>
      </c>
      <c r="G14" s="250">
        <f t="shared" si="0"/>
        <v>1.002863705972435</v>
      </c>
      <c r="I14" s="183" t="s">
        <v>215</v>
      </c>
      <c r="J14" s="213">
        <v>0.49</v>
      </c>
      <c r="K14" s="213">
        <v>0.48</v>
      </c>
      <c r="L14" s="213">
        <v>0.48</v>
      </c>
      <c r="M14" s="213">
        <v>0.47</v>
      </c>
      <c r="N14" s="213">
        <v>0.47</v>
      </c>
      <c r="O14" s="214">
        <v>0.46</v>
      </c>
      <c r="P14" s="213">
        <v>0.47499999999999992</v>
      </c>
      <c r="Q14" s="178"/>
      <c r="R14" s="192"/>
      <c r="S14" s="178"/>
      <c r="T14" s="178"/>
    </row>
    <row r="15" spans="2:20" x14ac:dyDescent="0.25">
      <c r="G15" s="250">
        <f t="shared" si="0"/>
        <v>0</v>
      </c>
      <c r="Q15" s="178"/>
      <c r="R15" s="228"/>
      <c r="S15" s="188"/>
      <c r="T15" s="178"/>
    </row>
    <row r="16" spans="2:20" x14ac:dyDescent="0.25">
      <c r="B16" s="183" t="s">
        <v>216</v>
      </c>
      <c r="C16" s="163">
        <f>C11/C6*10000</f>
        <v>145.13042072599646</v>
      </c>
      <c r="D16" s="163">
        <f>D11/D6*10000</f>
        <v>146.26720089671812</v>
      </c>
      <c r="E16" s="163">
        <f>E11/E6*10000</f>
        <v>145.34608728555608</v>
      </c>
      <c r="F16" s="163">
        <f>F11/F6*10000</f>
        <v>124.38748586505842</v>
      </c>
      <c r="G16" s="250">
        <f t="shared" si="0"/>
        <v>269.73357315061452</v>
      </c>
      <c r="I16" s="183" t="s">
        <v>216</v>
      </c>
      <c r="J16" s="229">
        <v>1.44</v>
      </c>
      <c r="K16" s="229">
        <v>1.44</v>
      </c>
      <c r="L16" s="229">
        <v>1.45</v>
      </c>
      <c r="M16" s="229">
        <v>1.45</v>
      </c>
      <c r="N16" s="229">
        <v>1.45</v>
      </c>
      <c r="O16" s="230">
        <v>1.45</v>
      </c>
      <c r="P16" s="229">
        <v>1.4466666666666665</v>
      </c>
      <c r="Q16" s="178"/>
      <c r="R16" s="178"/>
      <c r="S16" s="178"/>
      <c r="T16" s="178"/>
    </row>
    <row r="17" spans="2:20" ht="15.75" thickBot="1" x14ac:dyDescent="0.3">
      <c r="B17" s="183" t="s">
        <v>221</v>
      </c>
      <c r="C17" s="163">
        <f>'GP Summary'!AH46*10000</f>
        <v>78.508004355448378</v>
      </c>
      <c r="D17" s="163">
        <f>D12/D6*10000</f>
        <v>76.202751759977488</v>
      </c>
      <c r="E17" s="163">
        <f>E12/E6*10000</f>
        <v>78.070658675970591</v>
      </c>
      <c r="F17" s="163">
        <f>F12/F6*10000</f>
        <v>57.79620555346149</v>
      </c>
      <c r="G17" s="250">
        <f t="shared" si="0"/>
        <v>135.86686422943208</v>
      </c>
      <c r="I17" s="183" t="s">
        <v>221</v>
      </c>
      <c r="J17" s="224">
        <v>0.73</v>
      </c>
      <c r="K17" s="224">
        <v>0.75</v>
      </c>
      <c r="L17" s="224">
        <v>0.75</v>
      </c>
      <c r="M17" s="224">
        <v>0.76</v>
      </c>
      <c r="N17" s="224">
        <v>0.77</v>
      </c>
      <c r="O17" s="225">
        <v>0.77</v>
      </c>
      <c r="P17" s="224">
        <v>0.755</v>
      </c>
      <c r="Q17" s="178"/>
      <c r="R17" s="192">
        <v>45681</v>
      </c>
      <c r="S17" s="178"/>
      <c r="T17" s="221"/>
    </row>
    <row r="18" spans="2:20" x14ac:dyDescent="0.25">
      <c r="B18" s="244" t="s">
        <v>218</v>
      </c>
      <c r="C18" s="779">
        <f>C16-C17</f>
        <v>66.622416370548081</v>
      </c>
      <c r="D18" s="780">
        <f>D13/D6*10000</f>
        <v>70.064449136740635</v>
      </c>
      <c r="E18" s="780">
        <f>E13/E6*10000</f>
        <v>67.275428609585504</v>
      </c>
      <c r="F18" s="779">
        <f>F16-F17</f>
        <v>66.591280311596933</v>
      </c>
      <c r="G18" s="250">
        <f t="shared" si="0"/>
        <v>133.86670892118244</v>
      </c>
      <c r="I18" s="183" t="s">
        <v>218</v>
      </c>
      <c r="J18" s="224">
        <v>0.71</v>
      </c>
      <c r="K18" s="224">
        <v>0.7</v>
      </c>
      <c r="L18" s="224">
        <v>0.7</v>
      </c>
      <c r="M18" s="224">
        <v>0.69</v>
      </c>
      <c r="N18" s="224">
        <v>0.68</v>
      </c>
      <c r="O18" s="225">
        <v>0.68</v>
      </c>
      <c r="P18" s="224">
        <v>0.69333333333333336</v>
      </c>
      <c r="Q18" s="178"/>
      <c r="R18" s="203" t="s">
        <v>210</v>
      </c>
      <c r="S18" s="202">
        <v>0.63600000000000001</v>
      </c>
      <c r="T18" s="178"/>
    </row>
    <row r="19" spans="2:20" x14ac:dyDescent="0.25">
      <c r="G19" s="250">
        <f t="shared" si="0"/>
        <v>0</v>
      </c>
      <c r="Q19" s="178"/>
      <c r="R19" s="197" t="s">
        <v>212</v>
      </c>
      <c r="S19" s="222">
        <v>0.31900000000000001</v>
      </c>
      <c r="T19" s="178"/>
    </row>
    <row r="20" spans="2:20" ht="15.75" thickBot="1" x14ac:dyDescent="0.3">
      <c r="B20" s="183" t="s">
        <v>247</v>
      </c>
      <c r="C20" s="69">
        <f>'GP Summary'!D44</f>
        <v>46435674.090000018</v>
      </c>
      <c r="D20" s="71">
        <f>E20-C20</f>
        <v>10805621.366555557</v>
      </c>
      <c r="E20" s="69">
        <f>S6*E6</f>
        <v>57241295.456555575</v>
      </c>
      <c r="G20" s="250">
        <f t="shared" si="0"/>
        <v>57241295.456555575</v>
      </c>
      <c r="I20" s="183" t="s">
        <v>217</v>
      </c>
      <c r="J20" s="224">
        <v>0.28000000000000003</v>
      </c>
      <c r="K20" s="224">
        <v>0.28999999999999998</v>
      </c>
      <c r="L20" s="224">
        <v>0.28000000000000003</v>
      </c>
      <c r="M20" s="224">
        <v>0.26</v>
      </c>
      <c r="N20" s="224">
        <v>0.28000000000000003</v>
      </c>
      <c r="O20" s="225">
        <v>0.28999999999999998</v>
      </c>
      <c r="P20" s="224">
        <v>0.28000000000000003</v>
      </c>
      <c r="Q20" s="178"/>
      <c r="R20" s="194" t="s">
        <v>214</v>
      </c>
      <c r="S20" s="184">
        <v>4.4999999999999998E-2</v>
      </c>
      <c r="T20" s="178"/>
    </row>
    <row r="21" spans="2:20" x14ac:dyDescent="0.25">
      <c r="B21" s="183" t="s">
        <v>248</v>
      </c>
      <c r="C21" s="69">
        <f>'GP Summary'!D45</f>
        <v>663995.53636363626</v>
      </c>
      <c r="D21" s="71">
        <f>E21-C21</f>
        <v>169232.46363636374</v>
      </c>
      <c r="E21" s="71">
        <f>E22*E11</f>
        <v>833228</v>
      </c>
      <c r="G21" s="250">
        <f t="shared" si="0"/>
        <v>833228</v>
      </c>
      <c r="I21" s="183" t="s">
        <v>219</v>
      </c>
      <c r="J21" s="224">
        <v>0.87</v>
      </c>
      <c r="K21" s="224">
        <v>0.89</v>
      </c>
      <c r="L21" s="224">
        <v>0.9</v>
      </c>
      <c r="M21" s="188">
        <v>0.9</v>
      </c>
      <c r="N21" s="226">
        <v>0.93</v>
      </c>
      <c r="O21" s="225">
        <v>0.94</v>
      </c>
      <c r="P21" s="224">
        <v>0.90499999999999992</v>
      </c>
      <c r="Q21" s="178"/>
      <c r="R21" s="178"/>
      <c r="S21" s="180"/>
    </row>
    <row r="22" spans="2:20" x14ac:dyDescent="0.25">
      <c r="B22" s="183" t="s">
        <v>249</v>
      </c>
      <c r="C22" s="3">
        <f>C21/C11</f>
        <v>0.31419564975045394</v>
      </c>
      <c r="D22" s="3">
        <f>D21/D11</f>
        <v>0.33935994284562654</v>
      </c>
      <c r="E22" s="241">
        <v>0.31900000000000001</v>
      </c>
      <c r="G22" s="250">
        <f t="shared" si="0"/>
        <v>0.31900000000000001</v>
      </c>
      <c r="I22" s="183" t="s">
        <v>220</v>
      </c>
      <c r="J22" s="224">
        <v>1.78</v>
      </c>
      <c r="K22" s="224">
        <v>1.78</v>
      </c>
      <c r="L22" s="224">
        <v>1.77</v>
      </c>
      <c r="M22" s="224">
        <v>1.76</v>
      </c>
      <c r="N22" s="224">
        <v>1.76</v>
      </c>
      <c r="O22" s="225">
        <v>1.77</v>
      </c>
      <c r="P22" s="224">
        <v>1.7699999999999998</v>
      </c>
      <c r="Q22" s="178"/>
      <c r="R22" s="178"/>
      <c r="S22" s="180"/>
    </row>
    <row r="23" spans="2:20" x14ac:dyDescent="0.25">
      <c r="G23" s="250">
        <f t="shared" si="0"/>
        <v>0</v>
      </c>
    </row>
    <row r="24" spans="2:20" x14ac:dyDescent="0.25">
      <c r="B24" s="183" t="s">
        <v>250</v>
      </c>
      <c r="C24" s="69">
        <f>'GP Summary'!D46</f>
        <v>133087.70000000001</v>
      </c>
      <c r="D24" s="71">
        <f>E24-C24</f>
        <v>32912.056824011146</v>
      </c>
      <c r="E24" s="748">
        <f>0.29*E20/100</f>
        <v>165999.75682401116</v>
      </c>
      <c r="G24" s="250">
        <f t="shared" si="0"/>
        <v>165999.75682401116</v>
      </c>
    </row>
    <row r="25" spans="2:20" x14ac:dyDescent="0.25">
      <c r="B25" s="183" t="s">
        <v>251</v>
      </c>
      <c r="C25" s="3">
        <f>C24/C12</f>
        <v>0.11641727885858746</v>
      </c>
      <c r="D25" s="3">
        <f t="shared" ref="D25" si="2">D24/D12</f>
        <v>0.12668004861196494</v>
      </c>
      <c r="E25" s="3">
        <f>E24/E12</f>
        <v>0.11831771690948764</v>
      </c>
      <c r="F25" s="3"/>
      <c r="G25" s="250">
        <f t="shared" si="0"/>
        <v>0.11831771690948764</v>
      </c>
      <c r="I25" s="178"/>
      <c r="J25" s="178"/>
      <c r="K25" s="178"/>
      <c r="L25" s="178"/>
      <c r="M25" s="178"/>
      <c r="N25" s="178"/>
      <c r="O25" s="219"/>
      <c r="P25" s="178"/>
    </row>
    <row r="26" spans="2:20" x14ac:dyDescent="0.25">
      <c r="B26" s="183" t="s">
        <v>217</v>
      </c>
      <c r="C26" s="163">
        <f>C24/C20*10000</f>
        <v>28.660658557912612</v>
      </c>
      <c r="D26" s="163">
        <f t="shared" ref="D26" si="3">D24/D20*10000</f>
        <v>30.458273251991919</v>
      </c>
      <c r="E26" s="163">
        <f>E24/E20*10000</f>
        <v>28.999999999999996</v>
      </c>
      <c r="F26" s="163"/>
      <c r="G26" s="250">
        <f t="shared" si="0"/>
        <v>28.999999999999996</v>
      </c>
      <c r="I26" s="251" t="s">
        <v>197</v>
      </c>
      <c r="J26" s="251" t="s">
        <v>194</v>
      </c>
      <c r="K26" s="251"/>
      <c r="L26" s="251"/>
      <c r="M26" s="251"/>
      <c r="N26" s="251"/>
      <c r="O26" s="251"/>
      <c r="P26" s="251"/>
      <c r="Q26" s="251"/>
      <c r="R26" s="251"/>
      <c r="S26" s="251"/>
    </row>
    <row r="27" spans="2:20" x14ac:dyDescent="0.25">
      <c r="G27" s="250">
        <f t="shared" si="0"/>
        <v>0</v>
      </c>
      <c r="I27" s="251"/>
      <c r="J27" s="251"/>
      <c r="K27" s="251"/>
      <c r="L27" s="251"/>
      <c r="M27" s="251"/>
      <c r="N27" s="251"/>
      <c r="O27" s="954" t="s">
        <v>224</v>
      </c>
      <c r="P27" s="954"/>
      <c r="Q27" s="251"/>
      <c r="R27" s="251"/>
      <c r="S27" s="251"/>
    </row>
    <row r="28" spans="2:20" ht="15.75" thickBot="1" x14ac:dyDescent="0.3">
      <c r="B28" s="245" t="s">
        <v>252</v>
      </c>
      <c r="C28" s="69">
        <v>791148</v>
      </c>
      <c r="D28" s="246"/>
      <c r="E28" s="246"/>
      <c r="G28" s="250">
        <f t="shared" si="0"/>
        <v>0</v>
      </c>
      <c r="I28" s="252" t="s">
        <v>225</v>
      </c>
      <c r="J28" s="253" t="s">
        <v>226</v>
      </c>
      <c r="K28" s="253"/>
      <c r="L28" s="253"/>
      <c r="M28" s="253"/>
      <c r="N28" s="253"/>
      <c r="O28" s="253"/>
      <c r="P28" s="253"/>
      <c r="Q28" s="251"/>
      <c r="R28" s="254">
        <v>45689</v>
      </c>
      <c r="S28" s="251"/>
    </row>
    <row r="29" spans="2:20" x14ac:dyDescent="0.25">
      <c r="B29" s="183" t="s">
        <v>219</v>
      </c>
      <c r="C29" s="163">
        <f>C28/SUM('GP Summary'!E44:J44)*10000</f>
        <v>86.554207336802122</v>
      </c>
      <c r="D29" s="246"/>
      <c r="E29" s="163">
        <v>94</v>
      </c>
      <c r="G29" s="250">
        <f t="shared" si="0"/>
        <v>94</v>
      </c>
      <c r="I29" s="253" t="s">
        <v>193</v>
      </c>
      <c r="J29" s="255">
        <v>45556</v>
      </c>
      <c r="K29" s="255">
        <v>45587</v>
      </c>
      <c r="L29" s="255">
        <v>45619</v>
      </c>
      <c r="M29" s="255">
        <v>45650</v>
      </c>
      <c r="N29" s="255">
        <v>45682</v>
      </c>
      <c r="O29" s="255">
        <v>45713</v>
      </c>
      <c r="P29" s="253" t="s">
        <v>233</v>
      </c>
      <c r="Q29" s="251"/>
      <c r="R29" s="256" t="s">
        <v>210</v>
      </c>
      <c r="S29" s="257">
        <v>0.65800000000000003</v>
      </c>
    </row>
    <row r="30" spans="2:20" x14ac:dyDescent="0.25">
      <c r="G30" s="250">
        <f t="shared" si="0"/>
        <v>0</v>
      </c>
      <c r="I30" s="251" t="s">
        <v>209</v>
      </c>
      <c r="J30" s="251">
        <v>203</v>
      </c>
      <c r="K30" s="251">
        <v>225</v>
      </c>
      <c r="L30" s="251">
        <v>236</v>
      </c>
      <c r="M30" s="251">
        <v>252</v>
      </c>
      <c r="N30" s="251">
        <v>258</v>
      </c>
      <c r="O30" s="258">
        <v>265</v>
      </c>
      <c r="P30" s="251">
        <v>239.83</v>
      </c>
      <c r="Q30" s="251"/>
      <c r="R30" s="259" t="s">
        <v>212</v>
      </c>
      <c r="S30" s="260">
        <v>0.32800000000000001</v>
      </c>
    </row>
    <row r="31" spans="2:20" ht="15.75" thickBot="1" x14ac:dyDescent="0.3">
      <c r="B31" s="245" t="s">
        <v>253</v>
      </c>
      <c r="C31" s="69">
        <f>'GP Summary'!C44</f>
        <v>7773747.9000000004</v>
      </c>
      <c r="D31" s="71">
        <f>E31-C31</f>
        <v>1391411.0999999996</v>
      </c>
      <c r="E31" s="69">
        <f>5.1%*E6</f>
        <v>9165159</v>
      </c>
      <c r="G31" s="250">
        <f t="shared" si="0"/>
        <v>9165159</v>
      </c>
      <c r="I31" s="251" t="s">
        <v>211</v>
      </c>
      <c r="J31" s="261">
        <v>30143</v>
      </c>
      <c r="K31" s="261">
        <v>36703</v>
      </c>
      <c r="L31" s="261">
        <v>41615</v>
      </c>
      <c r="M31" s="261">
        <v>48190</v>
      </c>
      <c r="N31" s="261">
        <v>43444</v>
      </c>
      <c r="O31" s="262">
        <v>39795</v>
      </c>
      <c r="P31" s="261">
        <v>39982</v>
      </c>
      <c r="Q31" s="251"/>
      <c r="R31" s="263" t="s">
        <v>214</v>
      </c>
      <c r="S31" s="264">
        <v>1.4E-2</v>
      </c>
    </row>
    <row r="32" spans="2:20" x14ac:dyDescent="0.25">
      <c r="B32" s="245" t="s">
        <v>254</v>
      </c>
      <c r="C32" s="69">
        <f>'GP Summary'!C45</f>
        <v>120445.7818181818</v>
      </c>
      <c r="D32" s="249"/>
      <c r="E32" s="248"/>
      <c r="G32" s="250">
        <f t="shared" si="0"/>
        <v>0</v>
      </c>
      <c r="I32" s="251" t="s">
        <v>213</v>
      </c>
      <c r="J32" s="265">
        <v>32.1</v>
      </c>
      <c r="K32" s="265">
        <v>31.62</v>
      </c>
      <c r="L32" s="265">
        <v>32.020000000000003</v>
      </c>
      <c r="M32" s="265">
        <v>34.99</v>
      </c>
      <c r="N32" s="266">
        <v>32.869999999999997</v>
      </c>
      <c r="O32" s="267">
        <v>30.86</v>
      </c>
      <c r="P32" s="265">
        <v>32.409999999999997</v>
      </c>
      <c r="Q32" s="251"/>
      <c r="R32" s="269"/>
      <c r="S32" s="268"/>
    </row>
    <row r="33" spans="2:19" x14ac:dyDescent="0.25">
      <c r="B33" s="245" t="s">
        <v>255</v>
      </c>
      <c r="C33" s="3">
        <f>C31/C6</f>
        <v>5.3385573744807145E-2</v>
      </c>
      <c r="D33" s="3">
        <f t="shared" ref="D33:E33" si="4">D31/D6</f>
        <v>4.081119534127426E-2</v>
      </c>
      <c r="E33" s="3">
        <f t="shared" si="4"/>
        <v>5.0999999999999997E-2</v>
      </c>
      <c r="G33" s="250">
        <f t="shared" si="0"/>
        <v>5.0999999999999997E-2</v>
      </c>
      <c r="I33" s="251" t="s">
        <v>215</v>
      </c>
      <c r="J33" s="270">
        <v>0.56999999999999995</v>
      </c>
      <c r="K33" s="270">
        <v>0.56000000000000005</v>
      </c>
      <c r="L33" s="270">
        <v>0.55000000000000004</v>
      </c>
      <c r="M33" s="270">
        <v>0.56000000000000005</v>
      </c>
      <c r="N33" s="270">
        <v>0.52</v>
      </c>
      <c r="O33" s="271">
        <v>0.54</v>
      </c>
      <c r="P33" s="270">
        <v>0.55000000000000004</v>
      </c>
      <c r="Q33" s="251"/>
      <c r="R33" s="251"/>
      <c r="S33" s="251"/>
    </row>
    <row r="34" spans="2:19" x14ac:dyDescent="0.25">
      <c r="B34" s="245"/>
      <c r="C34" s="3"/>
      <c r="D34" s="3"/>
      <c r="E34" s="3"/>
      <c r="G34" s="250">
        <f t="shared" si="0"/>
        <v>0</v>
      </c>
      <c r="I34" s="251" t="s">
        <v>234</v>
      </c>
      <c r="J34" s="251">
        <v>1.34</v>
      </c>
      <c r="K34" s="251">
        <v>1.32</v>
      </c>
      <c r="L34" s="251">
        <v>1.3</v>
      </c>
      <c r="M34" s="251">
        <v>1.3</v>
      </c>
      <c r="N34" s="251">
        <v>1.29</v>
      </c>
      <c r="O34" s="258">
        <v>1.3</v>
      </c>
      <c r="P34" s="251">
        <v>1.31</v>
      </c>
      <c r="Q34" s="251"/>
      <c r="R34" s="251"/>
      <c r="S34" s="251"/>
    </row>
    <row r="35" spans="2:19" ht="15.75" thickBot="1" x14ac:dyDescent="0.3">
      <c r="B35" s="245" t="s">
        <v>256</v>
      </c>
      <c r="C35" s="69">
        <f>'GP Summary'!C46</f>
        <v>131934.40999999997</v>
      </c>
      <c r="D35" s="249">
        <f>E35-C35</f>
        <v>30288.904300000024</v>
      </c>
      <c r="E35" s="248">
        <f>E31*E36/10000</f>
        <v>162223.3143</v>
      </c>
      <c r="G35" s="250">
        <f t="shared" si="0"/>
        <v>162223.3143</v>
      </c>
      <c r="I35" s="251" t="s">
        <v>235</v>
      </c>
      <c r="J35" s="251">
        <v>1</v>
      </c>
      <c r="K35" s="251">
        <v>1</v>
      </c>
      <c r="L35" s="251">
        <v>1</v>
      </c>
      <c r="M35" s="251">
        <v>1</v>
      </c>
      <c r="N35" s="251">
        <v>1</v>
      </c>
      <c r="O35" s="258">
        <v>1</v>
      </c>
      <c r="P35" s="251">
        <v>1</v>
      </c>
      <c r="Q35" s="251"/>
      <c r="R35" s="254">
        <v>45658</v>
      </c>
      <c r="S35" s="251"/>
    </row>
    <row r="36" spans="2:19" x14ac:dyDescent="0.25">
      <c r="B36" s="183" t="s">
        <v>220</v>
      </c>
      <c r="C36" s="163">
        <f>C35/'GP Summary'!C44*10000</f>
        <v>169.71789116032431</v>
      </c>
      <c r="D36" s="247">
        <f>D35/D31*10000</f>
        <v>217.68479710992699</v>
      </c>
      <c r="E36" s="163">
        <v>177</v>
      </c>
      <c r="G36" s="250">
        <f t="shared" si="0"/>
        <v>177</v>
      </c>
      <c r="I36" s="251" t="s">
        <v>218</v>
      </c>
      <c r="J36" s="251">
        <v>0.8</v>
      </c>
      <c r="K36" s="251">
        <v>0.77</v>
      </c>
      <c r="L36" s="251">
        <v>0.75</v>
      </c>
      <c r="M36" s="251">
        <v>0.74</v>
      </c>
      <c r="N36" s="251">
        <v>0.7</v>
      </c>
      <c r="O36" s="258">
        <v>0.72</v>
      </c>
      <c r="P36" s="251">
        <v>0.75</v>
      </c>
      <c r="Q36" s="251"/>
      <c r="R36" s="256" t="s">
        <v>210</v>
      </c>
      <c r="S36" s="257">
        <v>0.66</v>
      </c>
    </row>
    <row r="37" spans="2:19" x14ac:dyDescent="0.25">
      <c r="I37" s="251" t="s">
        <v>220</v>
      </c>
      <c r="J37" s="251">
        <v>1.64</v>
      </c>
      <c r="K37" s="251">
        <v>1.61</v>
      </c>
      <c r="L37" s="251">
        <v>1.59</v>
      </c>
      <c r="M37" s="251">
        <v>1.59</v>
      </c>
      <c r="N37" s="251">
        <v>1.59</v>
      </c>
      <c r="O37" s="258">
        <v>1.6</v>
      </c>
      <c r="P37" s="251">
        <v>1.6</v>
      </c>
      <c r="Q37" s="251"/>
      <c r="R37" s="259" t="s">
        <v>212</v>
      </c>
      <c r="S37" s="260">
        <v>0.32500000000000001</v>
      </c>
    </row>
    <row r="38" spans="2:19" ht="15.75" thickBot="1" x14ac:dyDescent="0.3">
      <c r="I38" s="251" t="s">
        <v>217</v>
      </c>
      <c r="J38" s="251">
        <v>0.25</v>
      </c>
      <c r="K38" s="251">
        <v>0.25</v>
      </c>
      <c r="L38" s="251">
        <v>0.25</v>
      </c>
      <c r="M38" s="251">
        <v>0.23</v>
      </c>
      <c r="N38" s="272">
        <v>0.28000000000000003</v>
      </c>
      <c r="O38" s="273">
        <v>0.25</v>
      </c>
      <c r="P38" s="251">
        <v>0.25</v>
      </c>
      <c r="Q38" s="251"/>
      <c r="R38" s="263" t="s">
        <v>214</v>
      </c>
      <c r="S38" s="264">
        <v>1.4999999999999999E-2</v>
      </c>
    </row>
    <row r="39" spans="2:19" x14ac:dyDescent="0.25">
      <c r="I39" s="251" t="s">
        <v>219</v>
      </c>
      <c r="J39" s="251">
        <v>0.64</v>
      </c>
      <c r="K39" s="251">
        <v>0.67</v>
      </c>
      <c r="L39" s="251">
        <v>0.67</v>
      </c>
      <c r="M39" s="251">
        <v>0.69</v>
      </c>
      <c r="N39" s="251">
        <v>0.71</v>
      </c>
      <c r="O39" s="258">
        <v>0.71</v>
      </c>
      <c r="P39" s="251">
        <v>0.68</v>
      </c>
      <c r="Q39" s="251"/>
      <c r="R39" s="251"/>
      <c r="S39" s="251"/>
    </row>
    <row r="40" spans="2:19" x14ac:dyDescent="0.25">
      <c r="I40" s="251" t="s">
        <v>236</v>
      </c>
      <c r="J40" s="274">
        <v>0.54</v>
      </c>
      <c r="K40" s="251">
        <v>0.55000000000000004</v>
      </c>
      <c r="L40" s="251">
        <v>0.55000000000000004</v>
      </c>
      <c r="M40" s="251">
        <v>0.56000000000000005</v>
      </c>
      <c r="N40" s="251">
        <v>0.59</v>
      </c>
      <c r="O40" s="258">
        <v>0.57999999999999996</v>
      </c>
      <c r="P40" s="251">
        <v>0.56000000000000005</v>
      </c>
      <c r="Q40" s="251"/>
      <c r="R40" s="251"/>
      <c r="S40" s="251"/>
    </row>
    <row r="41" spans="2:19" x14ac:dyDescent="0.25">
      <c r="I41" s="251" t="s">
        <v>222</v>
      </c>
      <c r="J41" s="251">
        <v>376</v>
      </c>
      <c r="K41" s="251">
        <v>456</v>
      </c>
      <c r="L41" s="251">
        <v>515</v>
      </c>
      <c r="M41" s="251">
        <v>601</v>
      </c>
      <c r="N41" s="251">
        <v>538</v>
      </c>
      <c r="O41" s="258">
        <v>495</v>
      </c>
      <c r="P41" s="251">
        <v>497</v>
      </c>
      <c r="Q41" s="251"/>
      <c r="R41" s="251"/>
      <c r="S41" s="251"/>
    </row>
    <row r="42" spans="2:19" x14ac:dyDescent="0.25">
      <c r="I42" s="251" t="s">
        <v>223</v>
      </c>
      <c r="J42" s="251">
        <v>161</v>
      </c>
      <c r="K42" s="251">
        <v>202</v>
      </c>
      <c r="L42" s="251">
        <v>231</v>
      </c>
      <c r="M42" s="251">
        <v>267</v>
      </c>
      <c r="N42" s="251">
        <v>257</v>
      </c>
      <c r="O42" s="258">
        <v>230</v>
      </c>
      <c r="P42" s="251">
        <v>225</v>
      </c>
      <c r="Q42" s="251"/>
      <c r="R42" s="251"/>
      <c r="S42" s="251"/>
    </row>
    <row r="43" spans="2:19" x14ac:dyDescent="0.25"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</row>
    <row r="45" spans="2:19" x14ac:dyDescent="0.25">
      <c r="C45" s="116"/>
      <c r="D45" s="116"/>
      <c r="E45" s="116"/>
      <c r="F45" s="116"/>
    </row>
    <row r="46" spans="2:19" x14ac:dyDescent="0.25">
      <c r="C46" s="3"/>
      <c r="D46" s="3"/>
    </row>
  </sheetData>
  <mergeCells count="1">
    <mergeCell ref="O27:P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9A76-7100-44E0-B6D8-10B35BB274D4}">
  <sheetPr codeName="Sheet11">
    <tabColor theme="1"/>
  </sheetPr>
  <dimension ref="A3:AU60"/>
  <sheetViews>
    <sheetView topLeftCell="V7" workbookViewId="0">
      <selection activeCell="F6" sqref="F6"/>
    </sheetView>
  </sheetViews>
  <sheetFormatPr defaultRowHeight="15" x14ac:dyDescent="0.25"/>
  <cols>
    <col min="2" max="2" width="21.7109375" customWidth="1"/>
    <col min="3" max="3" width="13.5703125" customWidth="1"/>
    <col min="4" max="4" width="13.5703125" style="69" bestFit="1" customWidth="1"/>
    <col min="5" max="5" width="14.5703125" style="240" customWidth="1"/>
    <col min="6" max="6" width="12" bestFit="1" customWidth="1"/>
    <col min="7" max="7" width="9.7109375" bestFit="1" customWidth="1"/>
    <col min="8" max="8" width="11.140625" bestFit="1" customWidth="1"/>
    <col min="9" max="9" width="10.42578125" bestFit="1" customWidth="1"/>
    <col min="10" max="10" width="11" bestFit="1" customWidth="1"/>
    <col min="13" max="13" width="19.85546875" bestFit="1" customWidth="1"/>
    <col min="14" max="14" width="9.140625" style="3"/>
    <col min="15" max="15" width="15.5703125" style="69" bestFit="1" customWidth="1"/>
    <col min="16" max="16" width="9.140625" style="163"/>
    <col min="17" max="17" width="13.5703125" style="69" bestFit="1" customWidth="1"/>
    <col min="18" max="18" width="9.140625" style="163"/>
    <col min="19" max="19" width="13.5703125" style="69" bestFit="1" customWidth="1"/>
    <col min="20" max="20" width="9.140625" style="163"/>
    <col min="21" max="21" width="12" style="69" bestFit="1" customWidth="1"/>
    <col min="25" max="25" width="19.28515625" bestFit="1" customWidth="1"/>
    <col min="26" max="26" width="22.28515625" customWidth="1"/>
    <col min="27" max="27" width="13.28515625" bestFit="1" customWidth="1"/>
    <col min="28" max="28" width="9.85546875" bestFit="1" customWidth="1"/>
    <col min="29" max="29" width="11.140625" bestFit="1" customWidth="1"/>
    <col min="30" max="30" width="8.85546875" bestFit="1" customWidth="1"/>
    <col min="31" max="31" width="11.140625" bestFit="1" customWidth="1"/>
    <col min="32" max="32" width="7.5703125" bestFit="1" customWidth="1"/>
    <col min="33" max="33" width="9.5703125" bestFit="1" customWidth="1"/>
    <col min="35" max="35" width="13.7109375" bestFit="1" customWidth="1"/>
    <col min="36" max="36" width="20.7109375" customWidth="1"/>
    <col min="37" max="37" width="13.28515625" bestFit="1" customWidth="1"/>
    <col min="38" max="38" width="9.85546875" bestFit="1" customWidth="1"/>
    <col min="39" max="39" width="11.140625" bestFit="1" customWidth="1"/>
    <col min="40" max="40" width="8.85546875" bestFit="1" customWidth="1"/>
    <col min="41" max="41" width="11.140625" bestFit="1" customWidth="1"/>
    <col min="42" max="42" width="7.5703125" bestFit="1" customWidth="1"/>
    <col min="43" max="43" width="9.5703125" bestFit="1" customWidth="1"/>
  </cols>
  <sheetData>
    <row r="3" spans="2:43" ht="22.5" customHeight="1" x14ac:dyDescent="0.25">
      <c r="B3" s="280" t="s">
        <v>257</v>
      </c>
      <c r="C3" s="280" t="s">
        <v>258</v>
      </c>
      <c r="D3" s="70"/>
      <c r="M3" t="s">
        <v>257</v>
      </c>
      <c r="N3" s="3" t="s">
        <v>259</v>
      </c>
      <c r="Y3" s="280" t="s">
        <v>260</v>
      </c>
      <c r="Z3" s="280" t="s">
        <v>261</v>
      </c>
      <c r="AA3" s="280"/>
      <c r="AB3" s="280"/>
      <c r="AC3" s="280"/>
      <c r="AD3" s="280"/>
      <c r="AI3" s="280" t="s">
        <v>262</v>
      </c>
      <c r="AJ3" s="280" t="s">
        <v>263</v>
      </c>
    </row>
    <row r="4" spans="2:43" s="278" customFormat="1" ht="22.5" customHeight="1" x14ac:dyDescent="0.25">
      <c r="B4" s="282" t="s">
        <v>264</v>
      </c>
      <c r="C4" s="283" t="s">
        <v>42</v>
      </c>
      <c r="D4" s="284" t="s">
        <v>265</v>
      </c>
      <c r="E4" s="288" t="s">
        <v>266</v>
      </c>
      <c r="F4" s="282" t="s">
        <v>267</v>
      </c>
      <c r="G4" s="283" t="s">
        <v>268</v>
      </c>
      <c r="H4" s="282" t="s">
        <v>87</v>
      </c>
      <c r="I4" s="282" t="s">
        <v>269</v>
      </c>
      <c r="J4" s="282" t="s">
        <v>69</v>
      </c>
      <c r="M4" s="278" t="s">
        <v>264</v>
      </c>
      <c r="N4" s="652" t="s">
        <v>42</v>
      </c>
      <c r="O4" s="458" t="s">
        <v>265</v>
      </c>
      <c r="P4" s="457" t="s">
        <v>266</v>
      </c>
      <c r="Q4" s="458" t="s">
        <v>267</v>
      </c>
      <c r="R4" s="457" t="s">
        <v>268</v>
      </c>
      <c r="S4" s="458" t="s">
        <v>87</v>
      </c>
      <c r="T4" s="457" t="s">
        <v>269</v>
      </c>
      <c r="U4" s="458" t="s">
        <v>69</v>
      </c>
      <c r="Y4" s="282" t="s">
        <v>264</v>
      </c>
      <c r="Z4" s="283" t="s">
        <v>42</v>
      </c>
      <c r="AA4" s="284" t="s">
        <v>265</v>
      </c>
      <c r="AB4" s="288" t="s">
        <v>266</v>
      </c>
      <c r="AC4" s="282" t="s">
        <v>267</v>
      </c>
      <c r="AD4" s="283" t="s">
        <v>268</v>
      </c>
      <c r="AE4" s="282" t="s">
        <v>87</v>
      </c>
      <c r="AF4" s="282" t="s">
        <v>269</v>
      </c>
      <c r="AG4" s="282" t="s">
        <v>69</v>
      </c>
      <c r="AI4" s="282" t="s">
        <v>264</v>
      </c>
      <c r="AJ4" s="283" t="s">
        <v>42</v>
      </c>
      <c r="AK4" s="284" t="s">
        <v>265</v>
      </c>
      <c r="AL4" s="288" t="s">
        <v>266</v>
      </c>
      <c r="AM4" s="282" t="s">
        <v>267</v>
      </c>
      <c r="AN4" s="283" t="s">
        <v>268</v>
      </c>
      <c r="AO4" s="282" t="s">
        <v>87</v>
      </c>
      <c r="AP4" s="282" t="s">
        <v>269</v>
      </c>
      <c r="AQ4" s="282" t="s">
        <v>69</v>
      </c>
    </row>
    <row r="5" spans="2:43" ht="22.5" customHeight="1" x14ac:dyDescent="0.25">
      <c r="AA5" s="69"/>
      <c r="AB5" s="240"/>
      <c r="AK5" s="69"/>
      <c r="AL5" s="240"/>
    </row>
    <row r="6" spans="2:43" ht="22.5" customHeight="1" x14ac:dyDescent="0.25">
      <c r="B6" t="s">
        <v>130</v>
      </c>
      <c r="C6" s="653">
        <f>D6/$D$15</f>
        <v>5.0504809882102659E-2</v>
      </c>
      <c r="D6" s="69">
        <f>'What If Options'!A16+'What If Options'!B16</f>
        <v>9076148.8993999995</v>
      </c>
      <c r="E6" s="285">
        <f>'GP Summary'!Z45*10000</f>
        <v>154.93914051185246</v>
      </c>
      <c r="F6" s="71">
        <f t="shared" ref="F6:F13" si="0">E6*D6/10000</f>
        <v>140625.07096306313</v>
      </c>
      <c r="G6" s="285">
        <f>'GP Summary'!Z46*10000</f>
        <v>169.71789116032431</v>
      </c>
      <c r="H6" s="71">
        <f t="shared" ref="H6:H13" si="1">G6*D6/10000</f>
        <v>154038.48510632664</v>
      </c>
      <c r="I6" s="286">
        <f>E6-G6</f>
        <v>-14.778750648471856</v>
      </c>
      <c r="J6" s="71">
        <f>F6-H6</f>
        <v>-13413.414143263508</v>
      </c>
      <c r="M6" t="s">
        <v>130</v>
      </c>
      <c r="N6" s="3">
        <v>5.3385868718721363E-2</v>
      </c>
      <c r="O6" s="69">
        <v>7773747.9000000004</v>
      </c>
      <c r="P6" s="163">
        <v>154.93914051185246</v>
      </c>
      <c r="Q6" s="69">
        <v>120445.7818181818</v>
      </c>
      <c r="R6" s="163">
        <v>169.71789116032431</v>
      </c>
      <c r="S6" s="69">
        <v>131934.40999999997</v>
      </c>
      <c r="T6" s="163">
        <v>-14.778750648471856</v>
      </c>
      <c r="U6" s="69">
        <v>-11488.628181818174</v>
      </c>
      <c r="Y6" t="s">
        <v>130</v>
      </c>
      <c r="Z6" s="279">
        <f>AA6/$D$15</f>
        <v>5.0504809882102659E-2</v>
      </c>
      <c r="AA6" s="69">
        <f>D6</f>
        <v>9076148.8993999995</v>
      </c>
      <c r="AB6" s="285">
        <f>AC6/AA6*10000</f>
        <v>154.93914051185243</v>
      </c>
      <c r="AC6" s="71">
        <f>F6</f>
        <v>140625.07096306313</v>
      </c>
      <c r="AD6" s="285">
        <f>AE6/AA6*10000</f>
        <v>169.71789116032431</v>
      </c>
      <c r="AE6" s="71">
        <f>H6</f>
        <v>154038.48510632664</v>
      </c>
      <c r="AF6" s="286">
        <f>AB6-AD6</f>
        <v>-14.778750648471885</v>
      </c>
      <c r="AG6" s="71">
        <f>AC6-AE6</f>
        <v>-13413.414143263508</v>
      </c>
      <c r="AI6" t="s">
        <v>130</v>
      </c>
      <c r="AJ6" s="279">
        <f>AK6/$D$15</f>
        <v>5.0504809882102659E-2</v>
      </c>
      <c r="AK6" s="69">
        <f>D6</f>
        <v>9076148.8993999995</v>
      </c>
      <c r="AL6" s="285">
        <f>AM6/AK6*10000</f>
        <v>154.93914051185243</v>
      </c>
      <c r="AM6" s="71">
        <f>F6</f>
        <v>140625.07096306313</v>
      </c>
      <c r="AN6" s="285">
        <f>AO6/AK6*10000</f>
        <v>169.71789116032431</v>
      </c>
      <c r="AO6" s="71">
        <f>H6</f>
        <v>154038.48510632664</v>
      </c>
      <c r="AP6" s="286">
        <f>AL6-AN6</f>
        <v>-14.778750648471885</v>
      </c>
      <c r="AQ6" s="71">
        <f>AM6-AO6</f>
        <v>-13413.414143263508</v>
      </c>
    </row>
    <row r="7" spans="2:43" ht="22.5" customHeight="1" x14ac:dyDescent="0.25">
      <c r="B7" t="s">
        <v>3</v>
      </c>
      <c r="C7" s="653">
        <f t="shared" ref="C7:C13" si="2">D7/$D$15</f>
        <v>0.3206982301443993</v>
      </c>
      <c r="D7" s="69">
        <f>'What If Options'!A17+'What If Options'!B17</f>
        <v>57632231.372800022</v>
      </c>
      <c r="E7" s="285">
        <f>'GP Summary'!AA45*10000</f>
        <v>142.99254815956868</v>
      </c>
      <c r="F7" s="71">
        <f t="shared" si="0"/>
        <v>824097.96201185125</v>
      </c>
      <c r="G7" s="285">
        <f>'GP Summary'!AA46*10000</f>
        <v>28.660658557912612</v>
      </c>
      <c r="H7" s="71">
        <f t="shared" si="1"/>
        <v>165177.77053064405</v>
      </c>
      <c r="I7" s="286">
        <f t="shared" ref="I7:I13" si="3">E7-G7</f>
        <v>114.33188960165607</v>
      </c>
      <c r="J7" s="71">
        <f t="shared" ref="J7:J13" si="4">F7-H7</f>
        <v>658920.19148120726</v>
      </c>
      <c r="M7" t="s">
        <v>3</v>
      </c>
      <c r="N7" s="3">
        <v>0.31889493108389483</v>
      </c>
      <c r="O7" s="69">
        <v>46435674.090000018</v>
      </c>
      <c r="P7" s="163">
        <v>142.99254815956868</v>
      </c>
      <c r="Q7" s="69">
        <v>663995.53636363626</v>
      </c>
      <c r="R7" s="163">
        <v>28.660658557912612</v>
      </c>
      <c r="S7" s="69">
        <v>133087.70000000001</v>
      </c>
      <c r="T7" s="163">
        <v>114.33188960165607</v>
      </c>
      <c r="U7" s="69">
        <v>530907.83636363619</v>
      </c>
      <c r="Y7" t="s">
        <v>3</v>
      </c>
      <c r="Z7" s="279">
        <f t="shared" ref="Z7:Z9" si="5">AA7/$D$15</f>
        <v>0.3206982301443993</v>
      </c>
      <c r="AA7" s="69">
        <f>D7</f>
        <v>57632231.372800022</v>
      </c>
      <c r="AB7" s="285">
        <f t="shared" ref="AB7:AB9" si="6">AC7/AA7*10000</f>
        <v>142.99254815956868</v>
      </c>
      <c r="AC7" s="71">
        <f>F7</f>
        <v>824097.96201185125</v>
      </c>
      <c r="AD7" s="285">
        <f t="shared" ref="AD7:AD9" si="7">AE7/AA7*10000</f>
        <v>28.660658557912608</v>
      </c>
      <c r="AE7" s="71">
        <f>H7</f>
        <v>165177.77053064405</v>
      </c>
      <c r="AF7" s="286">
        <f t="shared" ref="AF7:AF9" si="8">AB7-AD7</f>
        <v>114.33188960165607</v>
      </c>
      <c r="AG7" s="71">
        <f t="shared" ref="AG7:AG9" si="9">AC7-AE7</f>
        <v>658920.19148120726</v>
      </c>
      <c r="AI7" t="s">
        <v>3</v>
      </c>
      <c r="AJ7" s="279">
        <f>AK7/$D$15</f>
        <v>0.3206982301443993</v>
      </c>
      <c r="AK7" s="69">
        <f>D7</f>
        <v>57632231.372800022</v>
      </c>
      <c r="AL7" s="285">
        <f t="shared" ref="AL7:AL8" si="10">AM7/AK7*10000</f>
        <v>142.99254815956868</v>
      </c>
      <c r="AM7" s="71">
        <f>F7</f>
        <v>824097.96201185125</v>
      </c>
      <c r="AN7" s="285">
        <f t="shared" ref="AN7:AN8" si="11">AO7/AK7*10000</f>
        <v>28.660658557912608</v>
      </c>
      <c r="AO7" s="71">
        <f>H7</f>
        <v>165177.77053064405</v>
      </c>
      <c r="AP7" s="286">
        <f t="shared" ref="AP7:AP8" si="12">AL7-AN7</f>
        <v>114.33188960165607</v>
      </c>
      <c r="AQ7" s="71">
        <f t="shared" ref="AQ7:AQ8" si="13">AM7-AO7</f>
        <v>658920.19148120726</v>
      </c>
    </row>
    <row r="8" spans="2:43" ht="22.5" customHeight="1" x14ac:dyDescent="0.25">
      <c r="B8" t="s">
        <v>4</v>
      </c>
      <c r="C8" s="653">
        <f t="shared" si="2"/>
        <v>4.0553505985047866E-2</v>
      </c>
      <c r="D8" s="69">
        <f>'What If Options'!A18+'What If Options'!B18</f>
        <v>7287813.9641000014</v>
      </c>
      <c r="E8" s="285">
        <f>'GP Summary'!AB45*10000</f>
        <v>143.45851781578313</v>
      </c>
      <c r="F8" s="71">
        <f t="shared" si="0"/>
        <v>104549.8989406953</v>
      </c>
      <c r="G8" s="285">
        <f>'GP Summary'!AB46*10000</f>
        <v>60.236068170372583</v>
      </c>
      <c r="H8" s="71">
        <f t="shared" si="1"/>
        <v>43898.925875452092</v>
      </c>
      <c r="I8" s="286">
        <f t="shared" si="3"/>
        <v>83.222449645410535</v>
      </c>
      <c r="J8" s="71">
        <f t="shared" si="4"/>
        <v>60650.973065243212</v>
      </c>
      <c r="M8" t="s">
        <v>4</v>
      </c>
      <c r="N8" s="3">
        <v>4.0144580364653022E-2</v>
      </c>
      <c r="O8" s="69">
        <v>5845626.4700000016</v>
      </c>
      <c r="P8" s="163">
        <v>143.45851781578313</v>
      </c>
      <c r="Q8" s="69">
        <v>83860.490909090862</v>
      </c>
      <c r="R8" s="163">
        <v>60.236068170372583</v>
      </c>
      <c r="S8" s="69">
        <v>35211.755454545455</v>
      </c>
      <c r="T8" s="163">
        <v>83.222449645410535</v>
      </c>
      <c r="U8" s="69">
        <v>48648.735454545407</v>
      </c>
      <c r="Y8" s="276" t="s">
        <v>270</v>
      </c>
      <c r="Z8" s="279">
        <f t="shared" si="5"/>
        <v>0.30894347741370576</v>
      </c>
      <c r="AA8" s="69">
        <f>SUM(D9,D11,D13)</f>
        <v>55519801.164499998</v>
      </c>
      <c r="AB8" s="285">
        <f t="shared" si="6"/>
        <v>142.89864700736956</v>
      </c>
      <c r="AC8" s="71">
        <f>SUM(F9,F11,F13)</f>
        <v>793370.44685252302</v>
      </c>
      <c r="AD8" s="285">
        <f t="shared" si="7"/>
        <v>80.330566867498945</v>
      </c>
      <c r="AE8" s="71">
        <f>SUM(H9,H11,H13)</f>
        <v>445993.70999151136</v>
      </c>
      <c r="AF8" s="286">
        <f t="shared" si="8"/>
        <v>62.568080139870617</v>
      </c>
      <c r="AG8" s="71">
        <f t="shared" si="9"/>
        <v>347376.73686101165</v>
      </c>
      <c r="AI8" s="276" t="s">
        <v>271</v>
      </c>
      <c r="AJ8" s="279">
        <f>AK8/$D$15</f>
        <v>0.62879695997349805</v>
      </c>
      <c r="AK8" s="69">
        <f>SUM(D8:D13)</f>
        <v>113000224.12780002</v>
      </c>
      <c r="AL8" s="285">
        <f t="shared" si="10"/>
        <v>145.38038470467728</v>
      </c>
      <c r="AM8" s="71">
        <f>SUM(F8:F13)</f>
        <v>1642801.6055414323</v>
      </c>
      <c r="AN8" s="285">
        <f t="shared" si="11"/>
        <v>95.711631460310002</v>
      </c>
      <c r="AO8" s="71">
        <f>SUM(H8:H13)</f>
        <v>1081543.5806652426</v>
      </c>
      <c r="AP8" s="286">
        <f t="shared" si="12"/>
        <v>49.668753244367281</v>
      </c>
      <c r="AQ8" s="71">
        <f t="shared" si="13"/>
        <v>561258.02487618965</v>
      </c>
    </row>
    <row r="9" spans="2:43" ht="22.5" customHeight="1" x14ac:dyDescent="0.25">
      <c r="B9" t="s">
        <v>5</v>
      </c>
      <c r="C9" s="653">
        <f t="shared" si="2"/>
        <v>0.22558468242770457</v>
      </c>
      <c r="D9" s="69">
        <f>'What If Options'!A19+'What If Options'!B19</f>
        <v>40539508.453100003</v>
      </c>
      <c r="E9" s="285">
        <f>'GP Summary'!AC45*10000</f>
        <v>143.21774507854948</v>
      </c>
      <c r="F9" s="71">
        <f t="shared" si="0"/>
        <v>580597.69872457779</v>
      </c>
      <c r="G9" s="285">
        <f>'GP Summary'!AC46*10000</f>
        <v>65.927949272184037</v>
      </c>
      <c r="H9" s="71">
        <f t="shared" si="1"/>
        <v>267268.66568152525</v>
      </c>
      <c r="I9" s="286">
        <f t="shared" si="3"/>
        <v>77.289795806365447</v>
      </c>
      <c r="J9" s="71">
        <f t="shared" si="4"/>
        <v>313329.03304305254</v>
      </c>
      <c r="M9" t="s">
        <v>5</v>
      </c>
      <c r="N9" s="3">
        <v>0.22471477475541493</v>
      </c>
      <c r="O9" s="69">
        <v>32721693.030000001</v>
      </c>
      <c r="P9" s="163">
        <v>143.21774507854948</v>
      </c>
      <c r="Q9" s="69">
        <v>468632.70909090899</v>
      </c>
      <c r="R9" s="163">
        <v>65.927949272184037</v>
      </c>
      <c r="S9" s="69">
        <v>215727.4118181818</v>
      </c>
      <c r="T9" s="163">
        <v>77.289795806365447</v>
      </c>
      <c r="U9" s="69">
        <v>252905.29727272718</v>
      </c>
      <c r="Y9" s="276" t="s">
        <v>272</v>
      </c>
      <c r="Z9" s="279">
        <f t="shared" si="5"/>
        <v>0.31985348255979223</v>
      </c>
      <c r="AA9" s="69">
        <f>SUM(D8,D10,D12)</f>
        <v>57480422.963300012</v>
      </c>
      <c r="AB9" s="285">
        <f t="shared" si="6"/>
        <v>147.77747185876697</v>
      </c>
      <c r="AC9" s="71">
        <f>SUM(F8,F10,F12)</f>
        <v>849431.15868890914</v>
      </c>
      <c r="AD9" s="285">
        <f t="shared" si="7"/>
        <v>110.56805742009171</v>
      </c>
      <c r="AE9" s="71">
        <f>SUM(H8,H10,H12)</f>
        <v>635549.87067373132</v>
      </c>
      <c r="AF9" s="286">
        <f t="shared" si="8"/>
        <v>37.209414438675267</v>
      </c>
      <c r="AG9" s="71">
        <f t="shared" si="9"/>
        <v>213881.28801517782</v>
      </c>
      <c r="AJ9" s="279"/>
      <c r="AK9" s="69"/>
      <c r="AL9" s="285"/>
      <c r="AM9" s="71"/>
      <c r="AN9" s="285"/>
      <c r="AO9" s="71"/>
      <c r="AP9" s="286"/>
      <c r="AQ9" s="71"/>
    </row>
    <row r="10" spans="2:43" ht="22.5" customHeight="1" x14ac:dyDescent="0.25">
      <c r="B10" t="s">
        <v>131</v>
      </c>
      <c r="C10" s="653">
        <f t="shared" si="2"/>
        <v>0.25452682626864803</v>
      </c>
      <c r="D10" s="69">
        <f>'What If Options'!A20+'What If Options'!B20</f>
        <v>45740660.731100008</v>
      </c>
      <c r="E10" s="285">
        <f>'GP Summary'!AD45*10000</f>
        <v>148.69146331982427</v>
      </c>
      <c r="F10" s="71">
        <f t="shared" si="0"/>
        <v>680124.57773228828</v>
      </c>
      <c r="G10" s="285">
        <f>'GP Summary'!AD46*10000</f>
        <v>100.86833162399658</v>
      </c>
      <c r="H10" s="71">
        <f t="shared" si="1"/>
        <v>461378.41353253135</v>
      </c>
      <c r="I10" s="286">
        <f t="shared" si="3"/>
        <v>47.823131695827684</v>
      </c>
      <c r="J10" s="71">
        <f t="shared" si="4"/>
        <v>218746.16419975692</v>
      </c>
      <c r="M10" t="s">
        <v>131</v>
      </c>
      <c r="N10" s="3">
        <v>0.25481407643310816</v>
      </c>
      <c r="O10" s="69">
        <v>37104582.900000006</v>
      </c>
      <c r="P10" s="163">
        <v>148.69146331982427</v>
      </c>
      <c r="Q10" s="69">
        <v>551713.47272727301</v>
      </c>
      <c r="R10" s="163">
        <v>100.86833162399658</v>
      </c>
      <c r="S10" s="69">
        <v>374267.73727272736</v>
      </c>
      <c r="T10" s="163">
        <v>47.823131695827684</v>
      </c>
      <c r="U10" s="69">
        <v>177445.73545454565</v>
      </c>
      <c r="Z10" s="279"/>
      <c r="AA10" s="69"/>
      <c r="AB10" s="285"/>
      <c r="AC10" s="71"/>
      <c r="AD10" s="285"/>
      <c r="AE10" s="71"/>
      <c r="AF10" s="286"/>
      <c r="AG10" s="71"/>
      <c r="AJ10" s="279"/>
      <c r="AK10" s="69"/>
      <c r="AL10" s="285"/>
      <c r="AM10" s="71"/>
      <c r="AN10" s="285"/>
      <c r="AO10" s="71"/>
      <c r="AP10" s="286"/>
      <c r="AQ10" s="71"/>
    </row>
    <row r="11" spans="2:43" ht="22.5" customHeight="1" x14ac:dyDescent="0.25">
      <c r="B11" t="s">
        <v>7</v>
      </c>
      <c r="C11" s="653">
        <f t="shared" si="2"/>
        <v>6.0059880831170691E-2</v>
      </c>
      <c r="D11" s="69">
        <f>'What If Options'!A21+'What If Options'!B21</f>
        <v>10793277.364599999</v>
      </c>
      <c r="E11" s="285">
        <f>'GP Summary'!AE45*10000</f>
        <v>142.98844600659757</v>
      </c>
      <c r="F11" s="71">
        <f t="shared" si="0"/>
        <v>154331.39576823387</v>
      </c>
      <c r="G11" s="285">
        <f>'GP Summary'!AE46*10000</f>
        <v>54.90928046317822</v>
      </c>
      <c r="H11" s="71">
        <f t="shared" si="1"/>
        <v>59265.10939296944</v>
      </c>
      <c r="I11" s="286">
        <f t="shared" si="3"/>
        <v>88.07916554341935</v>
      </c>
      <c r="J11" s="71">
        <f t="shared" si="4"/>
        <v>95066.286375264433</v>
      </c>
      <c r="M11" t="s">
        <v>7</v>
      </c>
      <c r="N11" s="3">
        <v>5.9184166091600793E-2</v>
      </c>
      <c r="O11" s="69">
        <v>8618063.129999999</v>
      </c>
      <c r="P11" s="163">
        <v>142.98844600659757</v>
      </c>
      <c r="Q11" s="69">
        <v>123228.3454545454</v>
      </c>
      <c r="R11" s="163">
        <v>54.90928046317822</v>
      </c>
      <c r="S11" s="69">
        <v>47321.164545454551</v>
      </c>
      <c r="T11" s="163">
        <v>88.07916554341935</v>
      </c>
      <c r="U11" s="69">
        <v>75907.18090909085</v>
      </c>
      <c r="Z11" s="279"/>
      <c r="AA11" s="69"/>
      <c r="AB11" s="285"/>
      <c r="AC11" s="71"/>
      <c r="AD11" s="285"/>
      <c r="AE11" s="71"/>
      <c r="AF11" s="286"/>
      <c r="AG11" s="71"/>
      <c r="AJ11" s="279"/>
      <c r="AK11" s="69"/>
      <c r="AL11" s="285"/>
      <c r="AM11" s="71"/>
      <c r="AN11" s="285"/>
      <c r="AO11" s="71"/>
      <c r="AP11" s="286"/>
      <c r="AQ11" s="71"/>
    </row>
    <row r="12" spans="2:43" ht="22.5" customHeight="1" x14ac:dyDescent="0.25">
      <c r="B12" t="s">
        <v>132</v>
      </c>
      <c r="C12" s="653">
        <f t="shared" si="2"/>
        <v>2.4773150306096305E-2</v>
      </c>
      <c r="D12" s="69">
        <f>'What If Options'!A22+'What If Options'!B22</f>
        <v>4451948.2681000009</v>
      </c>
      <c r="E12" s="285">
        <f>'GP Summary'!AF45*10000</f>
        <v>145.45695079148425</v>
      </c>
      <c r="F12" s="71">
        <f t="shared" si="0"/>
        <v>64756.682015925537</v>
      </c>
      <c r="G12" s="285">
        <f>'GP Summary'!AF46*10000</f>
        <v>292.619148787516</v>
      </c>
      <c r="H12" s="71">
        <f t="shared" si="1"/>
        <v>130272.53126574784</v>
      </c>
      <c r="I12" s="286">
        <f t="shared" si="3"/>
        <v>-147.16219799603175</v>
      </c>
      <c r="J12" s="71">
        <f t="shared" si="4"/>
        <v>-65515.849249822299</v>
      </c>
      <c r="M12" t="s">
        <v>132</v>
      </c>
      <c r="N12" s="3">
        <v>2.4883934128316128E-2</v>
      </c>
      <c r="O12" s="69">
        <v>3623457.5800000005</v>
      </c>
      <c r="P12" s="163">
        <v>145.45695079148425</v>
      </c>
      <c r="Q12" s="69">
        <v>52705.709090909069</v>
      </c>
      <c r="R12" s="163">
        <v>292.619148787516</v>
      </c>
      <c r="S12" s="69">
        <v>106029.30727272728</v>
      </c>
      <c r="T12" s="163">
        <v>-147.16219799603175</v>
      </c>
      <c r="U12" s="69">
        <v>-53323.598181818212</v>
      </c>
      <c r="Z12" s="279"/>
      <c r="AA12" s="69"/>
      <c r="AB12" s="285"/>
      <c r="AC12" s="71"/>
      <c r="AD12" s="285"/>
      <c r="AE12" s="71"/>
      <c r="AF12" s="286"/>
      <c r="AG12" s="71"/>
      <c r="AJ12" s="279"/>
      <c r="AK12" s="69"/>
      <c r="AL12" s="285"/>
      <c r="AM12" s="71"/>
      <c r="AN12" s="285"/>
      <c r="AO12" s="71"/>
      <c r="AP12" s="286"/>
      <c r="AQ12" s="71"/>
    </row>
    <row r="13" spans="2:43" ht="22.5" customHeight="1" x14ac:dyDescent="0.25">
      <c r="B13" t="s">
        <v>133</v>
      </c>
      <c r="C13" s="653">
        <f t="shared" si="2"/>
        <v>2.3298914154830527E-2</v>
      </c>
      <c r="D13" s="69">
        <f>'What If Options'!A23+'What If Options'!B23</f>
        <v>4187015.3468000004</v>
      </c>
      <c r="E13" s="285">
        <f>'GP Summary'!AG45*10000</f>
        <v>139.5775929132339</v>
      </c>
      <c r="F13" s="71">
        <f t="shared" si="0"/>
        <v>58441.352359711338</v>
      </c>
      <c r="G13" s="285">
        <f>'GP Summary'!AG46*10000</f>
        <v>285.31047780447233</v>
      </c>
      <c r="H13" s="71">
        <f t="shared" si="1"/>
        <v>119459.93491701665</v>
      </c>
      <c r="I13" s="286">
        <f t="shared" si="3"/>
        <v>-145.73288489123843</v>
      </c>
      <c r="J13" s="71">
        <f t="shared" si="4"/>
        <v>-61018.582557305315</v>
      </c>
      <c r="M13" t="s">
        <v>133</v>
      </c>
      <c r="N13" s="3">
        <v>2.3977668424290749E-2</v>
      </c>
      <c r="O13" s="69">
        <v>3491492.3000000003</v>
      </c>
      <c r="P13" s="163">
        <v>139.5775929132339</v>
      </c>
      <c r="Q13" s="69">
        <v>48733.409090909074</v>
      </c>
      <c r="R13" s="163">
        <v>285.31047780447233</v>
      </c>
      <c r="S13" s="69">
        <v>99615.93363636361</v>
      </c>
      <c r="T13" s="163">
        <v>-145.73288489123843</v>
      </c>
      <c r="U13" s="69">
        <v>-50882.524545454537</v>
      </c>
      <c r="Z13" s="279"/>
      <c r="AA13" s="69"/>
      <c r="AB13" s="285"/>
      <c r="AC13" s="71"/>
      <c r="AD13" s="285"/>
      <c r="AE13" s="71"/>
      <c r="AF13" s="286"/>
      <c r="AG13" s="71"/>
      <c r="AJ13" s="279"/>
      <c r="AK13" s="69"/>
      <c r="AL13" s="285"/>
      <c r="AM13" s="71"/>
      <c r="AN13" s="285"/>
      <c r="AO13" s="71"/>
      <c r="AP13" s="286"/>
      <c r="AQ13" s="71"/>
    </row>
    <row r="14" spans="2:43" ht="22.5" customHeight="1" x14ac:dyDescent="0.25">
      <c r="C14" s="116"/>
      <c r="F14" s="71"/>
      <c r="G14" s="250"/>
      <c r="Z14" s="116"/>
      <c r="AA14" s="69"/>
      <c r="AB14" s="240"/>
      <c r="AC14" s="71"/>
      <c r="AD14" s="250"/>
      <c r="AJ14" s="116"/>
      <c r="AK14" s="69"/>
      <c r="AL14" s="240"/>
      <c r="AM14" s="71"/>
      <c r="AN14" s="250"/>
    </row>
    <row r="15" spans="2:43" ht="22.5" customHeight="1" x14ac:dyDescent="0.25">
      <c r="B15" s="280" t="s">
        <v>10</v>
      </c>
      <c r="C15" s="281">
        <f>SUM(C6:C13)</f>
        <v>0.99999999999999978</v>
      </c>
      <c r="D15" s="70">
        <f>SUM(D6:D13)</f>
        <v>179708604.40000004</v>
      </c>
      <c r="E15" s="289">
        <f>F15/D15*10000</f>
        <v>145.09737289553766</v>
      </c>
      <c r="F15" s="70">
        <f>SUM(F6:F13)</f>
        <v>2607524.6385163465</v>
      </c>
      <c r="G15" s="290">
        <f>H15/D15*10000</f>
        <v>77.946175197285811</v>
      </c>
      <c r="H15" s="70">
        <f>SUM(H6:H13)</f>
        <v>1400759.8363022131</v>
      </c>
      <c r="I15" s="307">
        <f>E15-G15</f>
        <v>67.151197698251849</v>
      </c>
      <c r="J15" s="70">
        <f>SUM(J6:J13)</f>
        <v>1206764.8022141333</v>
      </c>
      <c r="M15" t="s">
        <v>10</v>
      </c>
      <c r="N15" s="3">
        <v>1</v>
      </c>
      <c r="O15" s="69">
        <v>145614337.40000004</v>
      </c>
      <c r="P15" s="163">
        <v>145.13100099066577</v>
      </c>
      <c r="Q15" s="69">
        <v>2113315.4545454546</v>
      </c>
      <c r="R15" s="163">
        <v>78.508438139553675</v>
      </c>
      <c r="S15" s="69">
        <v>1143195.4200000002</v>
      </c>
      <c r="T15" s="163">
        <v>66.622562851112093</v>
      </c>
      <c r="U15" s="69">
        <v>970120.0345454542</v>
      </c>
      <c r="Y15" s="280" t="s">
        <v>10</v>
      </c>
      <c r="Z15" s="281">
        <f>SUM(Z6:Z13)</f>
        <v>1</v>
      </c>
      <c r="AA15" s="70">
        <f>SUM(AA6:AA13)</f>
        <v>179708604.40000004</v>
      </c>
      <c r="AB15" s="289">
        <f>AC15/AA15*10000</f>
        <v>145.09737289553769</v>
      </c>
      <c r="AC15" s="70">
        <f>SUM(AC6:AC13)</f>
        <v>2607524.6385163469</v>
      </c>
      <c r="AD15" s="290">
        <f>AE15/AA15*10000</f>
        <v>77.946175197285825</v>
      </c>
      <c r="AE15" s="70">
        <f>SUM(AE6:AE13)</f>
        <v>1400759.8363022134</v>
      </c>
      <c r="AF15" s="287">
        <f>AG15/AA15</f>
        <v>6.7151197698251831E-3</v>
      </c>
      <c r="AG15" s="70">
        <f>SUM(AG6:AG13)</f>
        <v>1206764.8022141331</v>
      </c>
      <c r="AI15" s="280" t="s">
        <v>10</v>
      </c>
      <c r="AJ15" s="281">
        <f>SUM(AJ6:AJ13)</f>
        <v>1</v>
      </c>
      <c r="AK15" s="70">
        <f>SUM(AK6:AK13)</f>
        <v>179708604.40000004</v>
      </c>
      <c r="AL15" s="289">
        <f>AM15/AK15*10000</f>
        <v>145.09737289553769</v>
      </c>
      <c r="AM15" s="70">
        <f>SUM(AM6:AM13)</f>
        <v>2607524.6385163469</v>
      </c>
      <c r="AN15" s="290">
        <f>AO15/AK15*10000</f>
        <v>77.946175197285825</v>
      </c>
      <c r="AO15" s="70">
        <f>SUM(AO6:AO13)</f>
        <v>1400759.8363022134</v>
      </c>
      <c r="AP15" s="287">
        <f>AQ15/AK15</f>
        <v>6.7151197698251857E-3</v>
      </c>
      <c r="AQ15" s="70">
        <f>SUM(AQ6:AQ13)</f>
        <v>1206764.8022141336</v>
      </c>
    </row>
    <row r="16" spans="2:43" ht="22.5" customHeight="1" x14ac:dyDescent="0.25">
      <c r="G16" s="250"/>
    </row>
    <row r="17" spans="1:35" ht="22.5" customHeight="1" x14ac:dyDescent="0.25">
      <c r="G17" s="250"/>
    </row>
    <row r="18" spans="1:35" ht="22.5" customHeight="1" x14ac:dyDescent="0.25">
      <c r="A18" s="319"/>
      <c r="B18" s="327"/>
      <c r="C18" s="327"/>
      <c r="D18" s="673"/>
      <c r="E18" s="674"/>
      <c r="F18" s="319"/>
      <c r="G18" s="319"/>
      <c r="H18" s="319"/>
      <c r="I18" s="319"/>
      <c r="J18" s="319"/>
      <c r="K18" s="319"/>
      <c r="L18" s="319"/>
      <c r="M18" s="319"/>
      <c r="N18" s="675"/>
      <c r="O18" s="672"/>
      <c r="P18" s="676"/>
      <c r="Q18" s="672"/>
      <c r="R18" s="676"/>
      <c r="S18" s="672"/>
      <c r="T18" s="676"/>
      <c r="U18" s="672"/>
      <c r="V18" s="319"/>
      <c r="W18" s="319"/>
      <c r="AI18" s="280" t="s">
        <v>273</v>
      </c>
    </row>
    <row r="19" spans="1:35" ht="22.5" customHeight="1" x14ac:dyDescent="0.25">
      <c r="A19" s="319"/>
      <c r="B19" s="677"/>
      <c r="C19" s="677"/>
      <c r="D19" s="678"/>
      <c r="E19" s="679"/>
      <c r="F19" s="677"/>
      <c r="G19" s="677"/>
      <c r="H19" s="677"/>
      <c r="I19" s="677"/>
      <c r="J19" s="677"/>
      <c r="K19" s="319"/>
      <c r="L19" s="319"/>
      <c r="M19" s="319"/>
      <c r="N19" s="675"/>
      <c r="O19" s="672"/>
      <c r="P19" s="676"/>
      <c r="Q19" s="672"/>
      <c r="R19" s="676"/>
      <c r="S19" s="672"/>
      <c r="T19" s="676"/>
      <c r="U19" s="672"/>
      <c r="V19" s="319"/>
      <c r="W19" s="319"/>
    </row>
    <row r="20" spans="1:35" ht="22.5" customHeight="1" x14ac:dyDescent="0.25">
      <c r="A20" s="319"/>
      <c r="B20" s="319"/>
      <c r="C20" s="319"/>
      <c r="D20" s="672"/>
      <c r="E20" s="674"/>
      <c r="F20" s="319"/>
      <c r="G20" s="680"/>
      <c r="H20" s="319"/>
      <c r="I20" s="319"/>
      <c r="J20" s="319"/>
      <c r="K20" s="319"/>
      <c r="L20" s="319"/>
      <c r="M20" s="319"/>
      <c r="N20" s="675"/>
      <c r="O20" s="672"/>
      <c r="P20" s="676"/>
      <c r="Q20" s="672"/>
      <c r="R20" s="676"/>
      <c r="S20" s="672"/>
      <c r="T20" s="676"/>
      <c r="U20" s="672"/>
      <c r="V20" s="319"/>
      <c r="W20" s="319"/>
    </row>
    <row r="21" spans="1:35" ht="22.5" customHeight="1" x14ac:dyDescent="0.25">
      <c r="A21" s="319"/>
      <c r="B21" s="319"/>
      <c r="C21" s="675"/>
      <c r="D21" s="672"/>
      <c r="E21" s="674"/>
      <c r="F21" s="681"/>
      <c r="G21" s="674"/>
      <c r="H21" s="681"/>
      <c r="I21" s="676"/>
      <c r="J21" s="681"/>
      <c r="K21" s="319"/>
      <c r="L21" s="319"/>
      <c r="M21" s="319"/>
      <c r="N21" s="675"/>
      <c r="O21" s="672"/>
      <c r="P21" s="676"/>
      <c r="Q21" s="672"/>
      <c r="R21" s="676"/>
      <c r="S21" s="672"/>
      <c r="T21" s="676"/>
      <c r="U21" s="672"/>
      <c r="V21" s="319"/>
      <c r="W21" s="319"/>
    </row>
    <row r="22" spans="1:35" ht="22.5" customHeight="1" x14ac:dyDescent="0.25">
      <c r="A22" s="319"/>
      <c r="B22" s="319"/>
      <c r="C22" s="675"/>
      <c r="D22" s="672"/>
      <c r="E22" s="674"/>
      <c r="F22" s="681"/>
      <c r="G22" s="674"/>
      <c r="H22" s="681"/>
      <c r="I22" s="676"/>
      <c r="J22" s="681"/>
      <c r="K22" s="319"/>
      <c r="L22" s="319"/>
      <c r="M22" s="319"/>
      <c r="N22" s="675"/>
      <c r="O22" s="672"/>
      <c r="P22" s="676"/>
      <c r="Q22" s="672"/>
      <c r="R22" s="676"/>
      <c r="S22" s="672"/>
      <c r="T22" s="676"/>
      <c r="U22" s="672"/>
      <c r="V22" s="319"/>
      <c r="W22" s="319"/>
    </row>
    <row r="23" spans="1:35" ht="22.5" customHeight="1" x14ac:dyDescent="0.25">
      <c r="A23" s="319"/>
      <c r="B23" s="319"/>
      <c r="C23" s="675"/>
      <c r="D23" s="672"/>
      <c r="E23" s="674"/>
      <c r="F23" s="681"/>
      <c r="G23" s="674"/>
      <c r="H23" s="681"/>
      <c r="I23" s="676"/>
      <c r="J23" s="681"/>
      <c r="K23" s="319"/>
      <c r="L23" s="319"/>
      <c r="M23" s="319"/>
      <c r="N23" s="675"/>
      <c r="O23" s="672"/>
      <c r="P23" s="676"/>
      <c r="Q23" s="672"/>
      <c r="R23" s="676"/>
      <c r="S23" s="672"/>
      <c r="T23" s="676"/>
      <c r="U23" s="672"/>
      <c r="V23" s="319"/>
      <c r="W23" s="319"/>
    </row>
    <row r="24" spans="1:35" ht="22.5" customHeight="1" x14ac:dyDescent="0.25">
      <c r="A24" s="319"/>
      <c r="B24" s="319"/>
      <c r="C24" s="675"/>
      <c r="D24" s="672"/>
      <c r="E24" s="674"/>
      <c r="F24" s="681"/>
      <c r="G24" s="674"/>
      <c r="H24" s="681"/>
      <c r="I24" s="676"/>
      <c r="J24" s="681"/>
      <c r="K24" s="319"/>
      <c r="L24" s="319"/>
      <c r="M24" s="319"/>
      <c r="N24" s="675"/>
      <c r="O24" s="672"/>
      <c r="P24" s="676"/>
      <c r="Q24" s="672"/>
      <c r="R24" s="676"/>
      <c r="S24" s="672"/>
      <c r="T24" s="676"/>
      <c r="U24" s="672"/>
      <c r="V24" s="319"/>
      <c r="W24" s="319"/>
    </row>
    <row r="25" spans="1:35" ht="22.5" customHeight="1" x14ac:dyDescent="0.25">
      <c r="A25" s="319"/>
      <c r="B25" s="319"/>
      <c r="C25" s="675"/>
      <c r="D25" s="672"/>
      <c r="E25" s="674"/>
      <c r="F25" s="681"/>
      <c r="G25" s="674"/>
      <c r="H25" s="681"/>
      <c r="I25" s="676"/>
      <c r="J25" s="681"/>
      <c r="K25" s="319"/>
      <c r="L25" s="319"/>
      <c r="M25" s="319"/>
      <c r="N25" s="675"/>
      <c r="O25" s="672"/>
      <c r="P25" s="676"/>
      <c r="Q25" s="672"/>
      <c r="R25" s="676"/>
      <c r="S25" s="672"/>
      <c r="T25" s="676"/>
      <c r="U25" s="672"/>
      <c r="V25" s="319"/>
      <c r="W25" s="319"/>
    </row>
    <row r="26" spans="1:35" ht="22.5" customHeight="1" x14ac:dyDescent="0.25">
      <c r="A26" s="319"/>
      <c r="B26" s="319"/>
      <c r="C26" s="675"/>
      <c r="D26" s="672"/>
      <c r="E26" s="674"/>
      <c r="F26" s="681"/>
      <c r="G26" s="674"/>
      <c r="H26" s="681"/>
      <c r="I26" s="676"/>
      <c r="J26" s="681"/>
      <c r="K26" s="319"/>
      <c r="L26" s="319"/>
      <c r="M26" s="319"/>
      <c r="N26" s="675"/>
      <c r="O26" s="672"/>
      <c r="P26" s="676"/>
      <c r="Q26" s="672"/>
      <c r="R26" s="676"/>
      <c r="S26" s="672"/>
      <c r="T26" s="676"/>
      <c r="U26" s="672"/>
      <c r="V26" s="319"/>
      <c r="W26" s="319"/>
    </row>
    <row r="27" spans="1:35" ht="22.5" customHeight="1" x14ac:dyDescent="0.25">
      <c r="A27" s="319"/>
      <c r="B27" s="319"/>
      <c r="C27" s="675"/>
      <c r="D27" s="672"/>
      <c r="E27" s="674"/>
      <c r="F27" s="681"/>
      <c r="G27" s="674"/>
      <c r="H27" s="681"/>
      <c r="I27" s="676"/>
      <c r="J27" s="681"/>
      <c r="K27" s="319"/>
      <c r="L27" s="319"/>
      <c r="M27" s="319"/>
      <c r="N27" s="675"/>
      <c r="O27" s="672"/>
      <c r="P27" s="676"/>
      <c r="Q27" s="672"/>
      <c r="R27" s="676"/>
      <c r="S27" s="672"/>
      <c r="T27" s="676"/>
      <c r="U27" s="672"/>
      <c r="V27" s="319"/>
      <c r="W27" s="319"/>
    </row>
    <row r="28" spans="1:35" ht="22.5" customHeight="1" x14ac:dyDescent="0.25">
      <c r="A28" s="319"/>
      <c r="B28" s="319"/>
      <c r="C28" s="675"/>
      <c r="D28" s="672"/>
      <c r="E28" s="674"/>
      <c r="F28" s="681"/>
      <c r="G28" s="674"/>
      <c r="H28" s="681"/>
      <c r="I28" s="676"/>
      <c r="J28" s="681"/>
      <c r="K28" s="319"/>
      <c r="L28" s="319"/>
      <c r="M28" s="319"/>
      <c r="N28" s="675"/>
      <c r="O28" s="672"/>
      <c r="P28" s="676"/>
      <c r="Q28" s="672"/>
      <c r="R28" s="676"/>
      <c r="S28" s="672"/>
      <c r="T28" s="676"/>
      <c r="U28" s="672"/>
      <c r="V28" s="319"/>
      <c r="W28" s="319"/>
    </row>
    <row r="29" spans="1:35" ht="22.5" customHeight="1" x14ac:dyDescent="0.25">
      <c r="A29" s="319"/>
      <c r="B29" s="319"/>
      <c r="C29" s="385"/>
      <c r="D29" s="672"/>
      <c r="E29" s="674"/>
      <c r="F29" s="681"/>
      <c r="G29" s="680"/>
      <c r="H29" s="319"/>
      <c r="I29" s="319"/>
      <c r="J29" s="319"/>
      <c r="K29" s="319"/>
      <c r="L29" s="319"/>
      <c r="M29" s="319"/>
      <c r="N29" s="675"/>
      <c r="O29" s="672"/>
      <c r="P29" s="676"/>
      <c r="Q29" s="672"/>
      <c r="R29" s="676"/>
      <c r="S29" s="672"/>
      <c r="T29" s="676"/>
      <c r="U29" s="672"/>
      <c r="V29" s="319"/>
      <c r="W29" s="319"/>
    </row>
    <row r="30" spans="1:35" ht="22.5" customHeight="1" x14ac:dyDescent="0.25">
      <c r="A30" s="319"/>
      <c r="B30" s="327"/>
      <c r="C30" s="682"/>
      <c r="D30" s="673"/>
      <c r="E30" s="683"/>
      <c r="F30" s="673"/>
      <c r="G30" s="683"/>
      <c r="H30" s="673"/>
      <c r="I30" s="684"/>
      <c r="J30" s="673"/>
      <c r="K30" s="675"/>
      <c r="L30" s="675"/>
      <c r="M30" s="675"/>
      <c r="N30" s="675"/>
      <c r="O30" s="672"/>
      <c r="P30" s="676"/>
      <c r="Q30" s="672"/>
      <c r="R30" s="676"/>
      <c r="S30" s="672"/>
      <c r="T30" s="676"/>
      <c r="U30" s="672"/>
      <c r="V30" s="675"/>
      <c r="W30" s="675"/>
    </row>
    <row r="31" spans="1:35" ht="22.5" customHeight="1" x14ac:dyDescent="0.25">
      <c r="A31" s="319"/>
      <c r="B31" s="319"/>
      <c r="C31" s="319"/>
      <c r="D31" s="672"/>
      <c r="E31" s="674"/>
      <c r="F31" s="319"/>
      <c r="G31" s="319"/>
      <c r="H31" s="319"/>
      <c r="I31" s="319"/>
      <c r="J31" s="319"/>
      <c r="K31" s="319"/>
      <c r="L31" s="319"/>
      <c r="M31" s="319"/>
      <c r="N31" s="675"/>
      <c r="O31" s="672"/>
      <c r="P31" s="676"/>
      <c r="Q31" s="672"/>
      <c r="R31" s="676"/>
      <c r="S31" s="672"/>
      <c r="T31" s="676"/>
      <c r="U31" s="672"/>
      <c r="V31" s="319"/>
      <c r="W31" s="319"/>
    </row>
    <row r="32" spans="1:35" ht="22.5" customHeight="1" x14ac:dyDescent="0.25">
      <c r="A32" s="319"/>
      <c r="B32" s="319"/>
      <c r="C32" s="319"/>
      <c r="D32" s="672"/>
      <c r="E32" s="674"/>
      <c r="F32" s="319"/>
      <c r="G32" s="319"/>
      <c r="H32" s="319"/>
      <c r="I32" s="319"/>
      <c r="J32" s="319"/>
      <c r="K32" s="319"/>
      <c r="L32" s="319"/>
      <c r="M32" s="319"/>
      <c r="N32" s="675"/>
      <c r="O32" s="672"/>
      <c r="P32" s="676"/>
      <c r="Q32" s="672"/>
      <c r="R32" s="676"/>
      <c r="S32" s="672"/>
      <c r="T32" s="676"/>
      <c r="U32" s="672"/>
      <c r="V32" s="319"/>
      <c r="W32" s="319"/>
    </row>
    <row r="33" spans="1:47" ht="22.5" customHeight="1" x14ac:dyDescent="0.25">
      <c r="A33" s="319"/>
      <c r="B33" s="319"/>
      <c r="C33" s="319"/>
      <c r="D33" s="672"/>
      <c r="E33" s="674"/>
      <c r="F33" s="319"/>
      <c r="G33" s="319"/>
      <c r="H33" s="319"/>
      <c r="I33" s="319"/>
      <c r="J33" s="319"/>
      <c r="K33" s="319"/>
      <c r="L33" s="319"/>
      <c r="M33" s="319"/>
      <c r="N33" s="675"/>
      <c r="O33" s="672"/>
      <c r="P33" s="676"/>
      <c r="Q33" s="672"/>
      <c r="R33" s="676"/>
      <c r="S33" s="672"/>
      <c r="T33" s="676"/>
      <c r="U33" s="672"/>
      <c r="V33" s="319"/>
      <c r="W33" s="319"/>
    </row>
    <row r="34" spans="1:47" ht="22.5" customHeight="1" x14ac:dyDescent="0.25"/>
    <row r="35" spans="1:47" ht="22.5" customHeight="1" x14ac:dyDescent="0.25"/>
    <row r="36" spans="1:47" ht="22.5" customHeight="1" x14ac:dyDescent="0.25">
      <c r="AK36" s="276" t="s">
        <v>67</v>
      </c>
      <c r="AM36" s="3">
        <f>1774034/110297914</f>
        <v>1.6084021317030527E-2</v>
      </c>
      <c r="AR36" s="276" t="s">
        <v>67</v>
      </c>
      <c r="AU36" s="3">
        <f>7466413/468653399</f>
        <v>1.5931630957828603E-2</v>
      </c>
    </row>
    <row r="37" spans="1:47" ht="22.5" customHeight="1" x14ac:dyDescent="0.25"/>
    <row r="38" spans="1:47" ht="22.5" customHeight="1" thickBot="1" x14ac:dyDescent="0.3"/>
    <row r="39" spans="1:47" ht="22.5" customHeight="1" thickBot="1" x14ac:dyDescent="0.3">
      <c r="B39" s="955" t="s">
        <v>274</v>
      </c>
      <c r="C39" s="956"/>
      <c r="D39" s="621"/>
      <c r="E39" s="957" t="s">
        <v>275</v>
      </c>
      <c r="F39" s="958"/>
      <c r="G39" s="621"/>
      <c r="H39" s="622" t="s">
        <v>276</v>
      </c>
      <c r="I39" s="623" t="s">
        <v>194</v>
      </c>
      <c r="AD39" s="276" t="s">
        <v>3</v>
      </c>
      <c r="AE39" s="487">
        <f>74142.23/1739689</f>
        <v>4.2618094383536365E-2</v>
      </c>
      <c r="AF39" s="276" t="s">
        <v>277</v>
      </c>
    </row>
    <row r="40" spans="1:47" ht="22.5" customHeight="1" thickBot="1" x14ac:dyDescent="0.3">
      <c r="B40" s="624"/>
      <c r="C40" s="625"/>
      <c r="D40" s="621"/>
      <c r="E40" s="626"/>
      <c r="F40" s="626"/>
      <c r="G40" s="621"/>
      <c r="H40" s="621"/>
      <c r="I40" s="621"/>
      <c r="AC40" s="276" t="s">
        <v>278</v>
      </c>
      <c r="AD40" s="488">
        <v>30</v>
      </c>
      <c r="AE40" s="297">
        <f>AE39/AD40*10000</f>
        <v>14.206031461178787</v>
      </c>
      <c r="AF40" s="276" t="s">
        <v>279</v>
      </c>
    </row>
    <row r="41" spans="1:47" ht="22.5" customHeight="1" thickBot="1" x14ac:dyDescent="0.3">
      <c r="B41" s="627" t="s">
        <v>280</v>
      </c>
      <c r="C41" s="628">
        <v>39795000</v>
      </c>
      <c r="D41" s="621"/>
      <c r="E41" s="629" t="s">
        <v>281</v>
      </c>
      <c r="F41" s="630">
        <v>497437.5</v>
      </c>
      <c r="G41" s="621"/>
      <c r="H41" s="621"/>
      <c r="I41" s="621"/>
    </row>
    <row r="42" spans="1:47" ht="22.5" customHeight="1" thickBot="1" x14ac:dyDescent="0.3">
      <c r="B42" s="631" t="s">
        <v>282</v>
      </c>
      <c r="C42" s="632">
        <v>30.85</v>
      </c>
      <c r="D42" s="621"/>
      <c r="E42" s="633" t="s">
        <v>283</v>
      </c>
      <c r="F42" s="634">
        <v>230416.26</v>
      </c>
      <c r="G42" s="621"/>
      <c r="H42" s="621"/>
      <c r="I42" s="621"/>
    </row>
    <row r="43" spans="1:47" ht="22.5" customHeight="1" thickBot="1" x14ac:dyDescent="0.3">
      <c r="B43" s="635"/>
      <c r="C43" s="625"/>
      <c r="D43" s="621"/>
      <c r="E43" s="636" t="s">
        <v>284</v>
      </c>
      <c r="F43" s="637">
        <v>267021.24</v>
      </c>
      <c r="G43" s="621"/>
      <c r="H43" s="621"/>
      <c r="I43" s="621"/>
    </row>
    <row r="44" spans="1:47" ht="22.5" customHeight="1" thickBot="1" x14ac:dyDescent="0.3">
      <c r="B44" s="638" t="s">
        <v>285</v>
      </c>
      <c r="C44" s="639">
        <v>1.2500000000000001E-2</v>
      </c>
      <c r="D44" s="621"/>
      <c r="E44" s="626"/>
      <c r="F44" s="626"/>
      <c r="G44" s="621"/>
      <c r="H44" s="621"/>
      <c r="I44" s="621"/>
    </row>
    <row r="45" spans="1:47" ht="22.5" customHeight="1" thickBot="1" x14ac:dyDescent="0.3">
      <c r="B45" s="624"/>
      <c r="C45" s="625"/>
      <c r="D45" s="621"/>
      <c r="E45" s="640">
        <v>0</v>
      </c>
      <c r="F45" s="641">
        <v>0.53680000000000005</v>
      </c>
      <c r="G45" s="621"/>
      <c r="H45" s="621"/>
      <c r="I45" s="621"/>
    </row>
    <row r="46" spans="1:47" ht="22.5" customHeight="1" thickBot="1" x14ac:dyDescent="0.3">
      <c r="B46" s="638" t="s">
        <v>286</v>
      </c>
      <c r="C46" s="642"/>
      <c r="D46" s="621"/>
      <c r="E46" s="621"/>
      <c r="F46" s="621"/>
      <c r="G46" s="621"/>
      <c r="H46" s="621"/>
      <c r="I46" s="621"/>
    </row>
    <row r="47" spans="1:47" ht="22.5" customHeight="1" thickBot="1" x14ac:dyDescent="0.3">
      <c r="B47" s="643"/>
      <c r="C47" s="625"/>
      <c r="D47" s="621"/>
      <c r="E47" s="621"/>
      <c r="F47" s="621"/>
      <c r="G47" s="621"/>
      <c r="H47" s="621"/>
      <c r="I47" s="621"/>
    </row>
    <row r="48" spans="1:47" ht="22.5" customHeight="1" thickBot="1" x14ac:dyDescent="0.3">
      <c r="B48" s="627" t="s">
        <v>287</v>
      </c>
      <c r="C48" s="642" t="s">
        <v>288</v>
      </c>
      <c r="D48" s="621"/>
      <c r="E48" s="621"/>
      <c r="F48" s="621"/>
      <c r="G48" s="621"/>
      <c r="H48" s="621"/>
      <c r="I48" s="621"/>
    </row>
    <row r="49" spans="2:9" ht="22.5" customHeight="1" thickBot="1" x14ac:dyDescent="0.3">
      <c r="B49" s="631" t="s">
        <v>289</v>
      </c>
      <c r="C49" s="642" t="s">
        <v>288</v>
      </c>
      <c r="D49" s="621"/>
      <c r="E49" s="621"/>
      <c r="F49" s="621"/>
      <c r="G49" s="621"/>
      <c r="H49" s="621"/>
      <c r="I49" s="621"/>
    </row>
    <row r="50" spans="2:9" ht="22.5" customHeight="1" x14ac:dyDescent="0.25">
      <c r="B50" s="621"/>
      <c r="C50" s="621"/>
      <c r="D50" s="621"/>
      <c r="E50" s="621"/>
      <c r="F50" s="621"/>
      <c r="G50" s="621"/>
      <c r="H50" s="621"/>
      <c r="I50" s="621"/>
    </row>
    <row r="51" spans="2:9" ht="22.5" customHeight="1" thickBot="1" x14ac:dyDescent="0.3">
      <c r="B51" s="621"/>
      <c r="C51" s="621"/>
      <c r="D51" s="621"/>
      <c r="E51" s="621" t="s">
        <v>290</v>
      </c>
      <c r="F51" s="621" t="s">
        <v>291</v>
      </c>
      <c r="G51" s="621" t="s">
        <v>268</v>
      </c>
      <c r="H51" s="621"/>
      <c r="I51" s="621"/>
    </row>
    <row r="52" spans="2:9" ht="22.5" customHeight="1" thickBot="1" x14ac:dyDescent="0.3">
      <c r="B52" s="638" t="s">
        <v>292</v>
      </c>
      <c r="C52" s="644" t="s">
        <v>15</v>
      </c>
      <c r="D52" s="621"/>
      <c r="E52" s="621"/>
      <c r="F52" s="621"/>
      <c r="G52" s="621"/>
      <c r="H52" s="621"/>
      <c r="I52" s="621"/>
    </row>
    <row r="53" spans="2:9" ht="22.5" customHeight="1" x14ac:dyDescent="0.25">
      <c r="B53" s="645" t="s">
        <v>293</v>
      </c>
      <c r="C53" s="646">
        <v>1.4E-2</v>
      </c>
      <c r="D53" s="621"/>
      <c r="E53" s="647">
        <v>8988</v>
      </c>
      <c r="F53" s="647">
        <v>557130</v>
      </c>
      <c r="G53" s="621">
        <v>1.61</v>
      </c>
      <c r="H53" s="621"/>
      <c r="I53" s="621"/>
    </row>
    <row r="54" spans="2:9" ht="22.5" customHeight="1" x14ac:dyDescent="0.25">
      <c r="B54" s="648" t="s">
        <v>294</v>
      </c>
      <c r="C54" s="646">
        <v>0.18</v>
      </c>
      <c r="D54" s="621"/>
      <c r="E54" s="647">
        <v>59361</v>
      </c>
      <c r="F54" s="647">
        <v>7163100</v>
      </c>
      <c r="G54" s="621">
        <v>0.83</v>
      </c>
      <c r="H54" s="621"/>
      <c r="I54" s="621"/>
    </row>
    <row r="55" spans="2:9" ht="22.5" customHeight="1" x14ac:dyDescent="0.25">
      <c r="B55" s="648" t="s">
        <v>295</v>
      </c>
      <c r="C55" s="646">
        <v>0.17799999999999999</v>
      </c>
      <c r="D55" s="621"/>
      <c r="E55" s="647">
        <v>67202</v>
      </c>
      <c r="F55" s="647">
        <v>7083510</v>
      </c>
      <c r="G55" s="621">
        <v>0.95</v>
      </c>
      <c r="H55" s="621"/>
      <c r="I55" s="621"/>
    </row>
    <row r="56" spans="2:9" ht="22.5" customHeight="1" x14ac:dyDescent="0.25">
      <c r="B56" s="648" t="s">
        <v>296</v>
      </c>
      <c r="C56" s="646">
        <v>0.15</v>
      </c>
      <c r="D56" s="621"/>
      <c r="E56" s="647">
        <v>31560</v>
      </c>
      <c r="F56" s="647">
        <v>5969250</v>
      </c>
      <c r="G56" s="621">
        <v>0.53</v>
      </c>
      <c r="H56" s="621"/>
      <c r="I56" s="621"/>
    </row>
    <row r="57" spans="2:9" ht="22.5" customHeight="1" x14ac:dyDescent="0.25">
      <c r="B57" s="648" t="s">
        <v>297</v>
      </c>
      <c r="C57" s="646">
        <v>0.15</v>
      </c>
      <c r="D57" s="621"/>
      <c r="E57" s="647">
        <v>31560</v>
      </c>
      <c r="F57" s="647">
        <v>5969250</v>
      </c>
      <c r="G57" s="621">
        <v>0.53</v>
      </c>
      <c r="H57" s="621"/>
      <c r="I57" s="621"/>
    </row>
    <row r="58" spans="2:9" ht="15.75" thickBot="1" x14ac:dyDescent="0.3">
      <c r="B58" s="649" t="s">
        <v>3</v>
      </c>
      <c r="C58" s="650">
        <v>0.32800000000000001</v>
      </c>
      <c r="D58" s="621"/>
      <c r="E58" s="647">
        <v>31745</v>
      </c>
      <c r="F58" s="647">
        <v>13052760</v>
      </c>
      <c r="G58" s="621">
        <v>0.24</v>
      </c>
      <c r="H58" s="621"/>
      <c r="I58" s="621"/>
    </row>
    <row r="59" spans="2:9" ht="15.75" thickBot="1" x14ac:dyDescent="0.3">
      <c r="B59" s="626"/>
      <c r="C59" s="626"/>
      <c r="D59" s="621"/>
      <c r="E59" s="621"/>
      <c r="F59" s="621"/>
      <c r="G59" s="621"/>
      <c r="H59" s="621"/>
      <c r="I59" s="621"/>
    </row>
    <row r="60" spans="2:9" ht="15.75" thickBot="1" x14ac:dyDescent="0.3">
      <c r="B60" s="626"/>
      <c r="C60" s="651">
        <v>1</v>
      </c>
      <c r="D60" s="621"/>
      <c r="E60" s="647">
        <v>230416</v>
      </c>
      <c r="F60" s="647">
        <v>39795000</v>
      </c>
      <c r="G60" s="621">
        <v>0.57999999999999996</v>
      </c>
      <c r="H60" s="621"/>
      <c r="I60" s="621"/>
    </row>
  </sheetData>
  <mergeCells count="2">
    <mergeCell ref="B39:C39"/>
    <mergeCell ref="E39:F3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3D1-B9EE-4734-8EF6-F73FF72F108E}">
  <sheetPr>
    <tabColor theme="9" tint="0.39997558519241921"/>
  </sheetPr>
  <dimension ref="A1:AR203"/>
  <sheetViews>
    <sheetView showGridLines="0" zoomScaleNormal="100" workbookViewId="0">
      <selection activeCell="V3" sqref="V3:AN10"/>
    </sheetView>
  </sheetViews>
  <sheetFormatPr defaultRowHeight="21.95" customHeight="1" outlineLevelRow="1" x14ac:dyDescent="0.25"/>
  <cols>
    <col min="1" max="1" width="14.5703125" bestFit="1" customWidth="1"/>
    <col min="2" max="3" width="14.5703125" customWidth="1"/>
    <col min="4" max="4" width="22.42578125" customWidth="1"/>
    <col min="5" max="5" width="13.42578125" customWidth="1"/>
    <col min="6" max="6" width="13.5703125" customWidth="1"/>
    <col min="7" max="7" width="13.42578125" customWidth="1"/>
    <col min="8" max="8" width="0.5703125" style="319" customWidth="1"/>
    <col min="9" max="9" width="13.42578125" customWidth="1"/>
    <col min="10" max="10" width="13.28515625" customWidth="1"/>
    <col min="11" max="11" width="13.42578125" customWidth="1"/>
    <col min="12" max="12" width="0.85546875" style="319" customWidth="1"/>
    <col min="13" max="13" width="13.42578125" customWidth="1"/>
    <col min="14" max="14" width="13" customWidth="1"/>
    <col min="15" max="15" width="13.42578125" customWidth="1"/>
    <col min="16" max="16" width="0.5703125" style="319" customWidth="1"/>
    <col min="17" max="17" width="11.85546875" style="319" customWidth="1"/>
    <col min="18" max="19" width="10.5703125" style="319" customWidth="1"/>
    <col min="20" max="20" width="11.140625" style="319" customWidth="1"/>
    <col min="21" max="21" width="6.5703125" style="319" customWidth="1"/>
    <col min="22" max="22" width="15" style="319" customWidth="1"/>
    <col min="23" max="40" width="6.42578125" customWidth="1"/>
  </cols>
  <sheetData>
    <row r="1" spans="1:44" ht="21.95" customHeight="1" x14ac:dyDescent="0.35">
      <c r="A1" s="364"/>
      <c r="B1" s="353"/>
      <c r="C1" s="353"/>
      <c r="D1" s="353"/>
      <c r="E1" s="469" t="s">
        <v>100</v>
      </c>
      <c r="G1" s="469" t="s">
        <v>101</v>
      </c>
      <c r="H1" s="470"/>
      <c r="I1" s="469"/>
      <c r="J1" s="469"/>
      <c r="K1" s="469"/>
      <c r="L1" s="366"/>
      <c r="M1" s="365"/>
      <c r="N1" s="365"/>
      <c r="O1" s="365"/>
      <c r="P1" s="366"/>
      <c r="Q1" s="366"/>
      <c r="R1" s="366"/>
      <c r="S1" s="366"/>
      <c r="T1" s="366"/>
      <c r="U1" s="366"/>
      <c r="V1" s="367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3"/>
      <c r="AO1" s="354"/>
    </row>
    <row r="2" spans="1:44" s="291" customFormat="1" ht="21.95" customHeight="1" thickBot="1" x14ac:dyDescent="0.3">
      <c r="A2" s="303"/>
      <c r="H2" s="317"/>
      <c r="L2" s="317"/>
      <c r="P2" s="317"/>
      <c r="Q2" s="317"/>
      <c r="R2" s="317"/>
      <c r="S2" s="317"/>
      <c r="T2" s="317"/>
      <c r="U2" s="317"/>
      <c r="V2" s="317"/>
      <c r="AO2" s="304"/>
    </row>
    <row r="3" spans="1:44" s="291" customFormat="1" ht="42.75" customHeight="1" thickBot="1" x14ac:dyDescent="0.3">
      <c r="A3" s="303"/>
      <c r="E3" s="883" t="s">
        <v>104</v>
      </c>
      <c r="F3" s="884"/>
      <c r="G3" s="885"/>
      <c r="H3" s="323"/>
      <c r="I3" s="873" t="s">
        <v>105</v>
      </c>
      <c r="J3" s="874"/>
      <c r="K3" s="875"/>
      <c r="L3" s="323"/>
      <c r="M3" s="876" t="s">
        <v>106</v>
      </c>
      <c r="N3" s="877"/>
      <c r="O3" s="878"/>
      <c r="P3" s="323"/>
      <c r="Q3" s="323"/>
      <c r="R3" s="879" t="s">
        <v>107</v>
      </c>
      <c r="S3" s="880"/>
      <c r="T3" s="881"/>
      <c r="U3" s="323"/>
      <c r="V3" s="321"/>
      <c r="W3" s="936" t="s">
        <v>108</v>
      </c>
      <c r="X3" s="937"/>
      <c r="Y3" s="938"/>
      <c r="Z3" s="942" t="s">
        <v>1</v>
      </c>
      <c r="AA3" s="942"/>
      <c r="AB3" s="943"/>
      <c r="AC3" s="860" t="s">
        <v>109</v>
      </c>
      <c r="AD3" s="913"/>
      <c r="AE3" s="913"/>
      <c r="AF3" s="853" t="s">
        <v>110</v>
      </c>
      <c r="AG3" s="851"/>
      <c r="AH3" s="916"/>
      <c r="AI3" s="857" t="s">
        <v>111</v>
      </c>
      <c r="AJ3" s="857"/>
      <c r="AK3" s="858"/>
      <c r="AL3" s="860" t="s">
        <v>112</v>
      </c>
      <c r="AM3" s="861"/>
      <c r="AN3" s="862"/>
      <c r="AO3" s="304"/>
    </row>
    <row r="4" spans="1:44" s="291" customFormat="1" ht="30" customHeight="1" thickBot="1" x14ac:dyDescent="0.3">
      <c r="A4" s="303"/>
      <c r="E4" s="325" t="s">
        <v>113</v>
      </c>
      <c r="F4" s="883" t="s">
        <v>114</v>
      </c>
      <c r="G4" s="890"/>
      <c r="H4" s="322"/>
      <c r="I4" s="302" t="s">
        <v>113</v>
      </c>
      <c r="J4" s="873" t="s">
        <v>115</v>
      </c>
      <c r="K4" s="891"/>
      <c r="L4" s="322"/>
      <c r="M4" s="302" t="s">
        <v>113</v>
      </c>
      <c r="N4" s="876" t="s">
        <v>115</v>
      </c>
      <c r="O4" s="886"/>
      <c r="P4" s="322"/>
      <c r="Q4" s="322"/>
      <c r="R4" s="328" t="s">
        <v>113</v>
      </c>
      <c r="S4" s="871" t="s">
        <v>115</v>
      </c>
      <c r="T4" s="872"/>
      <c r="U4" s="322"/>
      <c r="V4" s="322"/>
      <c r="W4" s="939"/>
      <c r="X4" s="940"/>
      <c r="Y4" s="941"/>
      <c r="Z4" s="944"/>
      <c r="AA4" s="944"/>
      <c r="AB4" s="944"/>
      <c r="AC4" s="930"/>
      <c r="AD4" s="931"/>
      <c r="AE4" s="931"/>
      <c r="AF4" s="854"/>
      <c r="AG4" s="849"/>
      <c r="AH4" s="850"/>
      <c r="AI4" s="859"/>
      <c r="AJ4" s="859"/>
      <c r="AK4" s="859"/>
      <c r="AL4" s="863"/>
      <c r="AM4" s="864"/>
      <c r="AN4" s="864"/>
      <c r="AO4" s="304"/>
    </row>
    <row r="5" spans="1:44" s="291" customFormat="1" ht="38.25" customHeight="1" thickBot="1" x14ac:dyDescent="0.3">
      <c r="A5" s="303"/>
      <c r="B5" s="303"/>
      <c r="C5" s="303"/>
      <c r="D5" s="301" t="str">
        <f>'Working Paper 3'!$B$6</f>
        <v>Amex</v>
      </c>
      <c r="E5" s="309">
        <f>'Working Paper 3'!$C$6</f>
        <v>5.0504809882102659E-2</v>
      </c>
      <c r="F5" s="295">
        <f t="shared" ref="F5:F12" si="0">E16/10000</f>
        <v>5.3400000000000003E-2</v>
      </c>
      <c r="G5" s="293"/>
      <c r="H5" s="324"/>
      <c r="I5" s="298">
        <f>'Working Paper 3'!$E$6</f>
        <v>154.93914051185246</v>
      </c>
      <c r="J5" s="299">
        <f>I16</f>
        <v>155</v>
      </c>
      <c r="K5" s="294"/>
      <c r="L5" s="317"/>
      <c r="M5" s="298">
        <f>'Working Paper 3'!$G$6</f>
        <v>169.71789116032431</v>
      </c>
      <c r="N5" s="300">
        <f>M16</f>
        <v>170</v>
      </c>
      <c r="O5" s="294"/>
      <c r="P5" s="317"/>
      <c r="Q5" s="329" t="s">
        <v>116</v>
      </c>
      <c r="R5" s="334">
        <f>Annualized!X40</f>
        <v>9.9863953634230143</v>
      </c>
      <c r="S5" s="352">
        <f>R16/100</f>
        <v>9.99</v>
      </c>
      <c r="T5" s="330"/>
      <c r="U5" s="317"/>
      <c r="V5" s="911" t="s">
        <v>117</v>
      </c>
      <c r="W5" s="932">
        <f>J25</f>
        <v>2113315.4545454546</v>
      </c>
      <c r="X5" s="896"/>
      <c r="Y5" s="933"/>
      <c r="Z5" s="895">
        <f>N25</f>
        <v>1143195.4200000002</v>
      </c>
      <c r="AA5" s="896"/>
      <c r="AB5" s="933"/>
      <c r="AC5" s="895">
        <f>W5-Z5</f>
        <v>970120.03454545443</v>
      </c>
      <c r="AD5" s="896"/>
      <c r="AE5" s="933"/>
      <c r="AF5" s="935">
        <f>AC5/W5</f>
        <v>0.45905121852909275</v>
      </c>
      <c r="AG5" s="896"/>
      <c r="AH5" s="933"/>
      <c r="AI5" s="934">
        <f>S20</f>
        <v>255711.47738061263</v>
      </c>
      <c r="AJ5" s="896"/>
      <c r="AK5" s="933"/>
      <c r="AL5" s="895">
        <f>AC5-AI5</f>
        <v>714408.5571648418</v>
      </c>
      <c r="AM5" s="896"/>
      <c r="AN5" s="897"/>
      <c r="AO5" s="304"/>
    </row>
    <row r="6" spans="1:44" s="291" customFormat="1" ht="37.5" customHeight="1" thickBot="1" x14ac:dyDescent="0.3">
      <c r="A6" s="303"/>
      <c r="B6" s="303"/>
      <c r="C6" s="303"/>
      <c r="D6" s="301" t="str">
        <f>'Working Paper 3'!$B$7</f>
        <v>EFTPOS</v>
      </c>
      <c r="E6" s="309">
        <f>'Working Paper 3'!$C$7</f>
        <v>0.3206982301443993</v>
      </c>
      <c r="F6" s="295">
        <f t="shared" si="0"/>
        <v>0.31890000000000002</v>
      </c>
      <c r="G6" s="294"/>
      <c r="H6" s="317"/>
      <c r="I6" s="298">
        <f>'Working Paper 3'!$E$7</f>
        <v>142.99254815956868</v>
      </c>
      <c r="J6" s="299">
        <f t="shared" ref="J6:J12" si="1">I17</f>
        <v>143</v>
      </c>
      <c r="K6" s="294"/>
      <c r="L6" s="317"/>
      <c r="M6" s="298">
        <f>'Working Paper 3'!$G$7</f>
        <v>28.660658557912612</v>
      </c>
      <c r="N6" s="300">
        <f t="shared" ref="N6:N12" si="2">M17</f>
        <v>28</v>
      </c>
      <c r="O6" s="294"/>
      <c r="P6" s="317"/>
      <c r="Q6" s="329" t="s">
        <v>118</v>
      </c>
      <c r="R6" s="334">
        <f>Annualized!W40</f>
        <v>2.8856599590580667</v>
      </c>
      <c r="S6" s="352">
        <f>R17/100</f>
        <v>2.89</v>
      </c>
      <c r="T6" s="330"/>
      <c r="U6" s="317"/>
      <c r="V6" s="912"/>
      <c r="W6" s="834">
        <f>I14</f>
        <v>145.13100099066577</v>
      </c>
      <c r="X6" s="835"/>
      <c r="Y6" s="836"/>
      <c r="Z6" s="837">
        <f>M14</f>
        <v>78.508438139553675</v>
      </c>
      <c r="AA6" s="835"/>
      <c r="AB6" s="836"/>
      <c r="AC6" s="837">
        <f>W6-Z6</f>
        <v>66.622562851112093</v>
      </c>
      <c r="AD6" s="838"/>
      <c r="AE6" s="839"/>
      <c r="AF6" s="840"/>
      <c r="AG6" s="841"/>
      <c r="AH6" s="842"/>
      <c r="AI6" s="843">
        <f>R14</f>
        <v>17.560872229097722</v>
      </c>
      <c r="AJ6" s="835"/>
      <c r="AK6" s="836"/>
      <c r="AL6" s="837">
        <f>AC6-AI6</f>
        <v>49.061690622014368</v>
      </c>
      <c r="AM6" s="835"/>
      <c r="AN6" s="844"/>
      <c r="AO6" s="304"/>
    </row>
    <row r="7" spans="1:44" s="291" customFormat="1" ht="37.5" customHeight="1" thickBot="1" x14ac:dyDescent="0.3">
      <c r="A7" s="303"/>
      <c r="B7" s="303"/>
      <c r="C7" s="303"/>
      <c r="D7" s="301" t="str">
        <f>'Working Paper 3'!$B$8</f>
        <v>VC/MC Domestic Credit</v>
      </c>
      <c r="E7" s="309">
        <f>'Working Paper 3'!$C$8</f>
        <v>4.0553505985047866E-2</v>
      </c>
      <c r="F7" s="295">
        <f t="shared" si="0"/>
        <v>4.0099999999999997E-2</v>
      </c>
      <c r="G7" s="294"/>
      <c r="H7" s="317"/>
      <c r="I7" s="298">
        <f>'Working Paper 3'!$E$8</f>
        <v>143.45851781578313</v>
      </c>
      <c r="J7" s="299">
        <f t="shared" si="1"/>
        <v>144</v>
      </c>
      <c r="K7" s="294"/>
      <c r="L7" s="317"/>
      <c r="M7" s="298">
        <f>'Working Paper 3'!$G$8</f>
        <v>60.236068170372583</v>
      </c>
      <c r="N7" s="300">
        <f t="shared" si="2"/>
        <v>61</v>
      </c>
      <c r="O7" s="294"/>
      <c r="P7" s="317"/>
      <c r="Q7" s="331" t="s">
        <v>119</v>
      </c>
      <c r="R7" s="334">
        <f>Annualized!V40</f>
        <v>4.6888169066166396</v>
      </c>
      <c r="S7" s="352">
        <f>R18/100</f>
        <v>4.6900000000000004</v>
      </c>
      <c r="T7" s="330"/>
      <c r="U7" s="317"/>
      <c r="V7" s="909" t="s">
        <v>121</v>
      </c>
      <c r="W7" s="812">
        <f>K25*$S$10</f>
        <v>2113302.6672114097</v>
      </c>
      <c r="X7" s="788"/>
      <c r="Y7" s="789"/>
      <c r="Z7" s="813">
        <f>O25*$S$10</f>
        <v>1133056.8209871955</v>
      </c>
      <c r="AA7" s="788"/>
      <c r="AB7" s="789"/>
      <c r="AC7" s="813">
        <f>W7-Z7</f>
        <v>980245.84622421418</v>
      </c>
      <c r="AD7" s="788"/>
      <c r="AE7" s="788"/>
      <c r="AF7" s="814">
        <f>AC7/W7</f>
        <v>0.46384545925818055</v>
      </c>
      <c r="AG7" s="788"/>
      <c r="AH7" s="789"/>
      <c r="AI7" s="815">
        <f>T20*S10</f>
        <v>255844.39081180008</v>
      </c>
      <c r="AJ7" s="788"/>
      <c r="AK7" s="789"/>
      <c r="AL7" s="813">
        <f>AC7-AI7</f>
        <v>724401.45541241416</v>
      </c>
      <c r="AM7" s="788"/>
      <c r="AN7" s="797"/>
      <c r="AO7" s="304"/>
    </row>
    <row r="8" spans="1:44" s="291" customFormat="1" ht="37.5" customHeight="1" thickBot="1" x14ac:dyDescent="0.3">
      <c r="A8" s="303"/>
      <c r="B8" s="303"/>
      <c r="C8" s="303"/>
      <c r="D8" s="301" t="str">
        <f>'Working Paper 3'!$B$9</f>
        <v>VC/MC Domestic Debit</v>
      </c>
      <c r="E8" s="309">
        <f>'Working Paper 3'!$C$9</f>
        <v>0.22558468242770457</v>
      </c>
      <c r="F8" s="295">
        <f t="shared" si="0"/>
        <v>0.22470000000000001</v>
      </c>
      <c r="G8" s="294"/>
      <c r="H8" s="317"/>
      <c r="I8" s="298">
        <f>'Working Paper 3'!$E$9</f>
        <v>143.21774507854948</v>
      </c>
      <c r="J8" s="299">
        <f t="shared" si="1"/>
        <v>143</v>
      </c>
      <c r="K8" s="294"/>
      <c r="L8" s="317"/>
      <c r="M8" s="298">
        <f>'Working Paper 3'!$G$9</f>
        <v>65.927949272184037</v>
      </c>
      <c r="N8" s="300">
        <f t="shared" si="2"/>
        <v>66</v>
      </c>
      <c r="O8" s="294"/>
      <c r="P8" s="317"/>
      <c r="Q8" s="340"/>
      <c r="R8" s="335"/>
      <c r="S8" s="317"/>
      <c r="T8" s="336"/>
      <c r="U8" s="317"/>
      <c r="V8" s="910"/>
      <c r="W8" s="816">
        <f>J14*$S$10</f>
        <v>145.13012282617504</v>
      </c>
      <c r="X8" s="817"/>
      <c r="Y8" s="818"/>
      <c r="Z8" s="819">
        <f>N14*S10</f>
        <v>77.812174351671729</v>
      </c>
      <c r="AA8" s="817"/>
      <c r="AB8" s="818"/>
      <c r="AC8" s="819">
        <f>W8-Z8</f>
        <v>67.317948474503311</v>
      </c>
      <c r="AD8" s="817"/>
      <c r="AE8" s="817"/>
      <c r="AF8" s="820"/>
      <c r="AG8" s="821"/>
      <c r="AH8" s="822"/>
      <c r="AI8" s="823">
        <f>S14*S10</f>
        <v>17.57</v>
      </c>
      <c r="AJ8" s="817"/>
      <c r="AK8" s="817"/>
      <c r="AL8" s="819">
        <f>AC8-AI8</f>
        <v>49.74794847450331</v>
      </c>
      <c r="AM8" s="817"/>
      <c r="AN8" s="824"/>
      <c r="AO8" s="304"/>
    </row>
    <row r="9" spans="1:44" s="291" customFormat="1" ht="37.5" customHeight="1" thickBot="1" x14ac:dyDescent="0.3">
      <c r="A9" s="303"/>
      <c r="B9" s="303"/>
      <c r="C9" s="303"/>
      <c r="D9" s="301" t="str">
        <f>'Working Paper 3'!$B$10</f>
        <v>VC/MC  PemiumCredit</v>
      </c>
      <c r="E9" s="309">
        <f>'Working Paper 3'!$C$10</f>
        <v>0.25452682626864803</v>
      </c>
      <c r="F9" s="295">
        <f t="shared" si="0"/>
        <v>0.25480000000000003</v>
      </c>
      <c r="G9" s="294"/>
      <c r="H9" s="317"/>
      <c r="I9" s="298">
        <f>'Working Paper 3'!$E$10</f>
        <v>148.69146331982427</v>
      </c>
      <c r="J9" s="299">
        <f t="shared" si="1"/>
        <v>149</v>
      </c>
      <c r="K9" s="294"/>
      <c r="L9" s="317"/>
      <c r="M9" s="298">
        <f>'Working Paper 3'!$G$10</f>
        <v>100.86833162399658</v>
      </c>
      <c r="N9" s="300">
        <f t="shared" si="2"/>
        <v>101</v>
      </c>
      <c r="O9" s="294"/>
      <c r="P9" s="317"/>
      <c r="Q9" s="340"/>
      <c r="R9" s="887" t="s">
        <v>123</v>
      </c>
      <c r="S9" s="888"/>
      <c r="T9" s="889"/>
      <c r="U9" s="317"/>
      <c r="V9" s="388" t="s">
        <v>124</v>
      </c>
      <c r="W9" s="787">
        <f>W5-W7</f>
        <v>12.787334044929594</v>
      </c>
      <c r="X9" s="788"/>
      <c r="Y9" s="789"/>
      <c r="Z9" s="790">
        <f>Z5-Z7</f>
        <v>10138.599012804683</v>
      </c>
      <c r="AA9" s="791"/>
      <c r="AB9" s="792"/>
      <c r="AC9" s="793">
        <f>AC5-AC7</f>
        <v>-10125.811678759754</v>
      </c>
      <c r="AD9" s="788"/>
      <c r="AE9" s="788"/>
      <c r="AF9" s="794"/>
      <c r="AG9" s="788"/>
      <c r="AH9" s="789"/>
      <c r="AI9" s="795">
        <f>AI5-AI7</f>
        <v>-132.91343118745135</v>
      </c>
      <c r="AJ9" s="788"/>
      <c r="AK9" s="789"/>
      <c r="AL9" s="796">
        <f>AL5-AL7</f>
        <v>-9992.8982475723606</v>
      </c>
      <c r="AM9" s="788"/>
      <c r="AN9" s="797"/>
      <c r="AO9" s="304"/>
      <c r="AR9" s="310"/>
    </row>
    <row r="10" spans="1:44" s="291" customFormat="1" ht="37.5" customHeight="1" thickBot="1" x14ac:dyDescent="0.3">
      <c r="A10" s="303"/>
      <c r="B10" s="303"/>
      <c r="C10" s="303"/>
      <c r="D10" s="301" t="str">
        <f>'Working Paper 3'!$B$11</f>
        <v>VC/MC Premium Debit</v>
      </c>
      <c r="E10" s="309">
        <f>'Working Paper 3'!$C$11</f>
        <v>6.0059880831170691E-2</v>
      </c>
      <c r="F10" s="295">
        <f t="shared" si="0"/>
        <v>5.9200000000000003E-2</v>
      </c>
      <c r="G10" s="294"/>
      <c r="H10" s="317"/>
      <c r="I10" s="298">
        <f>'Working Paper 3'!$E$11</f>
        <v>142.98844600659757</v>
      </c>
      <c r="J10" s="299">
        <f t="shared" si="1"/>
        <v>143</v>
      </c>
      <c r="K10" s="294"/>
      <c r="L10" s="317"/>
      <c r="M10" s="298">
        <f>'Working Paper 3'!$G$11</f>
        <v>54.90928046317822</v>
      </c>
      <c r="N10" s="300">
        <f t="shared" si="2"/>
        <v>55</v>
      </c>
      <c r="O10" s="294"/>
      <c r="P10" s="317"/>
      <c r="Q10" s="340"/>
      <c r="R10" s="384">
        <v>1</v>
      </c>
      <c r="S10" s="384">
        <f>R22/100</f>
        <v>1</v>
      </c>
      <c r="T10" s="383"/>
      <c r="U10" s="317"/>
      <c r="V10" s="389" t="s">
        <v>126</v>
      </c>
      <c r="W10" s="798">
        <f>W6-W8</f>
        <v>8.7816449072875002E-4</v>
      </c>
      <c r="X10" s="799"/>
      <c r="Y10" s="800"/>
      <c r="Z10" s="801">
        <f>Z6-Z8</f>
        <v>0.69626378788194643</v>
      </c>
      <c r="AA10" s="799"/>
      <c r="AB10" s="800"/>
      <c r="AC10" s="801">
        <f>AC6-AC8</f>
        <v>-0.69538562339121768</v>
      </c>
      <c r="AD10" s="799"/>
      <c r="AE10" s="799"/>
      <c r="AF10" s="802"/>
      <c r="AG10" s="803"/>
      <c r="AH10" s="804"/>
      <c r="AI10" s="805">
        <f>AI6-AI8</f>
        <v>-9.1277709022783426E-3</v>
      </c>
      <c r="AJ10" s="806"/>
      <c r="AK10" s="807"/>
      <c r="AL10" s="808">
        <f>AL6-AL8</f>
        <v>-0.68625785248894289</v>
      </c>
      <c r="AM10" s="806"/>
      <c r="AN10" s="809"/>
      <c r="AO10" s="304"/>
    </row>
    <row r="11" spans="1:44" s="291" customFormat="1" ht="37.5" customHeight="1" thickBot="1" x14ac:dyDescent="0.3">
      <c r="A11" s="303"/>
      <c r="B11" s="303"/>
      <c r="C11" s="303"/>
      <c r="D11" s="301" t="str">
        <f>'Working Paper 3'!$B$12</f>
        <v>VC/MC  Int. Credit</v>
      </c>
      <c r="E11" s="309">
        <f>'Working Paper 3'!$C$12</f>
        <v>2.4773150306096305E-2</v>
      </c>
      <c r="F11" s="295">
        <f t="shared" si="0"/>
        <v>2.4899999999999999E-2</v>
      </c>
      <c r="G11" s="294"/>
      <c r="H11" s="317"/>
      <c r="I11" s="298">
        <f>'Working Paper 3'!$E$12</f>
        <v>145.45695079148425</v>
      </c>
      <c r="J11" s="299">
        <f t="shared" si="1"/>
        <v>145</v>
      </c>
      <c r="K11" s="294"/>
      <c r="L11" s="317"/>
      <c r="M11" s="298">
        <f>'Working Paper 3'!$G$12</f>
        <v>292.619148787516</v>
      </c>
      <c r="N11" s="300">
        <f t="shared" si="2"/>
        <v>292</v>
      </c>
      <c r="O11" s="294"/>
      <c r="P11" s="317"/>
      <c r="Q11" s="340"/>
      <c r="R11" s="335"/>
      <c r="S11" s="317"/>
      <c r="T11" s="336"/>
      <c r="U11" s="317"/>
      <c r="V11" s="387"/>
      <c r="W11" s="959"/>
      <c r="X11" s="959"/>
      <c r="Y11" s="959"/>
      <c r="Z11" s="963"/>
      <c r="AA11" s="961"/>
      <c r="AB11" s="961"/>
      <c r="AC11" s="961"/>
      <c r="AD11" s="961"/>
      <c r="AE11" s="961"/>
      <c r="AF11" s="961"/>
      <c r="AG11" s="961"/>
      <c r="AH11" s="961"/>
      <c r="AI11" s="963"/>
      <c r="AJ11" s="961"/>
      <c r="AK11" s="961"/>
      <c r="AL11" s="963"/>
      <c r="AM11" s="961"/>
      <c r="AN11" s="961"/>
      <c r="AO11" s="304"/>
    </row>
    <row r="12" spans="1:44" s="291" customFormat="1" ht="37.5" customHeight="1" thickBot="1" x14ac:dyDescent="0.3">
      <c r="A12" s="303"/>
      <c r="B12" s="303"/>
      <c r="C12" s="303"/>
      <c r="D12" s="301" t="str">
        <f>'Working Paper 3'!$B$13</f>
        <v>VC/MC int.  Debit</v>
      </c>
      <c r="E12" s="309">
        <f>'Working Paper 3'!$C$13</f>
        <v>2.3298914154830527E-2</v>
      </c>
      <c r="F12" s="295">
        <f t="shared" si="0"/>
        <v>2.4E-2</v>
      </c>
      <c r="G12" s="294"/>
      <c r="H12" s="317"/>
      <c r="I12" s="298">
        <f>'Working Paper 3'!$E$13</f>
        <v>139.5775929132339</v>
      </c>
      <c r="J12" s="299">
        <f t="shared" si="1"/>
        <v>139</v>
      </c>
      <c r="K12" s="294"/>
      <c r="L12" s="317"/>
      <c r="M12" s="298">
        <f>'Working Paper 3'!$G$13</f>
        <v>285.31047780447233</v>
      </c>
      <c r="N12" s="300">
        <f t="shared" si="2"/>
        <v>285</v>
      </c>
      <c r="O12" s="294"/>
      <c r="P12" s="317"/>
      <c r="Q12" s="341"/>
      <c r="R12" s="337"/>
      <c r="S12" s="318"/>
      <c r="T12" s="338"/>
      <c r="U12" s="317"/>
      <c r="V12" s="387"/>
      <c r="W12" s="959"/>
      <c r="X12" s="959"/>
      <c r="Y12" s="959"/>
      <c r="Z12" s="961"/>
      <c r="AA12" s="961"/>
      <c r="AB12" s="961"/>
      <c r="AC12" s="961"/>
      <c r="AD12" s="961"/>
      <c r="AE12" s="961"/>
      <c r="AF12" s="961"/>
      <c r="AG12" s="961"/>
      <c r="AH12" s="961"/>
      <c r="AI12" s="961"/>
      <c r="AJ12" s="961"/>
      <c r="AK12" s="961"/>
      <c r="AL12" s="961"/>
      <c r="AM12" s="961"/>
      <c r="AN12" s="961"/>
      <c r="AO12" s="304"/>
    </row>
    <row r="13" spans="1:44" s="291" customFormat="1" ht="21.95" customHeight="1" thickBot="1" x14ac:dyDescent="0.3">
      <c r="A13" s="303"/>
      <c r="H13" s="317"/>
      <c r="L13" s="317"/>
      <c r="P13" s="317"/>
      <c r="Q13" s="317"/>
      <c r="R13" s="317"/>
      <c r="S13" s="317"/>
      <c r="T13" s="317"/>
      <c r="U13" s="317"/>
      <c r="V13" s="31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304"/>
    </row>
    <row r="14" spans="1:44" s="291" customFormat="1" ht="21.95" customHeight="1" thickBot="1" x14ac:dyDescent="0.3">
      <c r="A14" s="303"/>
      <c r="E14" s="315">
        <f>SUM(E5:E13)</f>
        <v>0.99999999999999978</v>
      </c>
      <c r="F14" s="316">
        <f>SUM(F5:F13)</f>
        <v>1</v>
      </c>
      <c r="H14" s="317"/>
      <c r="I14" s="356">
        <f>J25/A25*10000</f>
        <v>145.13100099066577</v>
      </c>
      <c r="J14" s="357">
        <f>K25/A25*10000</f>
        <v>145.13012282617504</v>
      </c>
      <c r="L14" s="317"/>
      <c r="M14" s="363">
        <f>N25/A25*10000</f>
        <v>78.508438139553675</v>
      </c>
      <c r="N14" s="312">
        <f>O25/A25*10000</f>
        <v>77.812174351671729</v>
      </c>
      <c r="P14" s="317"/>
      <c r="R14" s="332">
        <f>S20/A25*10000</f>
        <v>17.560872229097722</v>
      </c>
      <c r="S14" s="413">
        <f>T20/A25*10000</f>
        <v>17.57</v>
      </c>
      <c r="U14" s="317"/>
      <c r="V14" s="31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304"/>
    </row>
    <row r="15" spans="1:44" s="291" customFormat="1" ht="21.95" customHeight="1" thickBot="1" x14ac:dyDescent="0.3">
      <c r="A15" s="655" t="s">
        <v>128</v>
      </c>
      <c r="B15" s="409" t="s">
        <v>129</v>
      </c>
      <c r="C15" s="409" t="s">
        <v>103</v>
      </c>
      <c r="H15" s="317"/>
      <c r="L15" s="317"/>
      <c r="P15" s="317"/>
      <c r="Q15" s="317"/>
      <c r="R15" s="317"/>
      <c r="S15" s="414"/>
      <c r="T15" s="317"/>
      <c r="U15" s="317"/>
      <c r="V15" s="31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304"/>
    </row>
    <row r="16" spans="1:44" s="291" customFormat="1" ht="21.95" customHeight="1" outlineLevel="1" thickBot="1" x14ac:dyDescent="0.3">
      <c r="A16" s="368">
        <f>'TTV By Card'!C24</f>
        <v>7773747.9000000004</v>
      </c>
      <c r="B16" s="370">
        <f>'TTV By Card'!C46</f>
        <v>1302400.9993999999</v>
      </c>
      <c r="C16" s="370">
        <f>'TTV By Card'!C55</f>
        <v>557132.03</v>
      </c>
      <c r="D16" s="291" t="s">
        <v>130</v>
      </c>
      <c r="E16" s="369">
        <v>534</v>
      </c>
      <c r="F16" s="370">
        <f>E5*$A$25</f>
        <v>7354224.4264953528</v>
      </c>
      <c r="G16" s="349">
        <f>F5*$A$25</f>
        <v>7775805.6171600027</v>
      </c>
      <c r="H16" s="317"/>
      <c r="I16" s="296">
        <v>155</v>
      </c>
      <c r="J16" s="348">
        <f t="shared" ref="J16:J23" si="3">I5*A16/10000</f>
        <v>120445.7818181818</v>
      </c>
      <c r="K16" s="350">
        <f t="shared" ref="K16:K23" si="4">J5*F16/10000</f>
        <v>113990.47861067796</v>
      </c>
      <c r="L16" s="317"/>
      <c r="M16" s="296">
        <v>170</v>
      </c>
      <c r="N16" s="348">
        <f t="shared" ref="N16:N23" si="5">M5*A16/10000</f>
        <v>131934.40999999997</v>
      </c>
      <c r="O16" s="351">
        <f t="shared" ref="O16:O23" si="6">N5*F16/10000</f>
        <v>125021.815250421</v>
      </c>
      <c r="P16" s="317"/>
      <c r="Q16" s="329" t="s">
        <v>116</v>
      </c>
      <c r="R16" s="371">
        <v>999</v>
      </c>
      <c r="S16" s="372">
        <f>R5*$A$25/10000</f>
        <v>145416.2343859275</v>
      </c>
      <c r="T16" s="373">
        <f>S5*$A$25/10000</f>
        <v>145468.72306260004</v>
      </c>
      <c r="U16" s="317"/>
      <c r="V16" s="31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304"/>
    </row>
    <row r="17" spans="1:41" ht="21.95" customHeight="1" outlineLevel="1" thickBot="1" x14ac:dyDescent="0.3">
      <c r="A17" s="368">
        <f>'TTV By Card'!D24</f>
        <v>46435674.090000018</v>
      </c>
      <c r="B17" s="370">
        <f>'TTV By Card'!D46</f>
        <v>11196557.2828</v>
      </c>
      <c r="C17" s="370"/>
      <c r="D17" s="291" t="s">
        <v>3</v>
      </c>
      <c r="E17" s="369">
        <v>3189</v>
      </c>
      <c r="F17" s="370">
        <f t="shared" ref="F17:G23" si="7">E6*$A$25</f>
        <v>46698260.287829421</v>
      </c>
      <c r="G17" s="349">
        <f t="shared" si="7"/>
        <v>46436412.196860015</v>
      </c>
      <c r="I17" s="297">
        <v>143</v>
      </c>
      <c r="J17" s="348">
        <f t="shared" si="3"/>
        <v>663995.53636363626</v>
      </c>
      <c r="K17" s="350">
        <f t="shared" si="4"/>
        <v>667785.12211596069</v>
      </c>
      <c r="M17" s="297">
        <v>28</v>
      </c>
      <c r="N17" s="348">
        <f t="shared" si="5"/>
        <v>133087.70000000001</v>
      </c>
      <c r="O17" s="351">
        <f t="shared" si="6"/>
        <v>130755.12880592239</v>
      </c>
      <c r="Q17" s="329" t="s">
        <v>118</v>
      </c>
      <c r="R17" s="374">
        <v>289</v>
      </c>
      <c r="S17" s="372">
        <f t="shared" ref="S17:T18" si="8">R6*$A$25/10000</f>
        <v>42019.346289995163</v>
      </c>
      <c r="T17" s="373">
        <f t="shared" si="8"/>
        <v>42082.543508600014</v>
      </c>
      <c r="AO17" s="355"/>
    </row>
    <row r="18" spans="1:41" ht="21.95" customHeight="1" outlineLevel="1" thickBot="1" x14ac:dyDescent="0.3">
      <c r="A18" s="656">
        <f>'TTV By Card'!E24</f>
        <v>5845626.4700000016</v>
      </c>
      <c r="B18" s="659">
        <f>'TTV By Card'!E46</f>
        <v>1442187.4941</v>
      </c>
      <c r="C18" s="370"/>
      <c r="D18" s="291" t="s">
        <v>4</v>
      </c>
      <c r="E18" s="369">
        <v>401</v>
      </c>
      <c r="F18" s="370">
        <f t="shared" si="7"/>
        <v>5905171.9032596806</v>
      </c>
      <c r="G18" s="349">
        <f t="shared" si="7"/>
        <v>5839134.9297400005</v>
      </c>
      <c r="I18" s="297">
        <v>144</v>
      </c>
      <c r="J18" s="348">
        <f t="shared" si="3"/>
        <v>83860.490909090862</v>
      </c>
      <c r="K18" s="350">
        <f t="shared" si="4"/>
        <v>85034.475406939397</v>
      </c>
      <c r="M18" s="297">
        <v>61</v>
      </c>
      <c r="N18" s="348">
        <f t="shared" si="5"/>
        <v>35211.755454545455</v>
      </c>
      <c r="O18" s="351">
        <f t="shared" si="6"/>
        <v>36021.548609884056</v>
      </c>
      <c r="Q18" s="333" t="s">
        <v>119</v>
      </c>
      <c r="R18" s="374">
        <v>469</v>
      </c>
      <c r="S18" s="372">
        <f t="shared" si="8"/>
        <v>68275.896704689978</v>
      </c>
      <c r="T18" s="373">
        <f t="shared" si="8"/>
        <v>68293.124240600024</v>
      </c>
      <c r="AO18" s="355"/>
    </row>
    <row r="19" spans="1:41" ht="21.95" customHeight="1" outlineLevel="1" x14ac:dyDescent="0.25">
      <c r="A19" s="657">
        <f>'TTV By Card'!F24</f>
        <v>32721693.030000001</v>
      </c>
      <c r="B19" s="658">
        <f>'TTV By Card'!F46</f>
        <v>7817815.4231000002</v>
      </c>
      <c r="C19" s="370"/>
      <c r="D19" s="291" t="s">
        <v>5</v>
      </c>
      <c r="E19" s="369">
        <v>2247</v>
      </c>
      <c r="F19" s="370">
        <f t="shared" si="7"/>
        <v>32848364.059299633</v>
      </c>
      <c r="G19" s="349">
        <f t="shared" si="7"/>
        <v>32719541.61378001</v>
      </c>
      <c r="I19" s="297">
        <v>143</v>
      </c>
      <c r="J19" s="348">
        <f t="shared" si="3"/>
        <v>468632.70909090899</v>
      </c>
      <c r="K19" s="350">
        <f t="shared" si="4"/>
        <v>469731.60604798479</v>
      </c>
      <c r="M19" s="297">
        <v>66</v>
      </c>
      <c r="N19" s="348">
        <f t="shared" si="5"/>
        <v>215727.4118181818</v>
      </c>
      <c r="O19" s="351">
        <f t="shared" si="6"/>
        <v>216799.20279137758</v>
      </c>
      <c r="T19" s="246"/>
      <c r="AO19" s="355"/>
    </row>
    <row r="20" spans="1:41" ht="21.95" customHeight="1" outlineLevel="1" x14ac:dyDescent="0.25">
      <c r="A20" s="656">
        <f>'TTV By Card'!G24</f>
        <v>37104582.900000006</v>
      </c>
      <c r="B20" s="659">
        <f>'TTV By Card'!G46</f>
        <v>8636077.8311000001</v>
      </c>
      <c r="C20" s="370"/>
      <c r="D20" s="291" t="s">
        <v>131</v>
      </c>
      <c r="E20" s="369">
        <v>2548</v>
      </c>
      <c r="F20" s="370">
        <f t="shared" si="7"/>
        <v>37062755.157634109</v>
      </c>
      <c r="G20" s="349">
        <f t="shared" si="7"/>
        <v>37102533.169520013</v>
      </c>
      <c r="I20" s="297">
        <v>149</v>
      </c>
      <c r="J20" s="348">
        <f t="shared" si="3"/>
        <v>551713.47272727301</v>
      </c>
      <c r="K20" s="350">
        <f t="shared" si="4"/>
        <v>552235.05184874823</v>
      </c>
      <c r="M20" s="297">
        <v>101</v>
      </c>
      <c r="N20" s="348">
        <f t="shared" si="5"/>
        <v>374267.73727272736</v>
      </c>
      <c r="O20" s="351">
        <f t="shared" si="6"/>
        <v>374333.82709210448</v>
      </c>
      <c r="R20" s="345">
        <f>T20/A25*1000</f>
        <v>1.7570000000000001</v>
      </c>
      <c r="S20" s="377">
        <f>SUM(S16:S19)</f>
        <v>255711.47738061263</v>
      </c>
      <c r="T20" s="377">
        <f>SUM(T16:T18)</f>
        <v>255844.39081180008</v>
      </c>
      <c r="AO20" s="355"/>
    </row>
    <row r="21" spans="1:41" ht="21.95" customHeight="1" outlineLevel="1" x14ac:dyDescent="0.25">
      <c r="A21" s="657">
        <f>'TTV By Card'!H24</f>
        <v>8618063.129999999</v>
      </c>
      <c r="B21" s="658">
        <f>'TTV By Card'!H46</f>
        <v>2175214.2345999996</v>
      </c>
      <c r="C21" s="370"/>
      <c r="D21" s="291" t="s">
        <v>7</v>
      </c>
      <c r="E21" s="369">
        <v>592</v>
      </c>
      <c r="F21" s="370">
        <f t="shared" si="7"/>
        <v>8745579.7515538838</v>
      </c>
      <c r="G21" s="349">
        <f t="shared" si="7"/>
        <v>8620368.7740800027</v>
      </c>
      <c r="I21" s="297">
        <v>143</v>
      </c>
      <c r="J21" s="348">
        <f t="shared" si="3"/>
        <v>123228.3454545454</v>
      </c>
      <c r="K21" s="350">
        <f t="shared" si="4"/>
        <v>125061.79044722054</v>
      </c>
      <c r="M21" s="297">
        <v>55</v>
      </c>
      <c r="N21" s="348">
        <f t="shared" si="5"/>
        <v>47321.164545454551</v>
      </c>
      <c r="O21" s="351">
        <f t="shared" si="6"/>
        <v>48100.688633546357</v>
      </c>
      <c r="V21" s="320"/>
      <c r="W21" s="297"/>
      <c r="X21" s="297"/>
      <c r="Y21" s="297"/>
      <c r="AO21" s="355"/>
    </row>
    <row r="22" spans="1:41" ht="21.95" customHeight="1" outlineLevel="1" x14ac:dyDescent="0.25">
      <c r="A22" s="656">
        <f>'TTV By Card'!I24</f>
        <v>3623457.5800000005</v>
      </c>
      <c r="B22" s="659">
        <f>'TTV By Card'!I46</f>
        <v>828490.68809999991</v>
      </c>
      <c r="C22" s="370"/>
      <c r="D22" s="291" t="s">
        <v>132</v>
      </c>
      <c r="E22" s="369">
        <v>249</v>
      </c>
      <c r="F22" s="370">
        <f t="shared" si="7"/>
        <v>3607325.8671328216</v>
      </c>
      <c r="G22" s="349">
        <f t="shared" si="7"/>
        <v>3625797.0012600007</v>
      </c>
      <c r="I22" s="297">
        <v>145</v>
      </c>
      <c r="J22" s="348">
        <f t="shared" si="3"/>
        <v>52705.709090909069</v>
      </c>
      <c r="K22" s="350">
        <f t="shared" si="4"/>
        <v>52306.225073425914</v>
      </c>
      <c r="M22" s="297">
        <v>292</v>
      </c>
      <c r="N22" s="348">
        <f t="shared" si="5"/>
        <v>106029.30727272728</v>
      </c>
      <c r="O22" s="351">
        <f t="shared" si="6"/>
        <v>105333.91532027839</v>
      </c>
      <c r="R22" s="386">
        <v>100</v>
      </c>
      <c r="S22" s="385">
        <f>S10*1</f>
        <v>1</v>
      </c>
      <c r="T22" s="246"/>
      <c r="AO22" s="355"/>
    </row>
    <row r="23" spans="1:41" ht="21.95" customHeight="1" outlineLevel="1" x14ac:dyDescent="0.25">
      <c r="A23" s="657">
        <f>'TTV By Card'!J24</f>
        <v>3491492.3000000003</v>
      </c>
      <c r="B23" s="658">
        <f>'TTV By Card'!J46</f>
        <v>695523.04680000001</v>
      </c>
      <c r="C23" s="370"/>
      <c r="D23" s="291" t="s">
        <v>133</v>
      </c>
      <c r="E23" s="369">
        <v>240</v>
      </c>
      <c r="F23" s="370">
        <f t="shared" si="7"/>
        <v>3392655.9467951292</v>
      </c>
      <c r="G23" s="349">
        <f t="shared" si="7"/>
        <v>3494744.0976000009</v>
      </c>
      <c r="I23" s="297">
        <v>139</v>
      </c>
      <c r="J23" s="348">
        <f t="shared" si="3"/>
        <v>48733.409090909074</v>
      </c>
      <c r="K23" s="350">
        <f t="shared" si="4"/>
        <v>47157.917660452295</v>
      </c>
      <c r="M23" s="297">
        <v>285</v>
      </c>
      <c r="N23" s="348">
        <f t="shared" si="5"/>
        <v>99615.93363636361</v>
      </c>
      <c r="O23" s="351">
        <f t="shared" si="6"/>
        <v>96690.69448366118</v>
      </c>
      <c r="T23" s="246"/>
      <c r="AO23" s="355"/>
    </row>
    <row r="24" spans="1:41" ht="21.95" customHeight="1" outlineLevel="1" x14ac:dyDescent="0.25">
      <c r="A24" s="375"/>
      <c r="E24" s="291"/>
      <c r="AO24" s="355"/>
    </row>
    <row r="25" spans="1:41" ht="21.95" customHeight="1" outlineLevel="1" x14ac:dyDescent="0.25">
      <c r="A25" s="376">
        <f>SUM(A16:A24)</f>
        <v>145614337.40000004</v>
      </c>
      <c r="B25" s="376">
        <f>SUM(B16:B24)</f>
        <v>34094267</v>
      </c>
      <c r="C25" s="342"/>
      <c r="D25" s="343"/>
      <c r="E25" s="344">
        <f>SUM(E16:E24)</f>
        <v>10000</v>
      </c>
      <c r="F25" s="342">
        <f>SUM(F16:F23)</f>
        <v>145614337.40000004</v>
      </c>
      <c r="G25" s="342">
        <f>SUM(G16:G23)</f>
        <v>145614337.40000007</v>
      </c>
      <c r="H25" s="343"/>
      <c r="I25" s="345">
        <f>J25/F25*10000</f>
        <v>145.13100099066577</v>
      </c>
      <c r="J25" s="342">
        <f>SUM(J16:J24)</f>
        <v>2113315.4545454546</v>
      </c>
      <c r="K25" s="342">
        <f>SUM(K16:K24)</f>
        <v>2113302.6672114097</v>
      </c>
      <c r="L25" s="343"/>
      <c r="M25" s="345">
        <f>N25/F25*10000</f>
        <v>78.508438139553675</v>
      </c>
      <c r="N25" s="347">
        <f>SUM(N16:N24)</f>
        <v>1143195.4200000002</v>
      </c>
      <c r="O25" s="377">
        <f>SUM(O16:O24)</f>
        <v>1133056.8209871955</v>
      </c>
      <c r="P25" s="345"/>
      <c r="Q25" s="345"/>
      <c r="U25" s="320"/>
      <c r="AO25" s="355"/>
    </row>
    <row r="26" spans="1:41" ht="21.95" customHeight="1" outlineLevel="1" thickBot="1" x14ac:dyDescent="0.3">
      <c r="A26" s="378"/>
      <c r="B26" s="379"/>
      <c r="C26" s="379"/>
      <c r="D26" s="379"/>
      <c r="E26" s="379"/>
      <c r="F26" s="379"/>
      <c r="G26" s="379"/>
      <c r="H26" s="380"/>
      <c r="I26" s="379"/>
      <c r="J26" s="379"/>
      <c r="K26" s="379"/>
      <c r="L26" s="380"/>
      <c r="M26" s="379"/>
      <c r="N26" s="381">
        <f>J25-N25</f>
        <v>970120.03454545443</v>
      </c>
      <c r="O26" s="382"/>
      <c r="P26" s="380"/>
      <c r="Q26" s="380"/>
      <c r="R26" s="380"/>
      <c r="S26" s="380"/>
      <c r="T26" s="380"/>
      <c r="U26" s="380"/>
      <c r="V26" s="380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26"/>
    </row>
    <row r="27" spans="1:41" ht="21.95" customHeight="1" outlineLevel="1" x14ac:dyDescent="0.25">
      <c r="N27" s="149"/>
      <c r="O27" s="7"/>
    </row>
    <row r="28" spans="1:41" ht="21.95" customHeight="1" outlineLevel="1" x14ac:dyDescent="0.35">
      <c r="E28" s="465" t="s">
        <v>134</v>
      </c>
      <c r="G28" s="465" t="s">
        <v>135</v>
      </c>
      <c r="H28" s="466"/>
      <c r="I28" s="465"/>
      <c r="J28" s="465"/>
      <c r="K28" s="465"/>
      <c r="L28" s="466"/>
      <c r="M28" s="465"/>
      <c r="N28" s="468"/>
    </row>
    <row r="29" spans="1:41" ht="21.95" customHeight="1" outlineLevel="1" thickBot="1" x14ac:dyDescent="0.3">
      <c r="A29" s="291"/>
      <c r="B29" s="291"/>
      <c r="C29" s="291"/>
      <c r="D29" s="291"/>
      <c r="E29" s="291"/>
      <c r="F29" s="291"/>
      <c r="G29" s="291"/>
      <c r="H29" s="317"/>
      <c r="I29" s="291"/>
      <c r="J29" s="291"/>
      <c r="K29" s="291"/>
      <c r="L29" s="317"/>
      <c r="M29" s="291"/>
      <c r="N29" s="291"/>
      <c r="O29" s="291"/>
      <c r="P29" s="317"/>
      <c r="Q29" s="317"/>
      <c r="R29" s="317"/>
      <c r="S29" s="317"/>
      <c r="T29" s="317"/>
      <c r="U29" s="317"/>
      <c r="V29" s="317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</row>
    <row r="30" spans="1:41" ht="38.25" customHeight="1" outlineLevel="1" thickBot="1" x14ac:dyDescent="0.3">
      <c r="A30" s="291"/>
      <c r="B30" s="291"/>
      <c r="C30" s="291"/>
      <c r="D30" s="291"/>
      <c r="E30" s="883" t="s">
        <v>104</v>
      </c>
      <c r="F30" s="884"/>
      <c r="G30" s="885"/>
      <c r="H30" s="323"/>
      <c r="I30" s="873" t="s">
        <v>105</v>
      </c>
      <c r="J30" s="874"/>
      <c r="K30" s="875"/>
      <c r="L30" s="323"/>
      <c r="M30" s="876" t="s">
        <v>106</v>
      </c>
      <c r="N30" s="877"/>
      <c r="O30" s="878"/>
      <c r="P30" s="323"/>
      <c r="Q30" s="323"/>
      <c r="R30" s="879" t="s">
        <v>107</v>
      </c>
      <c r="S30" s="880"/>
      <c r="T30" s="881"/>
      <c r="U30" s="323"/>
      <c r="V30" s="321"/>
      <c r="W30" s="936" t="s">
        <v>108</v>
      </c>
      <c r="X30" s="937"/>
      <c r="Y30" s="938"/>
      <c r="Z30" s="942" t="s">
        <v>1</v>
      </c>
      <c r="AA30" s="942"/>
      <c r="AB30" s="943"/>
      <c r="AC30" s="860" t="s">
        <v>109</v>
      </c>
      <c r="AD30" s="913"/>
      <c r="AE30" s="913"/>
      <c r="AF30" s="853" t="s">
        <v>110</v>
      </c>
      <c r="AG30" s="851"/>
      <c r="AH30" s="916"/>
      <c r="AI30" s="857" t="s">
        <v>111</v>
      </c>
      <c r="AJ30" s="857"/>
      <c r="AK30" s="858"/>
      <c r="AL30" s="860" t="s">
        <v>112</v>
      </c>
      <c r="AM30" s="861"/>
      <c r="AN30" s="862"/>
      <c r="AO30" s="291"/>
    </row>
    <row r="31" spans="1:41" ht="38.450000000000003" customHeight="1" outlineLevel="1" thickBot="1" x14ac:dyDescent="0.3">
      <c r="A31" s="291"/>
      <c r="B31" s="291"/>
      <c r="C31" s="291"/>
      <c r="D31" s="291"/>
      <c r="E31" s="325" t="s">
        <v>113</v>
      </c>
      <c r="F31" s="883" t="s">
        <v>114</v>
      </c>
      <c r="G31" s="890"/>
      <c r="H31" s="322"/>
      <c r="I31" s="302" t="s">
        <v>113</v>
      </c>
      <c r="J31" s="873" t="s">
        <v>115</v>
      </c>
      <c r="K31" s="891"/>
      <c r="L31" s="322"/>
      <c r="M31" s="302" t="s">
        <v>113</v>
      </c>
      <c r="N31" s="876" t="s">
        <v>115</v>
      </c>
      <c r="O31" s="886"/>
      <c r="P31" s="322"/>
      <c r="Q31" s="322"/>
      <c r="R31" s="328" t="s">
        <v>113</v>
      </c>
      <c r="S31" s="871" t="s">
        <v>115</v>
      </c>
      <c r="T31" s="872"/>
      <c r="U31" s="322"/>
      <c r="V31" s="322"/>
      <c r="W31" s="939"/>
      <c r="X31" s="940"/>
      <c r="Y31" s="941"/>
      <c r="Z31" s="944"/>
      <c r="AA31" s="944"/>
      <c r="AB31" s="944"/>
      <c r="AC31" s="930"/>
      <c r="AD31" s="931"/>
      <c r="AE31" s="931"/>
      <c r="AF31" s="854"/>
      <c r="AG31" s="849"/>
      <c r="AH31" s="850"/>
      <c r="AI31" s="859"/>
      <c r="AJ31" s="859"/>
      <c r="AK31" s="859"/>
      <c r="AL31" s="863"/>
      <c r="AM31" s="864"/>
      <c r="AN31" s="864"/>
      <c r="AO31" s="291"/>
    </row>
    <row r="32" spans="1:41" ht="49.5" customHeight="1" outlineLevel="1" thickBot="1" x14ac:dyDescent="0.3">
      <c r="A32" s="291"/>
      <c r="B32" s="291"/>
      <c r="C32" s="291"/>
      <c r="D32" s="301" t="s">
        <v>130</v>
      </c>
      <c r="E32" s="309">
        <f>'Working Paper 3'!$C$6</f>
        <v>5.0504809882102659E-2</v>
      </c>
      <c r="F32" s="295">
        <f t="shared" ref="F32:F39" si="9">E43/10000</f>
        <v>5.3400000000000003E-2</v>
      </c>
      <c r="G32" s="293"/>
      <c r="H32" s="324"/>
      <c r="I32" s="298">
        <f>'Working Paper 3'!$E$6</f>
        <v>154.93914051185246</v>
      </c>
      <c r="J32" s="299">
        <f>I43</f>
        <v>178</v>
      </c>
      <c r="K32" s="294"/>
      <c r="L32" s="317"/>
      <c r="M32" s="298">
        <f>'Working Paper 3'!$G$6</f>
        <v>169.71789116032431</v>
      </c>
      <c r="N32" s="300">
        <f>M43</f>
        <v>170</v>
      </c>
      <c r="O32" s="294"/>
      <c r="P32" s="317"/>
      <c r="Q32" s="329" t="s">
        <v>116</v>
      </c>
      <c r="R32" s="334">
        <v>9.99</v>
      </c>
      <c r="S32" s="352">
        <f>R43/100</f>
        <v>10</v>
      </c>
      <c r="T32" s="330"/>
      <c r="U32" s="317"/>
      <c r="V32" s="911" t="s">
        <v>117</v>
      </c>
      <c r="W32" s="932">
        <f>J52</f>
        <v>2607524.6385163465</v>
      </c>
      <c r="X32" s="896"/>
      <c r="Y32" s="933"/>
      <c r="Z32" s="895">
        <f>N52</f>
        <v>1400759.8363022131</v>
      </c>
      <c r="AA32" s="896"/>
      <c r="AB32" s="933"/>
      <c r="AC32" s="895">
        <f>W32-Z32</f>
        <v>1206764.8022141333</v>
      </c>
      <c r="AD32" s="896"/>
      <c r="AE32" s="933"/>
      <c r="AF32" s="935">
        <f>AC32/W32</f>
        <v>0.46280092022477287</v>
      </c>
      <c r="AG32" s="896"/>
      <c r="AH32" s="933"/>
      <c r="AI32" s="934">
        <f>S52</f>
        <v>255844.39081180008</v>
      </c>
      <c r="AJ32" s="896"/>
      <c r="AK32" s="933"/>
      <c r="AL32" s="895">
        <f>AC32-AI32</f>
        <v>950920.41140233329</v>
      </c>
      <c r="AM32" s="896"/>
      <c r="AN32" s="897"/>
      <c r="AO32" s="291"/>
    </row>
    <row r="33" spans="1:41" ht="49.5" customHeight="1" outlineLevel="1" thickBot="1" x14ac:dyDescent="0.3">
      <c r="A33" s="291"/>
      <c r="B33" s="291"/>
      <c r="C33" s="291"/>
      <c r="D33" s="301" t="s">
        <v>3</v>
      </c>
      <c r="E33" s="309">
        <f>'Working Paper 3'!$C$7</f>
        <v>0.3206982301443993</v>
      </c>
      <c r="F33" s="295">
        <f t="shared" si="9"/>
        <v>0.31890000000000002</v>
      </c>
      <c r="G33" s="294"/>
      <c r="H33" s="317"/>
      <c r="I33" s="298">
        <f>'Working Paper 3'!$E$7</f>
        <v>142.99254815956868</v>
      </c>
      <c r="J33" s="299">
        <f t="shared" ref="J33:J39" si="10">I44</f>
        <v>65</v>
      </c>
      <c r="K33" s="294"/>
      <c r="L33" s="317"/>
      <c r="M33" s="298">
        <f>'Working Paper 3'!$G$7</f>
        <v>28.660658557912612</v>
      </c>
      <c r="N33" s="300">
        <f t="shared" ref="N33:N39" si="11">M44</f>
        <v>28</v>
      </c>
      <c r="O33" s="294"/>
      <c r="P33" s="317"/>
      <c r="Q33" s="329" t="s">
        <v>118</v>
      </c>
      <c r="R33" s="334">
        <v>2.89</v>
      </c>
      <c r="S33" s="352">
        <f>R44/100</f>
        <v>2.89</v>
      </c>
      <c r="T33" s="330"/>
      <c r="U33" s="317"/>
      <c r="V33" s="912"/>
      <c r="W33" s="834">
        <f>I41</f>
        <v>145.09737289553766</v>
      </c>
      <c r="X33" s="835"/>
      <c r="Y33" s="836"/>
      <c r="Z33" s="837">
        <f>M41</f>
        <v>77.946175197285811</v>
      </c>
      <c r="AA33" s="835"/>
      <c r="AB33" s="836"/>
      <c r="AC33" s="837">
        <f>W33-Z33</f>
        <v>67.151197698251849</v>
      </c>
      <c r="AD33" s="838"/>
      <c r="AE33" s="839"/>
      <c r="AF33" s="840"/>
      <c r="AG33" s="841"/>
      <c r="AH33" s="842"/>
      <c r="AI33" s="843">
        <f>R35</f>
        <v>14.236624432424785</v>
      </c>
      <c r="AJ33" s="835"/>
      <c r="AK33" s="836"/>
      <c r="AL33" s="837">
        <f>AC33-AI33</f>
        <v>52.914573265827066</v>
      </c>
      <c r="AM33" s="835"/>
      <c r="AN33" s="844"/>
      <c r="AO33" s="291"/>
    </row>
    <row r="34" spans="1:41" ht="49.5" customHeight="1" outlineLevel="1" thickBot="1" x14ac:dyDescent="0.3">
      <c r="A34" s="291"/>
      <c r="B34" s="291"/>
      <c r="C34" s="291"/>
      <c r="D34" s="301" t="s">
        <v>4</v>
      </c>
      <c r="E34" s="309">
        <f>'Working Paper 3'!$C$8</f>
        <v>4.0553505985047866E-2</v>
      </c>
      <c r="F34" s="295">
        <f t="shared" si="9"/>
        <v>4.0099999999999997E-2</v>
      </c>
      <c r="G34" s="326"/>
      <c r="H34" s="317"/>
      <c r="I34" s="298">
        <f>'Working Paper 3'!$E$8</f>
        <v>143.45851781578313</v>
      </c>
      <c r="J34" s="299">
        <f t="shared" si="10"/>
        <v>159</v>
      </c>
      <c r="K34" s="294"/>
      <c r="L34" s="317"/>
      <c r="M34" s="298">
        <f>'Working Paper 3'!$G$8</f>
        <v>60.236068170372583</v>
      </c>
      <c r="N34" s="300">
        <f t="shared" si="11"/>
        <v>61</v>
      </c>
      <c r="O34" s="294"/>
      <c r="P34" s="317"/>
      <c r="Q34" s="331" t="s">
        <v>119</v>
      </c>
      <c r="R34" s="334">
        <v>4.6900000000000004</v>
      </c>
      <c r="S34" s="352">
        <f>R45/100</f>
        <v>4.6900000000000004</v>
      </c>
      <c r="T34" s="330"/>
      <c r="U34" s="317"/>
      <c r="V34" s="909" t="s">
        <v>136</v>
      </c>
      <c r="W34" s="812">
        <f>K52*$S$38</f>
        <v>1578394.0670401079</v>
      </c>
      <c r="X34" s="788"/>
      <c r="Y34" s="789"/>
      <c r="Z34" s="813">
        <f>O52*$S$38</f>
        <v>1133056.8209871955</v>
      </c>
      <c r="AA34" s="788"/>
      <c r="AB34" s="789"/>
      <c r="AC34" s="813">
        <f>W34-Z34</f>
        <v>445337.24605291244</v>
      </c>
      <c r="AD34" s="788"/>
      <c r="AE34" s="788"/>
      <c r="AF34" s="814">
        <f>AC34/W34</f>
        <v>0.28214579321628697</v>
      </c>
      <c r="AG34" s="788"/>
      <c r="AH34" s="789"/>
      <c r="AI34" s="815">
        <f>S52*S38</f>
        <v>255844.39081180008</v>
      </c>
      <c r="AJ34" s="788"/>
      <c r="AK34" s="789"/>
      <c r="AL34" s="813">
        <f>AC34-AI34</f>
        <v>189492.85524111235</v>
      </c>
      <c r="AM34" s="788"/>
      <c r="AN34" s="797"/>
      <c r="AO34" s="291"/>
    </row>
    <row r="35" spans="1:41" ht="49.5" customHeight="1" outlineLevel="1" thickBot="1" x14ac:dyDescent="0.3">
      <c r="A35" s="291"/>
      <c r="B35" s="291"/>
      <c r="C35" s="291"/>
      <c r="D35" s="301" t="s">
        <v>5</v>
      </c>
      <c r="E35" s="309">
        <f>'Working Paper 3'!$C$9</f>
        <v>0.22558468242770457</v>
      </c>
      <c r="F35" s="295">
        <f t="shared" si="9"/>
        <v>0.22470000000000001</v>
      </c>
      <c r="G35" s="294"/>
      <c r="H35" s="317"/>
      <c r="I35" s="298">
        <f>'Working Paper 3'!$E$9</f>
        <v>143.21774507854948</v>
      </c>
      <c r="J35" s="299">
        <f t="shared" si="10"/>
        <v>65</v>
      </c>
      <c r="K35" s="294"/>
      <c r="L35" s="317"/>
      <c r="M35" s="298">
        <f>'Working Paper 3'!$G$9</f>
        <v>65.927949272184037</v>
      </c>
      <c r="N35" s="300">
        <f t="shared" si="11"/>
        <v>66</v>
      </c>
      <c r="O35" s="294"/>
      <c r="P35" s="317"/>
      <c r="Q35" s="340"/>
      <c r="R35" s="332">
        <f>S52/A52*10000</f>
        <v>14.236624432424785</v>
      </c>
      <c r="S35" s="339">
        <f>T52/A52*10000</f>
        <v>14.244727235175167</v>
      </c>
      <c r="T35" s="336"/>
      <c r="U35" s="317"/>
      <c r="V35" s="910"/>
      <c r="W35" s="816">
        <f>J41*$S$38</f>
        <v>87.830745350783417</v>
      </c>
      <c r="X35" s="817"/>
      <c r="Y35" s="818"/>
      <c r="Z35" s="819">
        <f>N41*S38</f>
        <v>63.049670035008923</v>
      </c>
      <c r="AA35" s="817"/>
      <c r="AB35" s="818"/>
      <c r="AC35" s="819">
        <f>W35-Z35</f>
        <v>24.781075315774494</v>
      </c>
      <c r="AD35" s="817"/>
      <c r="AE35" s="817"/>
      <c r="AF35" s="820"/>
      <c r="AG35" s="821"/>
      <c r="AH35" s="822"/>
      <c r="AI35" s="823">
        <f>S35*S38</f>
        <v>14.244727235175167</v>
      </c>
      <c r="AJ35" s="817"/>
      <c r="AK35" s="817"/>
      <c r="AL35" s="819">
        <f>AC35-AI35</f>
        <v>10.536348080599327</v>
      </c>
      <c r="AM35" s="817"/>
      <c r="AN35" s="824"/>
      <c r="AO35" s="291"/>
    </row>
    <row r="36" spans="1:41" ht="49.5" customHeight="1" outlineLevel="1" thickBot="1" x14ac:dyDescent="0.3">
      <c r="A36" s="291"/>
      <c r="B36" s="291"/>
      <c r="C36" s="291"/>
      <c r="D36" s="301" t="s">
        <v>131</v>
      </c>
      <c r="E36" s="309">
        <f>'Working Paper 3'!$C$10</f>
        <v>0.25452682626864803</v>
      </c>
      <c r="F36" s="295">
        <f t="shared" si="9"/>
        <v>0.25480000000000003</v>
      </c>
      <c r="G36" s="294"/>
      <c r="H36" s="317"/>
      <c r="I36" s="298">
        <f>'Working Paper 3'!$E$10</f>
        <v>148.69146331982427</v>
      </c>
      <c r="J36" s="299">
        <f t="shared" si="10"/>
        <v>159</v>
      </c>
      <c r="K36" s="294"/>
      <c r="L36" s="317"/>
      <c r="M36" s="298">
        <f>'Working Paper 3'!$G$10</f>
        <v>100.86833162399658</v>
      </c>
      <c r="N36" s="300">
        <f t="shared" si="11"/>
        <v>101</v>
      </c>
      <c r="O36" s="294"/>
      <c r="P36" s="317"/>
      <c r="Q36" s="340"/>
      <c r="T36" s="336"/>
      <c r="U36" s="317"/>
      <c r="V36" s="388" t="s">
        <v>124</v>
      </c>
      <c r="W36" s="787">
        <f t="shared" ref="W36:W37" si="12">W32-W34</f>
        <v>1029130.5714762385</v>
      </c>
      <c r="X36" s="788"/>
      <c r="Y36" s="789"/>
      <c r="Z36" s="790">
        <f t="shared" ref="Z36:Z37" si="13">Z32-Z34</f>
        <v>267703.01531501766</v>
      </c>
      <c r="AA36" s="791"/>
      <c r="AB36" s="792"/>
      <c r="AC36" s="793">
        <f t="shared" ref="AC36:AC37" si="14">AC32-AC34</f>
        <v>761427.55616122088</v>
      </c>
      <c r="AD36" s="788"/>
      <c r="AE36" s="788"/>
      <c r="AF36" s="794"/>
      <c r="AG36" s="788"/>
      <c r="AH36" s="789"/>
      <c r="AI36" s="795">
        <f t="shared" ref="AI36:AI37" si="15">AI32-AI34</f>
        <v>0</v>
      </c>
      <c r="AJ36" s="788"/>
      <c r="AK36" s="789"/>
      <c r="AL36" s="796">
        <f t="shared" ref="AL36:AL37" si="16">AL32-AL34</f>
        <v>761427.55616122088</v>
      </c>
      <c r="AM36" s="788"/>
      <c r="AN36" s="797"/>
      <c r="AO36" s="291"/>
    </row>
    <row r="37" spans="1:41" ht="49.5" customHeight="1" outlineLevel="1" thickBot="1" x14ac:dyDescent="0.3">
      <c r="A37" s="291"/>
      <c r="B37" s="291"/>
      <c r="C37" s="291"/>
      <c r="D37" s="301" t="s">
        <v>7</v>
      </c>
      <c r="E37" s="309">
        <f>'Working Paper 3'!$C$11</f>
        <v>6.0059880831170691E-2</v>
      </c>
      <c r="F37" s="295">
        <f t="shared" si="9"/>
        <v>5.9200000000000003E-2</v>
      </c>
      <c r="G37" s="294"/>
      <c r="H37" s="317"/>
      <c r="I37" s="298">
        <f>'Working Paper 3'!$E$11</f>
        <v>142.98844600659757</v>
      </c>
      <c r="J37" s="299">
        <f t="shared" si="10"/>
        <v>65</v>
      </c>
      <c r="K37" s="294"/>
      <c r="L37" s="317"/>
      <c r="M37" s="298">
        <f>'Working Paper 3'!$G$11</f>
        <v>54.90928046317822</v>
      </c>
      <c r="N37" s="300">
        <f t="shared" si="11"/>
        <v>55</v>
      </c>
      <c r="O37" s="294"/>
      <c r="P37" s="317"/>
      <c r="Q37" s="340"/>
      <c r="R37" s="887" t="s">
        <v>123</v>
      </c>
      <c r="S37" s="888"/>
      <c r="T37" s="889"/>
      <c r="U37" s="317"/>
      <c r="V37" s="389"/>
      <c r="W37" s="798">
        <f t="shared" si="12"/>
        <v>57.266627544754243</v>
      </c>
      <c r="X37" s="799"/>
      <c r="Y37" s="800"/>
      <c r="Z37" s="801">
        <f t="shared" si="13"/>
        <v>14.896505162276888</v>
      </c>
      <c r="AA37" s="799"/>
      <c r="AB37" s="800"/>
      <c r="AC37" s="801">
        <f t="shared" si="14"/>
        <v>42.370122382477355</v>
      </c>
      <c r="AD37" s="799"/>
      <c r="AE37" s="799"/>
      <c r="AF37" s="802"/>
      <c r="AG37" s="803"/>
      <c r="AH37" s="804"/>
      <c r="AI37" s="805">
        <f t="shared" si="15"/>
        <v>-8.102802750382665E-3</v>
      </c>
      <c r="AJ37" s="806"/>
      <c r="AK37" s="807"/>
      <c r="AL37" s="808">
        <f t="shared" si="16"/>
        <v>42.378225185227741</v>
      </c>
      <c r="AM37" s="806"/>
      <c r="AN37" s="809"/>
      <c r="AO37" s="291"/>
    </row>
    <row r="38" spans="1:41" ht="49.5" customHeight="1" outlineLevel="1" thickBot="1" x14ac:dyDescent="0.3">
      <c r="A38" s="291"/>
      <c r="B38" s="291"/>
      <c r="C38" s="291"/>
      <c r="D38" s="301" t="s">
        <v>132</v>
      </c>
      <c r="E38" s="309">
        <f>'Working Paper 3'!$C$12</f>
        <v>2.4773150306096305E-2</v>
      </c>
      <c r="F38" s="295">
        <f t="shared" si="9"/>
        <v>2.4899999999999999E-2</v>
      </c>
      <c r="G38" s="294"/>
      <c r="H38" s="317"/>
      <c r="I38" s="298">
        <f>'Working Paper 3'!$E$12</f>
        <v>145.45695079148425</v>
      </c>
      <c r="J38" s="299">
        <f t="shared" si="10"/>
        <v>272</v>
      </c>
      <c r="K38" s="294"/>
      <c r="L38" s="317"/>
      <c r="M38" s="298">
        <f>'Working Paper 3'!$G$12</f>
        <v>292.619148787516</v>
      </c>
      <c r="N38" s="300">
        <f t="shared" si="11"/>
        <v>292</v>
      </c>
      <c r="O38" s="294"/>
      <c r="P38" s="317"/>
      <c r="Q38" s="340"/>
      <c r="R38" s="384">
        <v>1</v>
      </c>
      <c r="S38" s="384">
        <f>R41/100</f>
        <v>1</v>
      </c>
      <c r="T38" s="383"/>
      <c r="U38" s="317"/>
      <c r="V38" s="412"/>
      <c r="W38" s="965"/>
      <c r="X38" s="962"/>
      <c r="Y38" s="962"/>
      <c r="Z38" s="965"/>
      <c r="AA38" s="962"/>
      <c r="AB38" s="962"/>
      <c r="AC38" s="965"/>
      <c r="AD38" s="962"/>
      <c r="AE38" s="962"/>
      <c r="AF38" s="961"/>
      <c r="AG38" s="962"/>
      <c r="AH38" s="962"/>
      <c r="AI38" s="965"/>
      <c r="AJ38" s="962"/>
      <c r="AK38" s="962"/>
      <c r="AL38" s="965"/>
      <c r="AM38" s="962"/>
      <c r="AN38" s="962"/>
      <c r="AO38" s="291"/>
    </row>
    <row r="39" spans="1:41" ht="49.5" customHeight="1" outlineLevel="1" thickBot="1" x14ac:dyDescent="0.3">
      <c r="A39" s="291"/>
      <c r="B39" s="291"/>
      <c r="C39" s="291"/>
      <c r="D39" s="301" t="s">
        <v>133</v>
      </c>
      <c r="E39" s="309">
        <f>'Working Paper 3'!$C$13</f>
        <v>2.3298914154830527E-2</v>
      </c>
      <c r="F39" s="295">
        <f t="shared" si="9"/>
        <v>2.4E-2</v>
      </c>
      <c r="G39" s="294"/>
      <c r="H39" s="317"/>
      <c r="I39" s="298">
        <f>'Working Paper 3'!$E$13</f>
        <v>139.5775929132339</v>
      </c>
      <c r="J39" s="299">
        <f t="shared" si="10"/>
        <v>272</v>
      </c>
      <c r="K39" s="294"/>
      <c r="L39" s="317"/>
      <c r="M39" s="298">
        <f>'Working Paper 3'!$G$13</f>
        <v>285.31047780447233</v>
      </c>
      <c r="N39" s="300">
        <f t="shared" si="11"/>
        <v>285</v>
      </c>
      <c r="O39" s="294"/>
      <c r="P39" s="317"/>
      <c r="Q39" s="341"/>
      <c r="R39" s="337"/>
      <c r="S39" s="318"/>
      <c r="T39" s="338"/>
      <c r="U39" s="317"/>
      <c r="V39" s="387"/>
      <c r="W39" s="959"/>
      <c r="X39" s="960"/>
      <c r="Y39" s="960"/>
      <c r="Z39" s="959"/>
      <c r="AA39" s="960"/>
      <c r="AB39" s="960"/>
      <c r="AC39" s="959"/>
      <c r="AD39" s="960"/>
      <c r="AE39" s="960"/>
      <c r="AF39" s="961"/>
      <c r="AG39" s="962"/>
      <c r="AH39" s="962"/>
      <c r="AI39" s="963"/>
      <c r="AJ39" s="964"/>
      <c r="AK39" s="964"/>
      <c r="AL39" s="963"/>
      <c r="AM39" s="964"/>
      <c r="AN39" s="964"/>
      <c r="AO39" s="291"/>
    </row>
    <row r="40" spans="1:41" ht="16.5" customHeight="1" outlineLevel="1" thickBot="1" x14ac:dyDescent="0.3">
      <c r="A40" s="291"/>
      <c r="B40" s="291"/>
      <c r="C40" s="291"/>
      <c r="D40" s="291"/>
      <c r="E40" s="291"/>
      <c r="F40" s="291"/>
      <c r="G40" s="291"/>
      <c r="H40" s="317"/>
      <c r="I40" s="291"/>
      <c r="J40" s="291"/>
      <c r="K40" s="291"/>
      <c r="L40" s="317"/>
      <c r="M40" s="291"/>
      <c r="N40" s="291"/>
      <c r="O40" s="291"/>
      <c r="P40" s="317"/>
      <c r="Q40" s="317"/>
      <c r="R40" s="317"/>
      <c r="S40" s="317"/>
      <c r="T40" s="317"/>
      <c r="U40" s="317"/>
      <c r="AO40" s="291"/>
    </row>
    <row r="41" spans="1:41" ht="38.450000000000003" customHeight="1" outlineLevel="1" thickBot="1" x14ac:dyDescent="0.3">
      <c r="A41" s="291"/>
      <c r="B41" s="291"/>
      <c r="C41" s="291"/>
      <c r="D41" s="291"/>
      <c r="E41" s="315">
        <f>SUM(E32:E40)</f>
        <v>0.99999999999999978</v>
      </c>
      <c r="F41" s="316">
        <f>SUM(F32:F40)</f>
        <v>1</v>
      </c>
      <c r="G41" s="291"/>
      <c r="H41" s="317"/>
      <c r="I41" s="356">
        <f>J52/A52*10000</f>
        <v>145.09737289553766</v>
      </c>
      <c r="J41" s="357">
        <f>K52/A52*10000</f>
        <v>87.830745350783417</v>
      </c>
      <c r="K41" s="291"/>
      <c r="L41" s="317"/>
      <c r="M41" s="363">
        <f>N52/A52*10000</f>
        <v>77.946175197285811</v>
      </c>
      <c r="N41" s="312">
        <f>O52/A52*10000</f>
        <v>63.049670035008923</v>
      </c>
      <c r="O41" s="291"/>
      <c r="P41" s="317"/>
      <c r="Q41" s="291"/>
      <c r="R41" s="410">
        <v>100</v>
      </c>
      <c r="S41" s="411">
        <f>S38*1</f>
        <v>1</v>
      </c>
      <c r="T41" s="410"/>
      <c r="U41" s="317"/>
      <c r="AO41" s="291"/>
    </row>
    <row r="42" spans="1:41" ht="21.95" customHeight="1" thickBot="1" x14ac:dyDescent="0.3">
      <c r="A42" s="291"/>
      <c r="B42" s="291"/>
      <c r="C42" s="291"/>
      <c r="D42" s="291"/>
      <c r="E42" s="291"/>
      <c r="F42" s="291"/>
      <c r="G42" s="291"/>
      <c r="H42" s="317"/>
      <c r="I42" s="291"/>
      <c r="J42" s="291"/>
      <c r="K42" s="291"/>
      <c r="L42" s="317"/>
      <c r="M42" s="291"/>
      <c r="N42" s="291"/>
      <c r="O42" s="291"/>
      <c r="P42" s="317"/>
      <c r="Q42" s="317"/>
      <c r="R42" s="317"/>
      <c r="S42" s="317"/>
      <c r="T42" s="317"/>
      <c r="U42" s="317"/>
      <c r="AO42" s="291"/>
    </row>
    <row r="43" spans="1:41" ht="21.95" customHeight="1" outlineLevel="1" thickBot="1" x14ac:dyDescent="0.3">
      <c r="A43" s="305">
        <f>E32*'Working Paper 3'!$D$15</f>
        <v>9076148.8993999995</v>
      </c>
      <c r="B43" s="305"/>
      <c r="C43" s="305"/>
      <c r="D43" s="291" t="s">
        <v>130</v>
      </c>
      <c r="E43" s="292">
        <v>534</v>
      </c>
      <c r="F43" s="305">
        <f>E32*$A$25</f>
        <v>7354224.4264953528</v>
      </c>
      <c r="G43" s="349">
        <f>F32*$A$25</f>
        <v>7775805.6171600027</v>
      </c>
      <c r="H43" s="317"/>
      <c r="I43" s="296">
        <v>178</v>
      </c>
      <c r="J43" s="348">
        <f t="shared" ref="J43:J50" si="17">I32*A43/10000</f>
        <v>140625.07096306313</v>
      </c>
      <c r="K43" s="350">
        <f t="shared" ref="K43:K50" si="18">J32*F43/10000</f>
        <v>130905.19479161728</v>
      </c>
      <c r="L43" s="317"/>
      <c r="M43" s="296">
        <v>170</v>
      </c>
      <c r="N43" s="348">
        <f t="shared" ref="N43:N50" si="19">M32*A43/10000</f>
        <v>154038.48510632664</v>
      </c>
      <c r="O43" s="351">
        <f t="shared" ref="O43:O50" si="20">N32*F43/10000</f>
        <v>125021.815250421</v>
      </c>
      <c r="P43" s="317"/>
      <c r="Q43" s="329" t="s">
        <v>116</v>
      </c>
      <c r="R43" s="358">
        <v>1000</v>
      </c>
      <c r="S43" s="360">
        <f>R32*$A$25/10000</f>
        <v>145468.72306260004</v>
      </c>
      <c r="T43" s="361">
        <f>R43*F52/1000000</f>
        <v>145614.33740000002</v>
      </c>
      <c r="U43" s="317"/>
      <c r="AO43" s="291"/>
    </row>
    <row r="44" spans="1:41" ht="21.95" customHeight="1" outlineLevel="1" thickBot="1" x14ac:dyDescent="0.3">
      <c r="A44" s="305">
        <f>E33*'Working Paper 3'!$D$15</f>
        <v>57632231.372800022</v>
      </c>
      <c r="B44" s="305"/>
      <c r="C44" s="305"/>
      <c r="D44" s="291" t="s">
        <v>3</v>
      </c>
      <c r="E44" s="292">
        <v>3189</v>
      </c>
      <c r="F44" s="305">
        <f t="shared" ref="F44:G50" si="21">E33*$A$25</f>
        <v>46698260.287829421</v>
      </c>
      <c r="G44" s="349">
        <f t="shared" si="21"/>
        <v>46436412.196860015</v>
      </c>
      <c r="I44" s="297">
        <v>65</v>
      </c>
      <c r="J44" s="348">
        <f t="shared" si="17"/>
        <v>824097.96201185125</v>
      </c>
      <c r="K44" s="350">
        <f t="shared" si="18"/>
        <v>303538.69187089126</v>
      </c>
      <c r="M44" s="297">
        <v>28</v>
      </c>
      <c r="N44" s="348">
        <f t="shared" si="19"/>
        <v>165177.77053064405</v>
      </c>
      <c r="O44" s="351">
        <f t="shared" si="20"/>
        <v>130755.12880592239</v>
      </c>
      <c r="Q44" s="329" t="s">
        <v>118</v>
      </c>
      <c r="R44" s="359">
        <v>289</v>
      </c>
      <c r="S44" s="360">
        <f t="shared" ref="S44:S45" si="22">R33*$A$25/10000</f>
        <v>42082.543508600014</v>
      </c>
      <c r="T44" s="362">
        <f>R44*F52/1000000</f>
        <v>42082.543508600014</v>
      </c>
    </row>
    <row r="45" spans="1:41" ht="21.95" customHeight="1" outlineLevel="1" thickBot="1" x14ac:dyDescent="0.3">
      <c r="A45" s="305">
        <f>E34*'Working Paper 3'!$D$15</f>
        <v>7287813.9641000004</v>
      </c>
      <c r="B45" s="305"/>
      <c r="C45" s="305"/>
      <c r="D45" s="291" t="s">
        <v>4</v>
      </c>
      <c r="E45" s="292">
        <v>401</v>
      </c>
      <c r="F45" s="305">
        <f t="shared" si="21"/>
        <v>5905171.9032596806</v>
      </c>
      <c r="G45" s="349">
        <f t="shared" si="21"/>
        <v>5839134.9297400005</v>
      </c>
      <c r="I45" s="297">
        <v>159</v>
      </c>
      <c r="J45" s="348">
        <f t="shared" si="17"/>
        <v>104549.8989406953</v>
      </c>
      <c r="K45" s="350">
        <f t="shared" si="18"/>
        <v>93892.233261828922</v>
      </c>
      <c r="M45" s="297">
        <v>61</v>
      </c>
      <c r="N45" s="348">
        <f t="shared" si="19"/>
        <v>43898.925875452092</v>
      </c>
      <c r="O45" s="351">
        <f t="shared" si="20"/>
        <v>36021.548609884056</v>
      </c>
      <c r="Q45" s="333" t="s">
        <v>119</v>
      </c>
      <c r="R45" s="359">
        <v>469</v>
      </c>
      <c r="S45" s="360">
        <f t="shared" si="22"/>
        <v>68293.124240600024</v>
      </c>
      <c r="T45" s="362">
        <f>R45*F52/1000000</f>
        <v>68293.124240600009</v>
      </c>
    </row>
    <row r="46" spans="1:41" ht="21.95" customHeight="1" outlineLevel="1" x14ac:dyDescent="0.25">
      <c r="A46" s="305">
        <f>E35*'Working Paper 3'!$D$15</f>
        <v>40539508.453100003</v>
      </c>
      <c r="B46" s="305"/>
      <c r="C46" s="305"/>
      <c r="D46" s="291" t="s">
        <v>5</v>
      </c>
      <c r="E46" s="292">
        <v>2247</v>
      </c>
      <c r="F46" s="305">
        <f t="shared" si="21"/>
        <v>32848364.059299633</v>
      </c>
      <c r="G46" s="349">
        <f t="shared" si="21"/>
        <v>32719541.61378001</v>
      </c>
      <c r="I46" s="297">
        <v>65</v>
      </c>
      <c r="J46" s="348">
        <f t="shared" si="17"/>
        <v>580597.69872457779</v>
      </c>
      <c r="K46" s="350">
        <f t="shared" si="18"/>
        <v>213514.36638544762</v>
      </c>
      <c r="M46" s="297">
        <v>66</v>
      </c>
      <c r="N46" s="348">
        <f t="shared" si="19"/>
        <v>267268.66568152525</v>
      </c>
      <c r="O46" s="351">
        <f t="shared" si="20"/>
        <v>216799.20279137758</v>
      </c>
      <c r="T46" s="246"/>
    </row>
    <row r="47" spans="1:41" ht="21.95" customHeight="1" outlineLevel="1" x14ac:dyDescent="0.25">
      <c r="A47" s="305">
        <f>E36*'Working Paper 3'!$D$15</f>
        <v>45740660.731100008</v>
      </c>
      <c r="B47" s="305"/>
      <c r="C47" s="305"/>
      <c r="D47" s="291" t="s">
        <v>131</v>
      </c>
      <c r="E47" s="292">
        <v>2548</v>
      </c>
      <c r="F47" s="305">
        <f t="shared" si="21"/>
        <v>37062755.157634109</v>
      </c>
      <c r="G47" s="349">
        <f t="shared" si="21"/>
        <v>37102533.169520013</v>
      </c>
      <c r="I47" s="297">
        <v>159</v>
      </c>
      <c r="J47" s="348">
        <f t="shared" si="17"/>
        <v>680124.57773228828</v>
      </c>
      <c r="K47" s="350">
        <f t="shared" si="18"/>
        <v>589297.80700638238</v>
      </c>
      <c r="M47" s="297">
        <v>101</v>
      </c>
      <c r="N47" s="348">
        <f t="shared" si="19"/>
        <v>461378.41353253135</v>
      </c>
      <c r="O47" s="351">
        <f t="shared" si="20"/>
        <v>374333.82709210448</v>
      </c>
      <c r="T47" s="246"/>
    </row>
    <row r="48" spans="1:41" ht="21.95" customHeight="1" outlineLevel="1" x14ac:dyDescent="0.25">
      <c r="A48" s="305">
        <f>E37*'Working Paper 3'!$D$15</f>
        <v>10793277.364599999</v>
      </c>
      <c r="B48" s="305"/>
      <c r="C48" s="305"/>
      <c r="D48" s="291" t="s">
        <v>7</v>
      </c>
      <c r="E48" s="292">
        <v>592</v>
      </c>
      <c r="F48" s="305">
        <f t="shared" si="21"/>
        <v>8745579.7515538838</v>
      </c>
      <c r="G48" s="349">
        <f t="shared" si="21"/>
        <v>8620368.7740800027</v>
      </c>
      <c r="I48" s="297">
        <v>65</v>
      </c>
      <c r="J48" s="348">
        <f t="shared" si="17"/>
        <v>154331.39576823387</v>
      </c>
      <c r="K48" s="350">
        <f t="shared" si="18"/>
        <v>56846.268385100244</v>
      </c>
      <c r="M48" s="297">
        <v>55</v>
      </c>
      <c r="N48" s="348">
        <f t="shared" si="19"/>
        <v>59265.10939296944</v>
      </c>
      <c r="O48" s="351">
        <f t="shared" si="20"/>
        <v>48100.688633546357</v>
      </c>
      <c r="T48" s="246"/>
      <c r="V48" s="320"/>
      <c r="W48" s="297"/>
      <c r="X48" s="297"/>
      <c r="Y48" s="297"/>
    </row>
    <row r="49" spans="1:41" ht="21.95" customHeight="1" outlineLevel="1" x14ac:dyDescent="0.25">
      <c r="A49" s="305">
        <f>E38*'Working Paper 3'!$D$15</f>
        <v>4451948.2681000009</v>
      </c>
      <c r="B49" s="305"/>
      <c r="C49" s="305"/>
      <c r="D49" s="291" t="s">
        <v>132</v>
      </c>
      <c r="E49" s="292">
        <v>249</v>
      </c>
      <c r="F49" s="305">
        <f t="shared" si="21"/>
        <v>3607325.8671328216</v>
      </c>
      <c r="G49" s="349">
        <f t="shared" si="21"/>
        <v>3625797.0012600007</v>
      </c>
      <c r="I49" s="297">
        <v>272</v>
      </c>
      <c r="J49" s="348">
        <f t="shared" si="17"/>
        <v>64756.682015925537</v>
      </c>
      <c r="K49" s="350">
        <f t="shared" si="18"/>
        <v>98119.263586012748</v>
      </c>
      <c r="M49" s="297">
        <v>292</v>
      </c>
      <c r="N49" s="348">
        <f t="shared" si="19"/>
        <v>130272.53126574784</v>
      </c>
      <c r="O49" s="351">
        <f t="shared" si="20"/>
        <v>105333.91532027839</v>
      </c>
      <c r="T49" s="246"/>
    </row>
    <row r="50" spans="1:41" ht="21.95" customHeight="1" outlineLevel="1" x14ac:dyDescent="0.25">
      <c r="A50" s="305">
        <f>E39*'Working Paper 3'!$D$15</f>
        <v>4187015.3468000004</v>
      </c>
      <c r="B50" s="305"/>
      <c r="C50" s="305"/>
      <c r="D50" s="291" t="s">
        <v>133</v>
      </c>
      <c r="E50" s="292">
        <v>240</v>
      </c>
      <c r="F50" s="305">
        <f t="shared" si="21"/>
        <v>3392655.9467951292</v>
      </c>
      <c r="G50" s="349">
        <f t="shared" si="21"/>
        <v>3494744.0976000009</v>
      </c>
      <c r="I50" s="297">
        <v>272</v>
      </c>
      <c r="J50" s="348">
        <f t="shared" si="17"/>
        <v>58441.352359711338</v>
      </c>
      <c r="K50" s="350">
        <f t="shared" si="18"/>
        <v>92280.241752827511</v>
      </c>
      <c r="M50" s="297">
        <v>285</v>
      </c>
      <c r="N50" s="348">
        <f t="shared" si="19"/>
        <v>119459.93491701665</v>
      </c>
      <c r="O50" s="351">
        <f t="shared" si="20"/>
        <v>96690.69448366118</v>
      </c>
      <c r="T50" s="246"/>
    </row>
    <row r="51" spans="1:41" ht="21.95" customHeight="1" outlineLevel="1" x14ac:dyDescent="0.25">
      <c r="E51" s="291"/>
    </row>
    <row r="52" spans="1:41" ht="21.95" customHeight="1" outlineLevel="1" x14ac:dyDescent="0.25">
      <c r="A52" s="342">
        <f>SUM(A43:A51)</f>
        <v>179708604.40000004</v>
      </c>
      <c r="B52" s="342"/>
      <c r="C52" s="342"/>
      <c r="D52" s="343"/>
      <c r="E52" s="344">
        <f>SUM(E43:E51)</f>
        <v>10000</v>
      </c>
      <c r="F52" s="342">
        <f>SUM(F43:F50)</f>
        <v>145614337.40000004</v>
      </c>
      <c r="G52" s="342">
        <f>SUM(G43:G50)</f>
        <v>145614337.40000007</v>
      </c>
      <c r="H52" s="343"/>
      <c r="I52" s="345">
        <f>J52/F52*10000</f>
        <v>179.07059737898763</v>
      </c>
      <c r="J52" s="342">
        <f>SUM(J43:J51)</f>
        <v>2607524.6385163465</v>
      </c>
      <c r="K52" s="342">
        <f>SUM(K43:K51)</f>
        <v>1578394.0670401079</v>
      </c>
      <c r="L52" s="343"/>
      <c r="M52" s="345">
        <f>N52/F52*10000</f>
        <v>96.196560126792349</v>
      </c>
      <c r="N52" s="346">
        <f>SUM(N43:N51)</f>
        <v>1400759.8363022131</v>
      </c>
      <c r="O52" s="347">
        <f>SUM(O43:O51)</f>
        <v>1133056.8209871955</v>
      </c>
      <c r="P52" s="345"/>
      <c r="Q52" s="345"/>
      <c r="R52" s="345">
        <f>S52/A52*10000</f>
        <v>14.236624432424785</v>
      </c>
      <c r="S52" s="347">
        <f>SUM(S43:S51)</f>
        <v>255844.39081180008</v>
      </c>
      <c r="T52" s="347">
        <f>SUM(T43:T50)</f>
        <v>255990.00514920003</v>
      </c>
      <c r="U52" s="320"/>
    </row>
    <row r="53" spans="1:41" ht="21.95" customHeight="1" outlineLevel="1" x14ac:dyDescent="0.25">
      <c r="N53" s="149">
        <f>J52-N52</f>
        <v>1206764.8022141333</v>
      </c>
    </row>
    <row r="56" spans="1:41" ht="21.95" customHeight="1" outlineLevel="1" x14ac:dyDescent="0.25"/>
    <row r="57" spans="1:41" ht="21.95" customHeight="1" outlineLevel="1" x14ac:dyDescent="0.25"/>
    <row r="58" spans="1:41" ht="21.95" customHeight="1" outlineLevel="1" x14ac:dyDescent="0.35">
      <c r="E58" s="465" t="s">
        <v>138</v>
      </c>
      <c r="G58" s="894" t="s">
        <v>139</v>
      </c>
      <c r="H58" s="893"/>
      <c r="I58" s="893"/>
      <c r="J58" s="893"/>
      <c r="K58" s="893"/>
      <c r="L58" s="893"/>
      <c r="M58" s="893"/>
      <c r="N58" s="893"/>
      <c r="O58" s="893"/>
      <c r="P58" s="893"/>
      <c r="Q58" s="893"/>
      <c r="R58" s="893"/>
      <c r="S58" s="893"/>
    </row>
    <row r="59" spans="1:41" ht="21.95" customHeight="1" outlineLevel="1" thickBot="1" x14ac:dyDescent="0.3"/>
    <row r="60" spans="1:41" ht="21.95" customHeight="1" outlineLevel="1" thickBot="1" x14ac:dyDescent="0.3">
      <c r="A60" s="291"/>
      <c r="B60" s="291"/>
      <c r="C60" s="291"/>
      <c r="D60" s="291"/>
      <c r="E60" s="883" t="s">
        <v>104</v>
      </c>
      <c r="F60" s="884"/>
      <c r="G60" s="885"/>
      <c r="H60" s="323"/>
      <c r="I60" s="873" t="s">
        <v>105</v>
      </c>
      <c r="J60" s="874"/>
      <c r="K60" s="875"/>
      <c r="L60" s="323"/>
      <c r="M60" s="876" t="s">
        <v>106</v>
      </c>
      <c r="N60" s="877"/>
      <c r="O60" s="878"/>
      <c r="P60" s="323"/>
      <c r="Q60" s="323"/>
      <c r="R60" s="879" t="s">
        <v>107</v>
      </c>
      <c r="S60" s="880"/>
      <c r="T60" s="881"/>
      <c r="U60" s="323"/>
      <c r="V60" s="321"/>
      <c r="W60" s="845" t="s">
        <v>108</v>
      </c>
      <c r="X60" s="846"/>
      <c r="Y60" s="847"/>
      <c r="Z60" s="851" t="s">
        <v>1</v>
      </c>
      <c r="AA60" s="851"/>
      <c r="AB60" s="852"/>
      <c r="AC60" s="853" t="s">
        <v>140</v>
      </c>
      <c r="AD60" s="851"/>
      <c r="AE60" s="852"/>
      <c r="AF60" s="853" t="s">
        <v>110</v>
      </c>
      <c r="AG60" s="851"/>
      <c r="AH60" s="855"/>
      <c r="AI60" s="857" t="s">
        <v>111</v>
      </c>
      <c r="AJ60" s="857"/>
      <c r="AK60" s="858"/>
      <c r="AL60" s="860" t="s">
        <v>112</v>
      </c>
      <c r="AM60" s="861"/>
      <c r="AN60" s="862"/>
      <c r="AO60" s="291"/>
    </row>
    <row r="61" spans="1:41" ht="21.95" customHeight="1" outlineLevel="1" thickBot="1" x14ac:dyDescent="0.3">
      <c r="A61" s="291"/>
      <c r="B61" s="291"/>
      <c r="C61" s="291"/>
      <c r="D61" s="291"/>
      <c r="E61" s="325" t="s">
        <v>113</v>
      </c>
      <c r="F61" s="883" t="s">
        <v>114</v>
      </c>
      <c r="G61" s="890"/>
      <c r="H61" s="322"/>
      <c r="I61" s="302" t="s">
        <v>113</v>
      </c>
      <c r="J61" s="873" t="s">
        <v>115</v>
      </c>
      <c r="K61" s="891"/>
      <c r="L61" s="322"/>
      <c r="M61" s="302" t="s">
        <v>113</v>
      </c>
      <c r="N61" s="876" t="s">
        <v>115</v>
      </c>
      <c r="O61" s="886"/>
      <c r="P61" s="322"/>
      <c r="Q61" s="322"/>
      <c r="R61" s="328" t="s">
        <v>113</v>
      </c>
      <c r="S61" s="871" t="s">
        <v>115</v>
      </c>
      <c r="T61" s="872"/>
      <c r="U61" s="322"/>
      <c r="V61" s="322"/>
      <c r="W61" s="848"/>
      <c r="X61" s="849"/>
      <c r="Y61" s="850"/>
      <c r="Z61" s="849"/>
      <c r="AA61" s="849"/>
      <c r="AB61" s="849"/>
      <c r="AC61" s="854"/>
      <c r="AD61" s="849"/>
      <c r="AE61" s="849"/>
      <c r="AF61" s="854"/>
      <c r="AG61" s="849"/>
      <c r="AH61" s="856"/>
      <c r="AI61" s="859"/>
      <c r="AJ61" s="859"/>
      <c r="AK61" s="859"/>
      <c r="AL61" s="863"/>
      <c r="AM61" s="864"/>
      <c r="AN61" s="864"/>
      <c r="AO61" s="291"/>
    </row>
    <row r="62" spans="1:41" ht="54.95" customHeight="1" outlineLevel="1" thickBot="1" x14ac:dyDescent="0.3">
      <c r="A62" s="291"/>
      <c r="B62" s="291"/>
      <c r="C62" s="291"/>
      <c r="D62" s="301" t="s">
        <v>130</v>
      </c>
      <c r="E62" s="309">
        <f>'Working Paper 3'!$C$6</f>
        <v>5.0504809882102659E-2</v>
      </c>
      <c r="F62" s="295">
        <f t="shared" ref="F62:F69" si="23">E73/10000</f>
        <v>5.3400000000000003E-2</v>
      </c>
      <c r="G62" s="293"/>
      <c r="H62" s="324"/>
      <c r="I62" s="298">
        <f>'Working Paper 3'!$E$6</f>
        <v>154.93914051185246</v>
      </c>
      <c r="J62" s="299">
        <f>I73</f>
        <v>178</v>
      </c>
      <c r="K62" s="294"/>
      <c r="L62" s="317"/>
      <c r="M62" s="298">
        <f>'Working Paper 3'!$G$6</f>
        <v>169.71789116032431</v>
      </c>
      <c r="N62" s="300">
        <f>M73</f>
        <v>170</v>
      </c>
      <c r="O62" s="294"/>
      <c r="P62" s="317"/>
      <c r="Q62" s="329" t="s">
        <v>116</v>
      </c>
      <c r="R62" s="334">
        <v>9.99</v>
      </c>
      <c r="S62" s="352">
        <f>R73/100</f>
        <v>9.99</v>
      </c>
      <c r="T62" s="330"/>
      <c r="U62" s="317"/>
      <c r="V62" s="825" t="s">
        <v>113</v>
      </c>
      <c r="W62" s="827">
        <f>'Working Paper 3'!$F$15</f>
        <v>2607524.6385163465</v>
      </c>
      <c r="X62" s="828"/>
      <c r="Y62" s="829"/>
      <c r="Z62" s="830">
        <f>'Working Paper 3'!$H$15</f>
        <v>1400759.8363022131</v>
      </c>
      <c r="AA62" s="828"/>
      <c r="AB62" s="829"/>
      <c r="AC62" s="830">
        <f>'Working Paper 3'!$J$15</f>
        <v>1206764.8022141333</v>
      </c>
      <c r="AD62" s="828"/>
      <c r="AE62" s="829"/>
      <c r="AF62" s="831">
        <f>'Working Paper 3'!$J$15/'Working Paper 3'!$F$15</f>
        <v>0.46280092022477287</v>
      </c>
      <c r="AG62" s="828"/>
      <c r="AH62" s="832"/>
      <c r="AI62" s="827">
        <f>S82</f>
        <v>255844.39081180008</v>
      </c>
      <c r="AJ62" s="828"/>
      <c r="AK62" s="828"/>
      <c r="AL62" s="833">
        <f>AC62-AI62</f>
        <v>950920.41140233329</v>
      </c>
      <c r="AM62" s="828"/>
      <c r="AN62" s="832"/>
      <c r="AO62" s="291"/>
    </row>
    <row r="63" spans="1:41" ht="54.95" customHeight="1" outlineLevel="1" thickBot="1" x14ac:dyDescent="0.3">
      <c r="A63" s="291"/>
      <c r="B63" s="291"/>
      <c r="C63" s="291"/>
      <c r="D63" s="301" t="s">
        <v>3</v>
      </c>
      <c r="E63" s="309">
        <f>'Working Paper 3'!$C$7</f>
        <v>0.3206982301443993</v>
      </c>
      <c r="F63" s="295">
        <f t="shared" si="23"/>
        <v>0.31890000000000002</v>
      </c>
      <c r="G63" s="294"/>
      <c r="H63" s="317"/>
      <c r="I63" s="298">
        <f>'Working Paper 3'!$E$7</f>
        <v>142.99254815956868</v>
      </c>
      <c r="J63" s="299">
        <f t="shared" ref="J63:J69" si="24">I74</f>
        <v>65</v>
      </c>
      <c r="K63" s="294"/>
      <c r="L63" s="317"/>
      <c r="M63" s="298">
        <f>'Working Paper 3'!$G$7</f>
        <v>28.660658557912612</v>
      </c>
      <c r="N63" s="300">
        <f t="shared" ref="N63:N69" si="25">M74</f>
        <v>28</v>
      </c>
      <c r="O63" s="294"/>
      <c r="P63" s="317"/>
      <c r="Q63" s="329" t="s">
        <v>118</v>
      </c>
      <c r="R63" s="334">
        <v>2.89</v>
      </c>
      <c r="S63" s="352">
        <f>R74/100</f>
        <v>2.89</v>
      </c>
      <c r="T63" s="330"/>
      <c r="U63" s="317"/>
      <c r="V63" s="826"/>
      <c r="W63" s="834">
        <f>I71</f>
        <v>145.09737289553766</v>
      </c>
      <c r="X63" s="835"/>
      <c r="Y63" s="836"/>
      <c r="Z63" s="837">
        <f>M71</f>
        <v>77.946175197285811</v>
      </c>
      <c r="AA63" s="835"/>
      <c r="AB63" s="836"/>
      <c r="AC63" s="837">
        <f>W63-Z63</f>
        <v>67.151197698251849</v>
      </c>
      <c r="AD63" s="838"/>
      <c r="AE63" s="839"/>
      <c r="AF63" s="840"/>
      <c r="AG63" s="841"/>
      <c r="AH63" s="842"/>
      <c r="AI63" s="843">
        <f>R65</f>
        <v>14.236624432424785</v>
      </c>
      <c r="AJ63" s="835"/>
      <c r="AK63" s="836"/>
      <c r="AL63" s="837">
        <f>AC63-AI63</f>
        <v>52.914573265827066</v>
      </c>
      <c r="AM63" s="835"/>
      <c r="AN63" s="844"/>
      <c r="AO63" s="291"/>
    </row>
    <row r="64" spans="1:41" ht="54.95" customHeight="1" outlineLevel="1" thickBot="1" x14ac:dyDescent="0.3">
      <c r="A64" s="291"/>
      <c r="B64" s="291"/>
      <c r="C64" s="291"/>
      <c r="D64" s="301" t="s">
        <v>4</v>
      </c>
      <c r="E64" s="309">
        <f>'Working Paper 3'!$C$8</f>
        <v>4.0553505985047866E-2</v>
      </c>
      <c r="F64" s="295">
        <f t="shared" si="23"/>
        <v>4.0099999999999997E-2</v>
      </c>
      <c r="G64" s="326"/>
      <c r="H64" s="317"/>
      <c r="I64" s="298">
        <f>'Working Paper 3'!$E$8</f>
        <v>143.45851781578313</v>
      </c>
      <c r="J64" s="299">
        <f t="shared" si="24"/>
        <v>159</v>
      </c>
      <c r="K64" s="294"/>
      <c r="L64" s="317"/>
      <c r="M64" s="298">
        <f>'Working Paper 3'!$G$8</f>
        <v>60.236068170372583</v>
      </c>
      <c r="N64" s="300">
        <f t="shared" si="25"/>
        <v>60</v>
      </c>
      <c r="O64" s="294"/>
      <c r="P64" s="317"/>
      <c r="Q64" s="331" t="s">
        <v>119</v>
      </c>
      <c r="R64" s="334">
        <v>4.6900000000000004</v>
      </c>
      <c r="S64" s="352">
        <f>R75/100</f>
        <v>4.6900000000000004</v>
      </c>
      <c r="T64" s="330"/>
      <c r="U64" s="317"/>
      <c r="V64" s="810" t="s">
        <v>141</v>
      </c>
      <c r="W64" s="812">
        <f>K82*S68</f>
        <v>1585010.6064556264</v>
      </c>
      <c r="X64" s="788"/>
      <c r="Y64" s="789"/>
      <c r="Z64" s="813">
        <f>O82*S68</f>
        <v>1005079.6656095162</v>
      </c>
      <c r="AA64" s="788"/>
      <c r="AB64" s="789"/>
      <c r="AC64" s="813">
        <f>W64-Z64</f>
        <v>579930.94084611023</v>
      </c>
      <c r="AD64" s="788"/>
      <c r="AE64" s="789"/>
      <c r="AF64" s="814">
        <f>AC64/K82</f>
        <v>0.36588458050949063</v>
      </c>
      <c r="AG64" s="788"/>
      <c r="AH64" s="797"/>
      <c r="AI64" s="812">
        <f>S82*S68</f>
        <v>255844.39081180008</v>
      </c>
      <c r="AJ64" s="788"/>
      <c r="AK64" s="788"/>
      <c r="AL64" s="815">
        <f>AC64-AI64</f>
        <v>324086.55003431014</v>
      </c>
      <c r="AM64" s="788"/>
      <c r="AN64" s="797"/>
      <c r="AO64" s="291"/>
    </row>
    <row r="65" spans="1:41" ht="49.5" customHeight="1" outlineLevel="1" thickBot="1" x14ac:dyDescent="0.3">
      <c r="A65" s="291"/>
      <c r="B65" s="291"/>
      <c r="C65" s="291"/>
      <c r="D65" s="301" t="s">
        <v>5</v>
      </c>
      <c r="E65" s="309">
        <f>'Working Paper 3'!$C$9</f>
        <v>0.22558468242770457</v>
      </c>
      <c r="F65" s="295">
        <f t="shared" si="23"/>
        <v>0.22470000000000001</v>
      </c>
      <c r="G65" s="294"/>
      <c r="H65" s="317"/>
      <c r="I65" s="298">
        <f>'Working Paper 3'!$E$9</f>
        <v>143.21774507854948</v>
      </c>
      <c r="J65" s="299">
        <f t="shared" si="24"/>
        <v>65</v>
      </c>
      <c r="K65" s="294"/>
      <c r="L65" s="317"/>
      <c r="M65" s="298">
        <f>'Working Paper 3'!$G$9</f>
        <v>65.927949272184037</v>
      </c>
      <c r="N65" s="300">
        <f t="shared" si="25"/>
        <v>66</v>
      </c>
      <c r="O65" s="294"/>
      <c r="P65" s="317"/>
      <c r="Q65" s="340"/>
      <c r="R65" s="332">
        <f>S82/A82*10000</f>
        <v>14.236624432424785</v>
      </c>
      <c r="S65" s="339">
        <f>T82/A82*10000</f>
        <v>14.235200769981546</v>
      </c>
      <c r="T65" s="336"/>
      <c r="U65" s="317"/>
      <c r="V65" s="811"/>
      <c r="W65" s="816">
        <f>J71*$S$68</f>
        <v>108.86078607860786</v>
      </c>
      <c r="X65" s="817"/>
      <c r="Y65" s="818"/>
      <c r="Z65" s="819">
        <f>N71*S68</f>
        <v>69.030303030303017</v>
      </c>
      <c r="AA65" s="817"/>
      <c r="AB65" s="818"/>
      <c r="AC65" s="819">
        <f>W65-Z65</f>
        <v>39.830483048304842</v>
      </c>
      <c r="AD65" s="817"/>
      <c r="AE65" s="817"/>
      <c r="AF65" s="820"/>
      <c r="AG65" s="821"/>
      <c r="AH65" s="822"/>
      <c r="AI65" s="823">
        <f>S65*S68</f>
        <v>14.235200769981546</v>
      </c>
      <c r="AJ65" s="817"/>
      <c r="AK65" s="817"/>
      <c r="AL65" s="819">
        <f>AC65-AI65</f>
        <v>25.595282278323296</v>
      </c>
      <c r="AM65" s="817"/>
      <c r="AN65" s="824"/>
      <c r="AO65" s="291"/>
    </row>
    <row r="66" spans="1:41" ht="49.5" customHeight="1" outlineLevel="1" thickBot="1" x14ac:dyDescent="0.3">
      <c r="A66" s="291"/>
      <c r="B66" s="291"/>
      <c r="C66" s="291"/>
      <c r="D66" s="301" t="s">
        <v>131</v>
      </c>
      <c r="E66" s="309">
        <f>'Working Paper 3'!$C$10</f>
        <v>0.25452682626864803</v>
      </c>
      <c r="F66" s="295">
        <f t="shared" si="23"/>
        <v>0.25480000000000003</v>
      </c>
      <c r="G66" s="294"/>
      <c r="H66" s="317"/>
      <c r="I66" s="298">
        <f>'Working Paper 3'!$E$10</f>
        <v>148.69146331982427</v>
      </c>
      <c r="J66" s="299">
        <f t="shared" si="24"/>
        <v>159</v>
      </c>
      <c r="K66" s="294"/>
      <c r="L66" s="317"/>
      <c r="M66" s="298">
        <f>'Working Paper 3'!$G$10</f>
        <v>100.86833162399658</v>
      </c>
      <c r="N66" s="300">
        <f t="shared" si="25"/>
        <v>70</v>
      </c>
      <c r="O66" s="294"/>
      <c r="P66" s="317"/>
      <c r="Q66" s="340"/>
      <c r="T66" s="336"/>
      <c r="U66" s="317"/>
      <c r="V66" s="424" t="s">
        <v>124</v>
      </c>
      <c r="W66" s="787">
        <f t="shared" ref="W66:W67" si="26">W62-W64</f>
        <v>1022514.03206072</v>
      </c>
      <c r="X66" s="788"/>
      <c r="Y66" s="789"/>
      <c r="Z66" s="790">
        <f t="shared" ref="Z66:Z67" si="27">Z62-Z64</f>
        <v>395680.17069269693</v>
      </c>
      <c r="AA66" s="791"/>
      <c r="AB66" s="792"/>
      <c r="AC66" s="793">
        <f t="shared" ref="AC66:AC67" si="28">AC62-AC64</f>
        <v>626833.86136802309</v>
      </c>
      <c r="AD66" s="788"/>
      <c r="AE66" s="788"/>
      <c r="AF66" s="794"/>
      <c r="AG66" s="788"/>
      <c r="AH66" s="789"/>
      <c r="AI66" s="795">
        <f t="shared" ref="AI66:AI67" si="29">AI62-AI64</f>
        <v>0</v>
      </c>
      <c r="AJ66" s="788"/>
      <c r="AK66" s="789"/>
      <c r="AL66" s="796">
        <f t="shared" ref="AL66:AL67" si="30">AL62-AL64</f>
        <v>626833.86136802309</v>
      </c>
      <c r="AM66" s="788"/>
      <c r="AN66" s="797"/>
      <c r="AO66" s="291"/>
    </row>
    <row r="67" spans="1:41" ht="49.5" customHeight="1" outlineLevel="1" thickBot="1" x14ac:dyDescent="0.3">
      <c r="A67" s="291"/>
      <c r="B67" s="291"/>
      <c r="C67" s="291"/>
      <c r="D67" s="301" t="s">
        <v>7</v>
      </c>
      <c r="E67" s="309">
        <f>'Working Paper 3'!$C$11</f>
        <v>6.0059880831170691E-2</v>
      </c>
      <c r="F67" s="295">
        <f t="shared" si="23"/>
        <v>5.9200000000000003E-2</v>
      </c>
      <c r="G67" s="294"/>
      <c r="H67" s="317"/>
      <c r="I67" s="298">
        <f>'Working Paper 3'!$E$11</f>
        <v>142.98844600659757</v>
      </c>
      <c r="J67" s="299">
        <f t="shared" si="24"/>
        <v>65</v>
      </c>
      <c r="K67" s="294"/>
      <c r="L67" s="317"/>
      <c r="M67" s="298">
        <f>'Working Paper 3'!$G$11</f>
        <v>54.90928046317822</v>
      </c>
      <c r="N67" s="300">
        <f t="shared" si="25"/>
        <v>55</v>
      </c>
      <c r="O67" s="294"/>
      <c r="P67" s="317"/>
      <c r="Q67" s="340"/>
      <c r="R67" s="887" t="s">
        <v>123</v>
      </c>
      <c r="S67" s="888"/>
      <c r="T67" s="889"/>
      <c r="U67" s="317"/>
      <c r="V67" s="425" t="s">
        <v>126</v>
      </c>
      <c r="W67" s="798">
        <f t="shared" si="26"/>
        <v>36.236586816929801</v>
      </c>
      <c r="X67" s="799"/>
      <c r="Y67" s="800"/>
      <c r="Z67" s="801">
        <f t="shared" si="27"/>
        <v>8.9158721669827941</v>
      </c>
      <c r="AA67" s="799"/>
      <c r="AB67" s="800"/>
      <c r="AC67" s="801">
        <f t="shared" si="28"/>
        <v>27.320714649947007</v>
      </c>
      <c r="AD67" s="799"/>
      <c r="AE67" s="799"/>
      <c r="AF67" s="802"/>
      <c r="AG67" s="803"/>
      <c r="AH67" s="804"/>
      <c r="AI67" s="805">
        <f t="shared" si="29"/>
        <v>1.4236624432388822E-3</v>
      </c>
      <c r="AJ67" s="806"/>
      <c r="AK67" s="807"/>
      <c r="AL67" s="808">
        <f t="shared" si="30"/>
        <v>27.31929098750377</v>
      </c>
      <c r="AM67" s="806"/>
      <c r="AN67" s="809"/>
      <c r="AO67" s="291"/>
    </row>
    <row r="68" spans="1:41" ht="49.5" customHeight="1" outlineLevel="1" thickBot="1" x14ac:dyDescent="0.3">
      <c r="A68" s="291"/>
      <c r="B68" s="291"/>
      <c r="C68" s="291"/>
      <c r="D68" s="301" t="s">
        <v>132</v>
      </c>
      <c r="E68" s="309">
        <f>'Working Paper 3'!$C$12</f>
        <v>2.4773150306096305E-2</v>
      </c>
      <c r="F68" s="295">
        <f t="shared" si="23"/>
        <v>2.4899999999999999E-2</v>
      </c>
      <c r="G68" s="294"/>
      <c r="H68" s="317"/>
      <c r="I68" s="298">
        <f>'Working Paper 3'!$E$12</f>
        <v>145.45695079148425</v>
      </c>
      <c r="J68" s="299">
        <f t="shared" si="24"/>
        <v>272</v>
      </c>
      <c r="K68" s="294"/>
      <c r="L68" s="317"/>
      <c r="M68" s="298">
        <f>'Working Paper 3'!$G$12</f>
        <v>292.619148787516</v>
      </c>
      <c r="N68" s="300">
        <f t="shared" si="25"/>
        <v>260</v>
      </c>
      <c r="O68" s="294"/>
      <c r="P68" s="317"/>
      <c r="Q68" s="340"/>
      <c r="R68" s="384">
        <v>1</v>
      </c>
      <c r="S68" s="384">
        <f>R71/100</f>
        <v>1</v>
      </c>
      <c r="T68" s="383"/>
      <c r="U68" s="317"/>
      <c r="V68" s="387"/>
      <c r="W68" s="423"/>
      <c r="X68" s="423"/>
      <c r="Y68" s="423"/>
      <c r="Z68" s="423"/>
      <c r="AA68" s="423"/>
      <c r="AB68" s="423"/>
      <c r="AC68" s="423"/>
      <c r="AD68" s="423"/>
      <c r="AE68" s="423"/>
      <c r="AF68" s="423"/>
      <c r="AG68" s="423"/>
      <c r="AH68" s="423"/>
      <c r="AI68" s="423"/>
      <c r="AJ68" s="423"/>
      <c r="AK68" s="423"/>
      <c r="AL68" s="423"/>
      <c r="AM68" s="423"/>
      <c r="AN68" s="423"/>
      <c r="AO68" s="291"/>
    </row>
    <row r="69" spans="1:41" ht="49.5" customHeight="1" outlineLevel="1" thickBot="1" x14ac:dyDescent="0.3">
      <c r="A69" s="291"/>
      <c r="B69" s="291"/>
      <c r="C69" s="291"/>
      <c r="D69" s="301" t="s">
        <v>133</v>
      </c>
      <c r="E69" s="309">
        <f>'Working Paper 3'!$C$13</f>
        <v>2.3298914154830527E-2</v>
      </c>
      <c r="F69" s="295">
        <f t="shared" si="23"/>
        <v>2.3900000000000001E-2</v>
      </c>
      <c r="G69" s="294"/>
      <c r="H69" s="317"/>
      <c r="I69" s="298">
        <f>'Working Paper 3'!$E$13</f>
        <v>139.5775929132339</v>
      </c>
      <c r="J69" s="299">
        <f t="shared" si="24"/>
        <v>272</v>
      </c>
      <c r="K69" s="294"/>
      <c r="L69" s="317"/>
      <c r="M69" s="298">
        <f>'Working Paper 3'!$G$13</f>
        <v>285.31047780447233</v>
      </c>
      <c r="N69" s="300">
        <f t="shared" si="25"/>
        <v>260</v>
      </c>
      <c r="O69" s="294"/>
      <c r="P69" s="317"/>
      <c r="Q69" s="341"/>
      <c r="R69" s="337"/>
      <c r="S69" s="318"/>
      <c r="T69" s="338"/>
      <c r="U69" s="317"/>
      <c r="V69" s="387"/>
      <c r="W69" s="423"/>
      <c r="X69" s="423"/>
      <c r="Y69" s="423"/>
      <c r="Z69" s="423"/>
      <c r="AA69" s="423"/>
      <c r="AB69" s="423"/>
      <c r="AC69" s="423"/>
      <c r="AD69" s="423"/>
      <c r="AE69" s="423"/>
      <c r="AF69" s="423"/>
      <c r="AG69" s="423"/>
      <c r="AH69" s="423"/>
      <c r="AI69" s="423"/>
      <c r="AJ69" s="423"/>
      <c r="AK69" s="423"/>
      <c r="AL69" s="423"/>
      <c r="AM69" s="423"/>
      <c r="AN69" s="423"/>
      <c r="AO69" s="291"/>
    </row>
    <row r="70" spans="1:41" ht="21.95" customHeight="1" outlineLevel="1" thickBot="1" x14ac:dyDescent="0.3">
      <c r="A70" s="291"/>
      <c r="B70" s="291"/>
      <c r="C70" s="291"/>
      <c r="D70" s="291"/>
      <c r="E70" s="291"/>
      <c r="F70" s="291"/>
      <c r="G70" s="291"/>
      <c r="H70" s="317"/>
      <c r="I70" s="291"/>
      <c r="J70" s="291"/>
      <c r="K70" s="291"/>
      <c r="L70" s="317"/>
      <c r="M70" s="291"/>
      <c r="N70" s="291"/>
      <c r="O70" s="291"/>
      <c r="P70" s="317"/>
      <c r="Q70" s="317"/>
      <c r="R70" s="317"/>
      <c r="S70" s="317"/>
      <c r="T70" s="317"/>
      <c r="U70" s="317"/>
      <c r="AO70" s="291"/>
    </row>
    <row r="71" spans="1:41" ht="21.95" customHeight="1" outlineLevel="1" thickBot="1" x14ac:dyDescent="0.3">
      <c r="A71" s="291"/>
      <c r="B71" s="291"/>
      <c r="C71" s="291"/>
      <c r="D71" s="291"/>
      <c r="E71" s="315">
        <f>SUM(E62:E70)</f>
        <v>0.99999999999999978</v>
      </c>
      <c r="F71" s="316">
        <f>SUM(F62:F70)</f>
        <v>0.99990000000000012</v>
      </c>
      <c r="G71" s="291"/>
      <c r="H71" s="317"/>
      <c r="I71" s="356">
        <f>J82/A82*10000</f>
        <v>145.09737289553766</v>
      </c>
      <c r="J71" s="314">
        <f>I82</f>
        <v>108.86078607860786</v>
      </c>
      <c r="K71" s="291"/>
      <c r="L71" s="317"/>
      <c r="M71" s="311">
        <f>N82/A82*10000</f>
        <v>77.946175197285811</v>
      </c>
      <c r="N71" s="312">
        <f>M82</f>
        <v>69.030303030303017</v>
      </c>
      <c r="O71" s="291"/>
      <c r="P71" s="317"/>
      <c r="Q71" s="291"/>
      <c r="R71" s="410">
        <v>100</v>
      </c>
      <c r="S71" s="411">
        <f>S68*1</f>
        <v>1</v>
      </c>
      <c r="T71" s="410"/>
      <c r="U71" s="317"/>
      <c r="AO71" s="291"/>
    </row>
    <row r="72" spans="1:41" ht="21.95" customHeight="1" outlineLevel="1" thickBot="1" x14ac:dyDescent="0.3">
      <c r="A72" s="291"/>
      <c r="B72" s="291"/>
      <c r="C72" s="291"/>
      <c r="D72" s="291"/>
      <c r="E72" s="291"/>
      <c r="F72" s="291"/>
      <c r="G72" s="291"/>
      <c r="H72" s="317"/>
      <c r="I72" s="291"/>
      <c r="J72" s="291"/>
      <c r="K72" s="291"/>
      <c r="L72" s="317"/>
      <c r="M72" s="291"/>
      <c r="N72" s="291"/>
      <c r="O72" s="291"/>
      <c r="P72" s="317"/>
      <c r="Q72" s="317"/>
      <c r="R72" s="317"/>
      <c r="S72" s="317"/>
      <c r="T72" s="317"/>
      <c r="U72" s="317"/>
      <c r="AO72" s="291"/>
    </row>
    <row r="73" spans="1:41" ht="21.95" customHeight="1" outlineLevel="1" thickBot="1" x14ac:dyDescent="0.3">
      <c r="A73" s="305">
        <f>E62*'Working Paper 3'!$D$15</f>
        <v>9076148.8993999995</v>
      </c>
      <c r="B73" s="305"/>
      <c r="C73" s="305"/>
      <c r="D73" s="291" t="s">
        <v>130</v>
      </c>
      <c r="E73" s="457">
        <v>534</v>
      </c>
      <c r="F73" s="458">
        <f>F62*$A$25</f>
        <v>7775805.6171600027</v>
      </c>
      <c r="G73" s="278"/>
      <c r="H73" s="449"/>
      <c r="I73" s="450">
        <v>178</v>
      </c>
      <c r="J73" s="448">
        <f t="shared" ref="J73:J80" si="31">I62*A73/10000</f>
        <v>140625.07096306313</v>
      </c>
      <c r="K73" s="459">
        <f t="shared" ref="K73:K80" si="32">J62*F73/10000</f>
        <v>138409.33998544805</v>
      </c>
      <c r="L73" s="449"/>
      <c r="M73" s="450">
        <v>170</v>
      </c>
      <c r="N73" s="448">
        <f t="shared" ref="N73:N80" si="33">M62*A73/10000</f>
        <v>154038.48510632664</v>
      </c>
      <c r="O73" s="459">
        <f t="shared" ref="O73:O80" si="34">N62*F73/10000</f>
        <v>132188.69549172005</v>
      </c>
      <c r="P73" s="449"/>
      <c r="Q73" s="460" t="s">
        <v>116</v>
      </c>
      <c r="R73" s="359">
        <v>999</v>
      </c>
      <c r="S73" s="461">
        <f>R62*$A$25/10000</f>
        <v>145468.72306260004</v>
      </c>
      <c r="T73" s="362">
        <f>R73*F82/1000000</f>
        <v>145454.1761902938</v>
      </c>
      <c r="U73" s="317"/>
      <c r="AO73" s="291"/>
    </row>
    <row r="74" spans="1:41" ht="21.95" customHeight="1" outlineLevel="1" thickBot="1" x14ac:dyDescent="0.3">
      <c r="A74" s="305">
        <f>E63*'Working Paper 3'!$D$15</f>
        <v>57632231.372800022</v>
      </c>
      <c r="B74" s="305"/>
      <c r="C74" s="305"/>
      <c r="D74" s="291" t="s">
        <v>3</v>
      </c>
      <c r="E74" s="457">
        <v>3189</v>
      </c>
      <c r="F74" s="458">
        <f>F63*$A$25</f>
        <v>46436412.196860015</v>
      </c>
      <c r="G74" s="278"/>
      <c r="H74" s="449"/>
      <c r="I74" s="450">
        <v>65</v>
      </c>
      <c r="J74" s="448">
        <f t="shared" si="31"/>
        <v>824097.96201185125</v>
      </c>
      <c r="K74" s="459">
        <f t="shared" si="32"/>
        <v>301836.67927959008</v>
      </c>
      <c r="L74" s="449"/>
      <c r="M74" s="450">
        <v>28</v>
      </c>
      <c r="N74" s="448">
        <f t="shared" si="33"/>
        <v>165177.77053064405</v>
      </c>
      <c r="O74" s="459">
        <f t="shared" si="34"/>
        <v>130021.95415120805</v>
      </c>
      <c r="P74" s="449"/>
      <c r="Q74" s="460" t="s">
        <v>118</v>
      </c>
      <c r="R74" s="359">
        <v>289</v>
      </c>
      <c r="S74" s="461">
        <f t="shared" ref="S74:S75" si="35">R63*$A$25/10000</f>
        <v>42082.543508600014</v>
      </c>
      <c r="T74" s="362">
        <f>R74*F82/1000000</f>
        <v>42078.335254249156</v>
      </c>
    </row>
    <row r="75" spans="1:41" ht="21.95" customHeight="1" outlineLevel="1" thickBot="1" x14ac:dyDescent="0.3">
      <c r="A75" s="305">
        <f>E64*'Working Paper 3'!$D$15</f>
        <v>7287813.9641000004</v>
      </c>
      <c r="B75" s="305"/>
      <c r="C75" s="305"/>
      <c r="D75" s="291" t="s">
        <v>4</v>
      </c>
      <c r="E75" s="457">
        <v>401</v>
      </c>
      <c r="F75" s="458">
        <f t="shared" ref="F75:F80" si="36">F64*$A$25</f>
        <v>5839134.9297400005</v>
      </c>
      <c r="G75" s="278"/>
      <c r="H75" s="449"/>
      <c r="I75" s="450">
        <v>159</v>
      </c>
      <c r="J75" s="448">
        <f t="shared" si="31"/>
        <v>104549.8989406953</v>
      </c>
      <c r="K75" s="459">
        <f t="shared" si="32"/>
        <v>92842.245382866007</v>
      </c>
      <c r="L75" s="449"/>
      <c r="M75" s="450">
        <v>60</v>
      </c>
      <c r="N75" s="448">
        <f t="shared" si="33"/>
        <v>43898.925875452092</v>
      </c>
      <c r="O75" s="459">
        <f t="shared" si="34"/>
        <v>35034.809578440007</v>
      </c>
      <c r="P75" s="449"/>
      <c r="Q75" s="462" t="s">
        <v>119</v>
      </c>
      <c r="R75" s="359">
        <v>469</v>
      </c>
      <c r="S75" s="461">
        <f t="shared" si="35"/>
        <v>68293.124240600024</v>
      </c>
      <c r="T75" s="362">
        <f>R75*F82/1000000</f>
        <v>68286.294928175965</v>
      </c>
    </row>
    <row r="76" spans="1:41" ht="21.95" customHeight="1" outlineLevel="1" x14ac:dyDescent="0.25">
      <c r="A76" s="305">
        <f>E65*'Working Paper 3'!$D$15</f>
        <v>40539508.453100003</v>
      </c>
      <c r="B76" s="305"/>
      <c r="C76" s="305"/>
      <c r="D76" s="291" t="s">
        <v>5</v>
      </c>
      <c r="E76" s="457">
        <v>2247</v>
      </c>
      <c r="F76" s="458">
        <f t="shared" si="36"/>
        <v>32719541.61378001</v>
      </c>
      <c r="G76" s="278"/>
      <c r="H76" s="449"/>
      <c r="I76" s="450">
        <v>65</v>
      </c>
      <c r="J76" s="448">
        <f t="shared" si="31"/>
        <v>580597.69872457779</v>
      </c>
      <c r="K76" s="459">
        <f t="shared" si="32"/>
        <v>212677.02048957007</v>
      </c>
      <c r="L76" s="449"/>
      <c r="M76" s="450">
        <v>66</v>
      </c>
      <c r="N76" s="448">
        <f t="shared" si="33"/>
        <v>267268.66568152525</v>
      </c>
      <c r="O76" s="459">
        <f t="shared" si="34"/>
        <v>215948.97465094805</v>
      </c>
      <c r="P76" s="449"/>
      <c r="Q76" s="449"/>
      <c r="R76" s="449"/>
      <c r="S76" s="449"/>
      <c r="T76" s="451"/>
    </row>
    <row r="77" spans="1:41" ht="21.95" customHeight="1" outlineLevel="1" x14ac:dyDescent="0.25">
      <c r="A77" s="305">
        <f>E66*'Working Paper 3'!$D$15</f>
        <v>45740660.731100008</v>
      </c>
      <c r="B77" s="305"/>
      <c r="C77" s="305"/>
      <c r="D77" s="291" t="s">
        <v>131</v>
      </c>
      <c r="E77" s="457">
        <v>2548</v>
      </c>
      <c r="F77" s="458">
        <f t="shared" si="36"/>
        <v>37102533.169520013</v>
      </c>
      <c r="G77" s="278"/>
      <c r="H77" s="449"/>
      <c r="I77" s="450">
        <v>159</v>
      </c>
      <c r="J77" s="448">
        <f t="shared" si="31"/>
        <v>680124.57773228828</v>
      </c>
      <c r="K77" s="459">
        <f t="shared" si="32"/>
        <v>589930.2773953682</v>
      </c>
      <c r="L77" s="449"/>
      <c r="M77" s="450">
        <v>70</v>
      </c>
      <c r="N77" s="448">
        <f t="shared" si="33"/>
        <v>461378.41353253135</v>
      </c>
      <c r="O77" s="459">
        <f t="shared" si="34"/>
        <v>259717.73218664006</v>
      </c>
      <c r="P77" s="449"/>
      <c r="Q77" s="449"/>
      <c r="R77" s="449"/>
      <c r="S77" s="449"/>
      <c r="T77" s="451"/>
    </row>
    <row r="78" spans="1:41" ht="21.95" customHeight="1" outlineLevel="1" x14ac:dyDescent="0.25">
      <c r="A78" s="305">
        <f>E67*'Working Paper 3'!$D$15</f>
        <v>10793277.364599999</v>
      </c>
      <c r="B78" s="305"/>
      <c r="C78" s="305"/>
      <c r="D78" s="291" t="s">
        <v>7</v>
      </c>
      <c r="E78" s="457">
        <v>592</v>
      </c>
      <c r="F78" s="458">
        <f t="shared" si="36"/>
        <v>8620368.7740800027</v>
      </c>
      <c r="G78" s="278"/>
      <c r="H78" s="449"/>
      <c r="I78" s="450">
        <v>65</v>
      </c>
      <c r="J78" s="448">
        <f t="shared" si="31"/>
        <v>154331.39576823387</v>
      </c>
      <c r="K78" s="459">
        <f t="shared" si="32"/>
        <v>56032.39703152002</v>
      </c>
      <c r="L78" s="449"/>
      <c r="M78" s="450">
        <v>55</v>
      </c>
      <c r="N78" s="448">
        <f t="shared" si="33"/>
        <v>59265.10939296944</v>
      </c>
      <c r="O78" s="459">
        <f t="shared" si="34"/>
        <v>47412.028257440012</v>
      </c>
      <c r="P78" s="449"/>
      <c r="Q78" s="449"/>
      <c r="R78" s="449"/>
      <c r="S78" s="449"/>
      <c r="T78" s="451"/>
      <c r="V78" s="320"/>
      <c r="W78" s="297"/>
      <c r="X78" s="297"/>
      <c r="Y78" s="297"/>
    </row>
    <row r="79" spans="1:41" ht="21.95" customHeight="1" outlineLevel="1" x14ac:dyDescent="0.25">
      <c r="A79" s="305">
        <f>E68*'Working Paper 3'!$D$15</f>
        <v>4451948.2681000009</v>
      </c>
      <c r="B79" s="305"/>
      <c r="C79" s="305"/>
      <c r="D79" s="291" t="s">
        <v>132</v>
      </c>
      <c r="E79" s="457">
        <v>249</v>
      </c>
      <c r="F79" s="458">
        <f t="shared" si="36"/>
        <v>3625797.0012600007</v>
      </c>
      <c r="G79" s="278"/>
      <c r="H79" s="449"/>
      <c r="I79" s="450">
        <v>272</v>
      </c>
      <c r="J79" s="448">
        <f t="shared" si="31"/>
        <v>64756.682015925537</v>
      </c>
      <c r="K79" s="459">
        <f t="shared" si="32"/>
        <v>98621.67843427202</v>
      </c>
      <c r="L79" s="449"/>
      <c r="M79" s="450">
        <v>260</v>
      </c>
      <c r="N79" s="448">
        <f t="shared" si="33"/>
        <v>130272.53126574784</v>
      </c>
      <c r="O79" s="459">
        <f t="shared" si="34"/>
        <v>94270.722032760023</v>
      </c>
      <c r="P79" s="449"/>
      <c r="Q79" s="449"/>
      <c r="R79" s="449"/>
      <c r="S79" s="449"/>
      <c r="T79" s="451"/>
    </row>
    <row r="80" spans="1:41" ht="21.95" customHeight="1" outlineLevel="1" x14ac:dyDescent="0.25">
      <c r="A80" s="305">
        <f>E69*'Working Paper 3'!$D$15</f>
        <v>4187015.3468000004</v>
      </c>
      <c r="B80" s="305"/>
      <c r="C80" s="305"/>
      <c r="D80" s="291" t="s">
        <v>133</v>
      </c>
      <c r="E80" s="457">
        <v>239</v>
      </c>
      <c r="F80" s="458">
        <f t="shared" si="36"/>
        <v>3480182.6638600011</v>
      </c>
      <c r="G80" s="278"/>
      <c r="H80" s="449"/>
      <c r="I80" s="450">
        <v>272</v>
      </c>
      <c r="J80" s="448">
        <f t="shared" si="31"/>
        <v>58441.352359711338</v>
      </c>
      <c r="K80" s="459">
        <f t="shared" si="32"/>
        <v>94660.968456992035</v>
      </c>
      <c r="L80" s="449"/>
      <c r="M80" s="450">
        <v>260</v>
      </c>
      <c r="N80" s="448">
        <f t="shared" si="33"/>
        <v>119459.93491701665</v>
      </c>
      <c r="O80" s="459">
        <f t="shared" si="34"/>
        <v>90484.749260360026</v>
      </c>
      <c r="P80" s="449"/>
      <c r="Q80" s="449"/>
      <c r="R80" s="449"/>
      <c r="S80" s="449"/>
      <c r="T80" s="451"/>
    </row>
    <row r="81" spans="1:41" ht="21.95" customHeight="1" outlineLevel="1" x14ac:dyDescent="0.25">
      <c r="E81" s="278"/>
      <c r="F81" s="278"/>
      <c r="G81" s="278"/>
      <c r="H81" s="449"/>
      <c r="I81" s="450"/>
      <c r="J81" s="278"/>
      <c r="K81" s="278"/>
      <c r="L81" s="449"/>
      <c r="M81" s="278"/>
      <c r="N81" s="278"/>
      <c r="O81" s="278"/>
      <c r="P81" s="449"/>
      <c r="Q81" s="449"/>
      <c r="R81" s="449"/>
      <c r="S81" s="449"/>
      <c r="T81" s="449"/>
    </row>
    <row r="82" spans="1:41" ht="21.95" customHeight="1" outlineLevel="1" x14ac:dyDescent="0.25">
      <c r="A82" s="429">
        <f>SUM(A73:A81)</f>
        <v>179708604.40000004</v>
      </c>
      <c r="B82" s="429"/>
      <c r="C82" s="429"/>
      <c r="D82" s="98"/>
      <c r="E82" s="463">
        <f>SUM(E73:E81)</f>
        <v>9999</v>
      </c>
      <c r="F82" s="452">
        <f>SUM(F73:F80)</f>
        <v>145599775.96626005</v>
      </c>
      <c r="G82" s="453"/>
      <c r="H82" s="453"/>
      <c r="I82" s="454">
        <f>K82/F82*10000</f>
        <v>108.86078607860786</v>
      </c>
      <c r="J82" s="455">
        <f>SUM(J73:J81)</f>
        <v>2607524.6385163465</v>
      </c>
      <c r="K82" s="455">
        <f>SUM(K73:K81)</f>
        <v>1585010.6064556264</v>
      </c>
      <c r="L82" s="453"/>
      <c r="M82" s="454">
        <f>O82/F82*10000</f>
        <v>69.030303030303017</v>
      </c>
      <c r="N82" s="455">
        <f>SUM(N73:N81)</f>
        <v>1400759.8363022131</v>
      </c>
      <c r="O82" s="455">
        <f>SUM(O73:O81)</f>
        <v>1005079.6656095162</v>
      </c>
      <c r="P82" s="454"/>
      <c r="Q82" s="454"/>
      <c r="R82" s="454">
        <f>S82/A82*10000</f>
        <v>14.236624432424785</v>
      </c>
      <c r="S82" s="456">
        <f>SUM(S73:S81)</f>
        <v>255844.39081180008</v>
      </c>
      <c r="T82" s="456">
        <f>SUM(T73:T80)</f>
        <v>255818.80637271894</v>
      </c>
      <c r="U82" s="320"/>
    </row>
    <row r="83" spans="1:41" ht="21.95" customHeight="1" outlineLevel="1" x14ac:dyDescent="0.25">
      <c r="N83" s="149">
        <f>K82-O82</f>
        <v>579930.94084611023</v>
      </c>
    </row>
    <row r="88" spans="1:41" ht="21.95" hidden="1" customHeight="1" outlineLevel="1" x14ac:dyDescent="0.35">
      <c r="E88" s="465" t="s">
        <v>142</v>
      </c>
      <c r="G88" s="465" t="s">
        <v>135</v>
      </c>
      <c r="H88" s="466"/>
      <c r="I88" s="465"/>
      <c r="J88" s="465"/>
      <c r="K88" s="465"/>
      <c r="L88" s="327"/>
      <c r="M88" s="280"/>
    </row>
    <row r="89" spans="1:41" ht="21.95" hidden="1" customHeight="1" outlineLevel="1" thickBot="1" x14ac:dyDescent="0.3">
      <c r="A89" s="291"/>
      <c r="B89" s="291"/>
      <c r="C89" s="291"/>
      <c r="D89" s="291"/>
      <c r="E89" s="291"/>
      <c r="F89" s="291"/>
      <c r="G89" s="291"/>
      <c r="H89" s="317"/>
      <c r="I89" s="291"/>
      <c r="J89" s="291"/>
      <c r="K89" s="291"/>
      <c r="L89" s="317"/>
      <c r="M89" s="291"/>
      <c r="N89" s="291"/>
      <c r="O89" s="291"/>
      <c r="P89" s="317"/>
      <c r="Q89" s="317"/>
      <c r="R89" s="317"/>
      <c r="S89" s="317"/>
      <c r="T89" s="317"/>
      <c r="U89" s="317"/>
      <c r="V89" s="317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  <c r="AK89" s="291"/>
      <c r="AL89" s="291"/>
      <c r="AM89" s="291"/>
      <c r="AN89" s="291"/>
      <c r="AO89" s="291"/>
    </row>
    <row r="90" spans="1:41" ht="21.95" hidden="1" customHeight="1" outlineLevel="1" thickBot="1" x14ac:dyDescent="0.3">
      <c r="A90" s="291"/>
      <c r="B90" s="291"/>
      <c r="C90" s="291"/>
      <c r="D90" s="291"/>
      <c r="E90" s="883" t="s">
        <v>104</v>
      </c>
      <c r="F90" s="884"/>
      <c r="G90" s="885"/>
      <c r="H90" s="323"/>
      <c r="I90" s="873" t="s">
        <v>105</v>
      </c>
      <c r="J90" s="874"/>
      <c r="K90" s="875"/>
      <c r="L90" s="323"/>
      <c r="M90" s="876" t="s">
        <v>106</v>
      </c>
      <c r="N90" s="877"/>
      <c r="O90" s="878"/>
      <c r="P90" s="323"/>
      <c r="Q90" s="323"/>
      <c r="R90" s="879" t="s">
        <v>107</v>
      </c>
      <c r="S90" s="880"/>
      <c r="T90" s="881"/>
      <c r="U90" s="323"/>
      <c r="V90" s="321"/>
      <c r="W90" s="439"/>
      <c r="X90" s="439"/>
      <c r="Y90" s="439"/>
      <c r="Z90" s="440"/>
      <c r="AA90" s="440"/>
      <c r="AB90" s="441"/>
      <c r="AC90" s="440"/>
      <c r="AD90" s="440"/>
      <c r="AE90" s="441"/>
      <c r="AF90" s="440"/>
      <c r="AG90" s="440"/>
      <c r="AH90" s="441"/>
      <c r="AI90" s="440"/>
      <c r="AJ90" s="440"/>
      <c r="AK90" s="441"/>
      <c r="AL90" s="440"/>
      <c r="AM90" s="440"/>
      <c r="AN90" s="441"/>
      <c r="AO90" s="291"/>
    </row>
    <row r="91" spans="1:41" ht="21.95" hidden="1" customHeight="1" outlineLevel="1" thickBot="1" x14ac:dyDescent="0.3">
      <c r="A91" s="291"/>
      <c r="B91" s="291"/>
      <c r="C91" s="291"/>
      <c r="D91" s="291"/>
      <c r="E91" s="325" t="s">
        <v>113</v>
      </c>
      <c r="F91" s="883" t="s">
        <v>114</v>
      </c>
      <c r="G91" s="890"/>
      <c r="H91" s="322"/>
      <c r="I91" s="302" t="s">
        <v>113</v>
      </c>
      <c r="J91" s="873" t="s">
        <v>115</v>
      </c>
      <c r="K91" s="891"/>
      <c r="L91" s="322"/>
      <c r="M91" s="302" t="s">
        <v>113</v>
      </c>
      <c r="N91" s="876" t="s">
        <v>115</v>
      </c>
      <c r="O91" s="886"/>
      <c r="P91" s="322"/>
      <c r="Q91" s="322"/>
      <c r="R91" s="328" t="s">
        <v>113</v>
      </c>
      <c r="S91" s="871" t="s">
        <v>115</v>
      </c>
      <c r="T91" s="872"/>
      <c r="U91" s="322"/>
      <c r="V91" s="322"/>
      <c r="W91" s="442"/>
      <c r="X91" s="442"/>
      <c r="Y91" s="442"/>
      <c r="Z91" s="442"/>
      <c r="AA91" s="442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291"/>
    </row>
    <row r="92" spans="1:41" ht="54.95" hidden="1" customHeight="1" outlineLevel="1" thickBot="1" x14ac:dyDescent="0.3">
      <c r="A92" s="291"/>
      <c r="B92" s="291"/>
      <c r="C92" s="291"/>
      <c r="D92" s="301" t="s">
        <v>130</v>
      </c>
      <c r="E92" s="309">
        <f>'Working Paper 3'!$C$6</f>
        <v>5.0504809882102659E-2</v>
      </c>
      <c r="F92" s="295">
        <f t="shared" ref="F92:F99" si="37">E103/10000</f>
        <v>5.3400000000000003E-2</v>
      </c>
      <c r="G92" s="293"/>
      <c r="H92" s="324"/>
      <c r="I92" s="298">
        <f>'Working Paper 3'!$E$6</f>
        <v>154.93914051185246</v>
      </c>
      <c r="J92" s="299">
        <f>I103</f>
        <v>155</v>
      </c>
      <c r="K92" s="294"/>
      <c r="L92" s="317"/>
      <c r="M92" s="298">
        <f>'Working Paper 3'!$G$6</f>
        <v>169.71789116032431</v>
      </c>
      <c r="N92" s="300">
        <f>M103</f>
        <v>170</v>
      </c>
      <c r="O92" s="294"/>
      <c r="P92" s="317"/>
      <c r="Q92" s="329" t="s">
        <v>116</v>
      </c>
      <c r="R92" s="334">
        <v>9.99</v>
      </c>
      <c r="S92" s="352">
        <f>R103/100</f>
        <v>9.99</v>
      </c>
      <c r="T92" s="330"/>
      <c r="U92" s="317"/>
      <c r="V92" s="443"/>
      <c r="W92" s="426"/>
      <c r="X92" s="444"/>
      <c r="Y92" s="444"/>
      <c r="Z92" s="426"/>
      <c r="AA92" s="444"/>
      <c r="AB92" s="444"/>
      <c r="AC92" s="426"/>
      <c r="AD92" s="444"/>
      <c r="AE92" s="444"/>
      <c r="AF92" s="423"/>
      <c r="AG92" s="423"/>
      <c r="AH92" s="423"/>
      <c r="AI92" s="426"/>
      <c r="AJ92" s="444"/>
      <c r="AK92" s="444"/>
      <c r="AL92" s="426"/>
      <c r="AM92" s="444"/>
      <c r="AN92" s="444"/>
      <c r="AO92" s="291"/>
    </row>
    <row r="93" spans="1:41" ht="54.95" hidden="1" customHeight="1" outlineLevel="1" thickBot="1" x14ac:dyDescent="0.3">
      <c r="A93" s="291"/>
      <c r="B93" s="291"/>
      <c r="C93" s="291"/>
      <c r="D93" s="301" t="s">
        <v>3</v>
      </c>
      <c r="E93" s="309">
        <f>'Working Paper 3'!$C$7</f>
        <v>0.3206982301443993</v>
      </c>
      <c r="F93" s="295">
        <f t="shared" si="37"/>
        <v>0.31890000000000002</v>
      </c>
      <c r="G93" s="294"/>
      <c r="H93" s="317"/>
      <c r="I93" s="298">
        <f>'Working Paper 3'!$E$7</f>
        <v>142.99254815956868</v>
      </c>
      <c r="J93" s="299">
        <f t="shared" ref="J93:J99" si="38">I104</f>
        <v>143</v>
      </c>
      <c r="K93" s="294"/>
      <c r="L93" s="317"/>
      <c r="M93" s="298">
        <f>'Working Paper 3'!$G$7</f>
        <v>28.660658557912612</v>
      </c>
      <c r="N93" s="300">
        <f t="shared" ref="N93:N99" si="39">M104</f>
        <v>28</v>
      </c>
      <c r="O93" s="294"/>
      <c r="P93" s="317"/>
      <c r="Q93" s="329" t="s">
        <v>118</v>
      </c>
      <c r="R93" s="334">
        <v>2.89</v>
      </c>
      <c r="S93" s="352">
        <f>R104/100</f>
        <v>2.89</v>
      </c>
      <c r="T93" s="330"/>
      <c r="U93" s="317"/>
      <c r="V93" s="445"/>
      <c r="W93" s="444"/>
      <c r="X93" s="444"/>
      <c r="Y93" s="444"/>
      <c r="Z93" s="444"/>
      <c r="AA93" s="444"/>
      <c r="AB93" s="444"/>
      <c r="AC93" s="444"/>
      <c r="AD93" s="444"/>
      <c r="AE93" s="444"/>
      <c r="AF93" s="423"/>
      <c r="AG93" s="423"/>
      <c r="AH93" s="423"/>
      <c r="AI93" s="444"/>
      <c r="AJ93" s="444"/>
      <c r="AK93" s="444"/>
      <c r="AL93" s="444"/>
      <c r="AM93" s="444"/>
      <c r="AN93" s="444"/>
      <c r="AO93" s="291"/>
    </row>
    <row r="94" spans="1:41" ht="54.95" hidden="1" customHeight="1" outlineLevel="1" thickBot="1" x14ac:dyDescent="0.3">
      <c r="A94" s="291"/>
      <c r="B94" s="291"/>
      <c r="C94" s="291"/>
      <c r="D94" s="301" t="s">
        <v>4</v>
      </c>
      <c r="E94" s="309">
        <f>'Working Paper 3'!$C$8</f>
        <v>4.0553505985047866E-2</v>
      </c>
      <c r="F94" s="295">
        <f t="shared" si="37"/>
        <v>4.0300000000000002E-2</v>
      </c>
      <c r="G94" s="326"/>
      <c r="H94" s="317"/>
      <c r="I94" s="298">
        <f>'Working Paper 3'!$E$8</f>
        <v>143.45851781578313</v>
      </c>
      <c r="J94" s="299">
        <f t="shared" si="38"/>
        <v>143</v>
      </c>
      <c r="K94" s="294"/>
      <c r="L94" s="317"/>
      <c r="M94" s="298">
        <f>'Working Paper 3'!$G$8</f>
        <v>60.236068170372583</v>
      </c>
      <c r="N94" s="300">
        <f t="shared" si="39"/>
        <v>60</v>
      </c>
      <c r="O94" s="294"/>
      <c r="P94" s="317"/>
      <c r="Q94" s="331" t="s">
        <v>119</v>
      </c>
      <c r="R94" s="334">
        <v>4.6900000000000004</v>
      </c>
      <c r="S94" s="352">
        <f>R105/100</f>
        <v>4.6900000000000004</v>
      </c>
      <c r="T94" s="330"/>
      <c r="U94" s="317"/>
      <c r="V94" s="446"/>
      <c r="W94" s="438"/>
      <c r="X94" s="444"/>
      <c r="Y94" s="444"/>
      <c r="Z94" s="438"/>
      <c r="AA94" s="444"/>
      <c r="AB94" s="444"/>
      <c r="AC94" s="438"/>
      <c r="AD94" s="444"/>
      <c r="AE94" s="444"/>
      <c r="AF94" s="437"/>
      <c r="AG94" s="423"/>
      <c r="AH94" s="423"/>
      <c r="AI94" s="438"/>
      <c r="AJ94" s="444"/>
      <c r="AK94" s="444"/>
      <c r="AL94" s="438"/>
      <c r="AM94" s="444"/>
      <c r="AN94" s="444"/>
      <c r="AO94" s="291"/>
    </row>
    <row r="95" spans="1:41" ht="54.95" hidden="1" customHeight="1" outlineLevel="1" thickBot="1" x14ac:dyDescent="0.3">
      <c r="A95" s="291"/>
      <c r="B95" s="291"/>
      <c r="C95" s="291"/>
      <c r="D95" s="301" t="s">
        <v>5</v>
      </c>
      <c r="E95" s="309">
        <f>'Working Paper 3'!$C$9</f>
        <v>0.22558468242770457</v>
      </c>
      <c r="F95" s="295">
        <f t="shared" si="37"/>
        <v>0.22470000000000001</v>
      </c>
      <c r="G95" s="294"/>
      <c r="H95" s="317"/>
      <c r="I95" s="298">
        <f>'Working Paper 3'!$E$9</f>
        <v>143.21774507854948</v>
      </c>
      <c r="J95" s="299">
        <f t="shared" si="38"/>
        <v>143</v>
      </c>
      <c r="K95" s="294"/>
      <c r="L95" s="317"/>
      <c r="M95" s="298">
        <f>'Working Paper 3'!$G$9</f>
        <v>65.927949272184037</v>
      </c>
      <c r="N95" s="300">
        <f t="shared" si="39"/>
        <v>66</v>
      </c>
      <c r="O95" s="294"/>
      <c r="P95" s="317"/>
      <c r="Q95" s="340"/>
      <c r="R95" s="332">
        <f>S112/A112*10000</f>
        <v>14.236624432424785</v>
      </c>
      <c r="S95" s="339">
        <f>T112/A112*10000</f>
        <v>14.240895419754516</v>
      </c>
      <c r="T95" s="336"/>
      <c r="U95" s="317"/>
      <c r="V95" s="447"/>
      <c r="W95" s="444"/>
      <c r="X95" s="444"/>
      <c r="Y95" s="444"/>
      <c r="Z95" s="444"/>
      <c r="AA95" s="444"/>
      <c r="AB95" s="444"/>
      <c r="AC95" s="444"/>
      <c r="AD95" s="444"/>
      <c r="AE95" s="444"/>
      <c r="AF95" s="423"/>
      <c r="AG95" s="423"/>
      <c r="AH95" s="423"/>
      <c r="AI95" s="444"/>
      <c r="AJ95" s="444"/>
      <c r="AK95" s="444"/>
      <c r="AL95" s="444"/>
      <c r="AM95" s="444"/>
      <c r="AN95" s="444"/>
      <c r="AO95" s="291"/>
    </row>
    <row r="96" spans="1:41" ht="54.95" hidden="1" customHeight="1" outlineLevel="1" thickBot="1" x14ac:dyDescent="0.3">
      <c r="A96" s="291"/>
      <c r="B96" s="291"/>
      <c r="C96" s="291"/>
      <c r="D96" s="301" t="s">
        <v>131</v>
      </c>
      <c r="E96" s="309">
        <f>'Working Paper 3'!$C$10</f>
        <v>0.25452682626864803</v>
      </c>
      <c r="F96" s="295">
        <f t="shared" si="37"/>
        <v>0.25480000000000003</v>
      </c>
      <c r="G96" s="294"/>
      <c r="H96" s="317"/>
      <c r="I96" s="298">
        <f>'Working Paper 3'!$E$10</f>
        <v>148.69146331982427</v>
      </c>
      <c r="J96" s="299">
        <f t="shared" si="38"/>
        <v>149</v>
      </c>
      <c r="K96" s="294"/>
      <c r="L96" s="317"/>
      <c r="M96" s="298">
        <f>'Working Paper 3'!$G$10</f>
        <v>100.86833162399658</v>
      </c>
      <c r="N96" s="300">
        <f t="shared" si="39"/>
        <v>70</v>
      </c>
      <c r="O96" s="294"/>
      <c r="P96" s="317"/>
      <c r="Q96" s="340"/>
      <c r="T96" s="336"/>
      <c r="U96" s="317"/>
      <c r="V96" s="387"/>
      <c r="W96" s="426"/>
      <c r="X96" s="426"/>
      <c r="Y96" s="426"/>
      <c r="Z96" s="426"/>
      <c r="AA96" s="426"/>
      <c r="AB96" s="426"/>
      <c r="AC96" s="426"/>
      <c r="AD96" s="426"/>
      <c r="AE96" s="426"/>
      <c r="AF96" s="423"/>
      <c r="AG96" s="423"/>
      <c r="AH96" s="423"/>
      <c r="AI96" s="426"/>
      <c r="AJ96" s="444"/>
      <c r="AK96" s="444"/>
      <c r="AL96" s="426"/>
      <c r="AM96" s="444"/>
      <c r="AN96" s="444"/>
      <c r="AO96" s="291"/>
    </row>
    <row r="97" spans="1:41" ht="54.95" hidden="1" customHeight="1" outlineLevel="1" thickBot="1" x14ac:dyDescent="0.3">
      <c r="A97" s="291"/>
      <c r="B97" s="291"/>
      <c r="C97" s="291"/>
      <c r="D97" s="301" t="s">
        <v>7</v>
      </c>
      <c r="E97" s="309">
        <f>'Working Paper 3'!$C$11</f>
        <v>6.0059880831170691E-2</v>
      </c>
      <c r="F97" s="295">
        <f t="shared" si="37"/>
        <v>5.9200000000000003E-2</v>
      </c>
      <c r="G97" s="294"/>
      <c r="H97" s="317"/>
      <c r="I97" s="298">
        <f>'Working Paper 3'!$E$11</f>
        <v>142.98844600659757</v>
      </c>
      <c r="J97" s="299">
        <f t="shared" si="38"/>
        <v>143</v>
      </c>
      <c r="K97" s="294"/>
      <c r="L97" s="317"/>
      <c r="M97" s="298">
        <f>'Working Paper 3'!$G$11</f>
        <v>54.90928046317822</v>
      </c>
      <c r="N97" s="300">
        <f t="shared" si="39"/>
        <v>55</v>
      </c>
      <c r="O97" s="294"/>
      <c r="P97" s="317"/>
      <c r="Q97" s="340"/>
      <c r="R97" s="887" t="s">
        <v>123</v>
      </c>
      <c r="S97" s="888"/>
      <c r="T97" s="889"/>
      <c r="U97" s="317"/>
      <c r="V97" s="387"/>
      <c r="W97" s="426"/>
      <c r="X97" s="426"/>
      <c r="Y97" s="426"/>
      <c r="Z97" s="426"/>
      <c r="AA97" s="426"/>
      <c r="AB97" s="426"/>
      <c r="AC97" s="426"/>
      <c r="AD97" s="426"/>
      <c r="AE97" s="426"/>
      <c r="AF97" s="423"/>
      <c r="AG97" s="423"/>
      <c r="AH97" s="423"/>
      <c r="AI97" s="444"/>
      <c r="AJ97" s="444"/>
      <c r="AK97" s="444"/>
      <c r="AL97" s="444"/>
      <c r="AM97" s="444"/>
      <c r="AN97" s="444"/>
      <c r="AO97" s="291"/>
    </row>
    <row r="98" spans="1:41" ht="54.95" hidden="1" customHeight="1" outlineLevel="1" thickBot="1" x14ac:dyDescent="0.3">
      <c r="A98" s="291"/>
      <c r="B98" s="291"/>
      <c r="C98" s="291"/>
      <c r="D98" s="301" t="s">
        <v>132</v>
      </c>
      <c r="E98" s="309">
        <f>'Working Paper 3'!$C$12</f>
        <v>2.4773150306096305E-2</v>
      </c>
      <c r="F98" s="295">
        <f t="shared" si="37"/>
        <v>2.4899999999999999E-2</v>
      </c>
      <c r="G98" s="294"/>
      <c r="H98" s="317"/>
      <c r="I98" s="298">
        <f>'Working Paper 3'!$E$12</f>
        <v>145.45695079148425</v>
      </c>
      <c r="J98" s="299">
        <f t="shared" si="38"/>
        <v>145</v>
      </c>
      <c r="K98" s="294"/>
      <c r="L98" s="317"/>
      <c r="M98" s="298">
        <f>'Working Paper 3'!$G$12</f>
        <v>292.619148787516</v>
      </c>
      <c r="N98" s="300">
        <f t="shared" si="39"/>
        <v>322</v>
      </c>
      <c r="O98" s="294"/>
      <c r="P98" s="317"/>
      <c r="Q98" s="340"/>
      <c r="R98" s="384">
        <v>1</v>
      </c>
      <c r="S98" s="384">
        <f>R101/100</f>
        <v>1</v>
      </c>
      <c r="T98" s="383"/>
      <c r="U98" s="317"/>
      <c r="V98" s="387"/>
      <c r="W98" s="423"/>
      <c r="X98" s="423"/>
      <c r="Y98" s="423"/>
      <c r="Z98" s="423"/>
      <c r="AA98" s="423"/>
      <c r="AB98" s="423"/>
      <c r="AC98" s="423"/>
      <c r="AD98" s="423"/>
      <c r="AE98" s="423"/>
      <c r="AF98" s="423"/>
      <c r="AG98" s="423"/>
      <c r="AH98" s="423"/>
      <c r="AI98" s="423"/>
      <c r="AJ98" s="423"/>
      <c r="AK98" s="423"/>
      <c r="AL98" s="423"/>
      <c r="AM98" s="423"/>
      <c r="AN98" s="423"/>
      <c r="AO98" s="291"/>
    </row>
    <row r="99" spans="1:41" ht="54.95" hidden="1" customHeight="1" outlineLevel="1" thickBot="1" x14ac:dyDescent="0.3">
      <c r="A99" s="291"/>
      <c r="B99" s="291"/>
      <c r="C99" s="291"/>
      <c r="D99" s="301" t="s">
        <v>133</v>
      </c>
      <c r="E99" s="309">
        <f>'Working Paper 3'!$C$13</f>
        <v>2.3298914154830527E-2</v>
      </c>
      <c r="F99" s="295">
        <f t="shared" si="37"/>
        <v>2.41E-2</v>
      </c>
      <c r="G99" s="294"/>
      <c r="H99" s="317"/>
      <c r="I99" s="298">
        <f>'Working Paper 3'!$E$13</f>
        <v>139.5775929132339</v>
      </c>
      <c r="J99" s="299">
        <f t="shared" si="38"/>
        <v>139</v>
      </c>
      <c r="K99" s="294"/>
      <c r="L99" s="317"/>
      <c r="M99" s="298">
        <f>'Working Paper 3'!$G$13</f>
        <v>285.31047780447233</v>
      </c>
      <c r="N99" s="300">
        <f t="shared" si="39"/>
        <v>285</v>
      </c>
      <c r="O99" s="294"/>
      <c r="P99" s="317"/>
      <c r="Q99" s="341"/>
      <c r="R99" s="337"/>
      <c r="S99" s="318"/>
      <c r="T99" s="338"/>
      <c r="U99" s="317"/>
      <c r="V99" s="387"/>
      <c r="W99" s="423"/>
      <c r="X99" s="423"/>
      <c r="Y99" s="423"/>
      <c r="Z99" s="423"/>
      <c r="AA99" s="423"/>
      <c r="AB99" s="423"/>
      <c r="AC99" s="423"/>
      <c r="AD99" s="423"/>
      <c r="AE99" s="423"/>
      <c r="AF99" s="423"/>
      <c r="AG99" s="423"/>
      <c r="AH99" s="423"/>
      <c r="AI99" s="423"/>
      <c r="AJ99" s="423"/>
      <c r="AK99" s="423"/>
      <c r="AL99" s="423"/>
      <c r="AM99" s="423"/>
      <c r="AN99" s="423"/>
      <c r="AO99" s="291"/>
    </row>
    <row r="100" spans="1:41" ht="21.95" hidden="1" customHeight="1" outlineLevel="1" thickBot="1" x14ac:dyDescent="0.3">
      <c r="A100" s="291"/>
      <c r="B100" s="291"/>
      <c r="C100" s="291"/>
      <c r="D100" s="291"/>
      <c r="E100" s="291"/>
      <c r="F100" s="291"/>
      <c r="G100" s="291"/>
      <c r="H100" s="317"/>
      <c r="I100" s="291"/>
      <c r="J100" s="291"/>
      <c r="K100" s="291"/>
      <c r="L100" s="317"/>
      <c r="M100" s="291"/>
      <c r="N100" s="291"/>
      <c r="O100" s="291"/>
      <c r="P100" s="317"/>
      <c r="Q100" s="317"/>
      <c r="R100" s="317"/>
      <c r="S100" s="317"/>
      <c r="T100" s="317"/>
      <c r="U100" s="317"/>
      <c r="W100" s="319"/>
      <c r="X100" s="319"/>
      <c r="Y100" s="319"/>
      <c r="Z100" s="319"/>
      <c r="AA100" s="319"/>
      <c r="AB100" s="319"/>
      <c r="AC100" s="319"/>
      <c r="AD100" s="319"/>
      <c r="AE100" s="319"/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291"/>
    </row>
    <row r="101" spans="1:41" ht="21.95" hidden="1" customHeight="1" outlineLevel="1" thickBot="1" x14ac:dyDescent="0.3">
      <c r="A101" s="291"/>
      <c r="B101" s="291"/>
      <c r="C101" s="291"/>
      <c r="D101" s="291"/>
      <c r="E101" s="315">
        <f>SUM(E92:E100)</f>
        <v>0.99999999999999978</v>
      </c>
      <c r="F101" s="316">
        <f>SUM(F92:F100)</f>
        <v>1.0003</v>
      </c>
      <c r="G101" s="291"/>
      <c r="H101" s="317"/>
      <c r="I101" s="313">
        <f>J112/A112*10000</f>
        <v>145.09737289553766</v>
      </c>
      <c r="J101" s="314">
        <f>I112</f>
        <v>145.12236329101268</v>
      </c>
      <c r="K101" s="291"/>
      <c r="L101" s="317"/>
      <c r="M101" s="311">
        <f>N112/A112*10000</f>
        <v>77.946175197285811</v>
      </c>
      <c r="N101" s="312">
        <f>M112</f>
        <v>71.212336299110248</v>
      </c>
      <c r="O101" s="291"/>
      <c r="P101" s="317"/>
      <c r="Q101" s="291"/>
      <c r="R101" s="410">
        <v>100</v>
      </c>
      <c r="S101" s="411">
        <f>S98*1</f>
        <v>1</v>
      </c>
      <c r="T101" s="410"/>
      <c r="U101" s="317"/>
      <c r="AO101" s="291"/>
    </row>
    <row r="102" spans="1:41" ht="21.95" customHeight="1" collapsed="1" x14ac:dyDescent="0.25">
      <c r="A102" s="291"/>
      <c r="B102" s="291"/>
      <c r="C102" s="291"/>
      <c r="D102" s="291"/>
      <c r="E102" s="291"/>
      <c r="F102" s="291"/>
      <c r="H102" s="317"/>
      <c r="I102" s="291"/>
      <c r="J102" s="291"/>
      <c r="K102" s="291"/>
      <c r="L102" s="317"/>
      <c r="M102" s="291"/>
      <c r="N102" s="291"/>
      <c r="O102" s="291"/>
      <c r="P102" s="317"/>
      <c r="Q102" s="317"/>
      <c r="R102" s="317"/>
      <c r="S102" s="317"/>
      <c r="T102" s="317"/>
      <c r="U102" s="317"/>
      <c r="AO102" s="291"/>
    </row>
    <row r="103" spans="1:41" ht="21.95" hidden="1" customHeight="1" outlineLevel="1" thickBot="1" x14ac:dyDescent="0.3">
      <c r="A103" s="305">
        <f>E92*'Working Paper 3'!$D$15</f>
        <v>9076148.8993999995</v>
      </c>
      <c r="B103" s="305"/>
      <c r="C103" s="305"/>
      <c r="D103" s="291" t="s">
        <v>130</v>
      </c>
      <c r="E103" s="292">
        <v>534</v>
      </c>
      <c r="F103" s="305">
        <f>F92*$A$25</f>
        <v>7775805.6171600027</v>
      </c>
      <c r="G103" s="291"/>
      <c r="H103" s="317"/>
      <c r="I103" s="296">
        <v>155</v>
      </c>
      <c r="J103" s="448">
        <f t="shared" ref="J103:J110" si="40">I92*A103/10000</f>
        <v>140625.07096306313</v>
      </c>
      <c r="K103" s="306">
        <f t="shared" ref="K103:K110" si="41">J92*F103/10000</f>
        <v>120524.98706598005</v>
      </c>
      <c r="L103" s="317"/>
      <c r="M103" s="296">
        <v>170</v>
      </c>
      <c r="N103" s="448">
        <f t="shared" ref="N103:N110" si="42">M92*A103/10000</f>
        <v>154038.48510632664</v>
      </c>
      <c r="O103" s="306">
        <f t="shared" ref="O103:O110" si="43">N92*F103/10000</f>
        <v>132188.69549172005</v>
      </c>
      <c r="P103" s="317"/>
      <c r="Q103" s="460" t="s">
        <v>116</v>
      </c>
      <c r="R103" s="359">
        <v>999</v>
      </c>
      <c r="S103" s="461">
        <f>R92*$A$25/10000</f>
        <v>145468.72306260004</v>
      </c>
      <c r="T103" s="362">
        <f>R103*F112/1000000</f>
        <v>145512.36367951886</v>
      </c>
      <c r="U103" s="317"/>
      <c r="AO103" s="291"/>
    </row>
    <row r="104" spans="1:41" ht="21.95" hidden="1" customHeight="1" outlineLevel="1" thickBot="1" x14ac:dyDescent="0.3">
      <c r="A104" s="305">
        <f>E93*'Working Paper 3'!$D$15</f>
        <v>57632231.372800022</v>
      </c>
      <c r="B104" s="305"/>
      <c r="C104" s="305"/>
      <c r="D104" s="291" t="s">
        <v>3</v>
      </c>
      <c r="E104" s="292">
        <v>3189</v>
      </c>
      <c r="F104" s="305">
        <f t="shared" ref="F104:F110" si="44">F93*$A$25</f>
        <v>46436412.196860015</v>
      </c>
      <c r="I104" s="297">
        <v>143</v>
      </c>
      <c r="J104" s="448">
        <f t="shared" si="40"/>
        <v>824097.96201185125</v>
      </c>
      <c r="K104" s="306">
        <f t="shared" si="41"/>
        <v>664040.69441509817</v>
      </c>
      <c r="M104" s="297">
        <v>28</v>
      </c>
      <c r="N104" s="448">
        <f t="shared" si="42"/>
        <v>165177.77053064405</v>
      </c>
      <c r="O104" s="306">
        <f t="shared" si="43"/>
        <v>130021.95415120805</v>
      </c>
      <c r="Q104" s="460" t="s">
        <v>118</v>
      </c>
      <c r="R104" s="359">
        <v>289</v>
      </c>
      <c r="S104" s="461">
        <f t="shared" ref="S104:S105" si="45">R93*$A$25/10000</f>
        <v>42082.543508600014</v>
      </c>
      <c r="T104" s="362">
        <f>R104*F112/1000000</f>
        <v>42095.168271652597</v>
      </c>
    </row>
    <row r="105" spans="1:41" ht="21.95" hidden="1" customHeight="1" outlineLevel="1" thickBot="1" x14ac:dyDescent="0.3">
      <c r="A105" s="305">
        <f>E94*'Working Paper 3'!$D$15</f>
        <v>7287813.9641000004</v>
      </c>
      <c r="B105" s="305"/>
      <c r="C105" s="305"/>
      <c r="D105" s="291" t="s">
        <v>4</v>
      </c>
      <c r="E105" s="292">
        <v>403</v>
      </c>
      <c r="F105" s="305">
        <f t="shared" si="44"/>
        <v>5868257.7972200019</v>
      </c>
      <c r="I105" s="297">
        <v>143</v>
      </c>
      <c r="J105" s="448">
        <f t="shared" si="40"/>
        <v>104549.8989406953</v>
      </c>
      <c r="K105" s="306">
        <f t="shared" si="41"/>
        <v>83916.08650024602</v>
      </c>
      <c r="M105" s="297">
        <v>60</v>
      </c>
      <c r="N105" s="448">
        <f t="shared" si="42"/>
        <v>43898.925875452092</v>
      </c>
      <c r="O105" s="306">
        <f t="shared" si="43"/>
        <v>35209.546783320009</v>
      </c>
      <c r="Q105" s="462" t="s">
        <v>119</v>
      </c>
      <c r="R105" s="359">
        <v>469</v>
      </c>
      <c r="S105" s="461">
        <f t="shared" si="45"/>
        <v>68293.124240600024</v>
      </c>
      <c r="T105" s="362">
        <f>R105*F112/1000000</f>
        <v>68313.612177872201</v>
      </c>
    </row>
    <row r="106" spans="1:41" ht="21.95" hidden="1" customHeight="1" outlineLevel="1" x14ac:dyDescent="0.25">
      <c r="A106" s="305">
        <f>E95*'Working Paper 3'!$D$15</f>
        <v>40539508.453100003</v>
      </c>
      <c r="B106" s="305"/>
      <c r="C106" s="305"/>
      <c r="D106" s="291" t="s">
        <v>5</v>
      </c>
      <c r="E106" s="292">
        <v>2247</v>
      </c>
      <c r="F106" s="305">
        <f t="shared" si="44"/>
        <v>32719541.61378001</v>
      </c>
      <c r="I106" s="297">
        <v>143</v>
      </c>
      <c r="J106" s="448">
        <f t="shared" si="40"/>
        <v>580597.69872457779</v>
      </c>
      <c r="K106" s="306">
        <f t="shared" si="41"/>
        <v>467889.44507705414</v>
      </c>
      <c r="M106" s="297">
        <v>66</v>
      </c>
      <c r="N106" s="448">
        <f t="shared" si="42"/>
        <v>267268.66568152525</v>
      </c>
      <c r="O106" s="306">
        <f t="shared" si="43"/>
        <v>215948.97465094805</v>
      </c>
      <c r="Q106" s="449"/>
      <c r="R106" s="449"/>
      <c r="S106" s="449"/>
      <c r="T106" s="451"/>
    </row>
    <row r="107" spans="1:41" ht="21.95" hidden="1" customHeight="1" outlineLevel="1" x14ac:dyDescent="0.25">
      <c r="A107" s="305">
        <f>E96*'Working Paper 3'!$D$15</f>
        <v>45740660.731100008</v>
      </c>
      <c r="B107" s="305"/>
      <c r="C107" s="305"/>
      <c r="D107" s="291" t="s">
        <v>131</v>
      </c>
      <c r="E107" s="292">
        <v>2548</v>
      </c>
      <c r="F107" s="305">
        <f t="shared" si="44"/>
        <v>37102533.169520013</v>
      </c>
      <c r="I107" s="297">
        <v>149</v>
      </c>
      <c r="J107" s="448">
        <f t="shared" si="40"/>
        <v>680124.57773228828</v>
      </c>
      <c r="K107" s="306">
        <f t="shared" si="41"/>
        <v>552827.74422584823</v>
      </c>
      <c r="M107" s="297">
        <v>70</v>
      </c>
      <c r="N107" s="448">
        <f t="shared" si="42"/>
        <v>461378.41353253135</v>
      </c>
      <c r="O107" s="306">
        <f t="shared" si="43"/>
        <v>259717.73218664006</v>
      </c>
      <c r="Q107" s="449"/>
      <c r="R107" s="449"/>
      <c r="S107" s="449"/>
      <c r="T107" s="451"/>
    </row>
    <row r="108" spans="1:41" ht="21.95" hidden="1" customHeight="1" outlineLevel="1" x14ac:dyDescent="0.25">
      <c r="A108" s="305">
        <f>E97*'Working Paper 3'!$D$15</f>
        <v>10793277.364599999</v>
      </c>
      <c r="B108" s="305"/>
      <c r="C108" s="305"/>
      <c r="D108" s="291" t="s">
        <v>7</v>
      </c>
      <c r="E108" s="292">
        <v>592</v>
      </c>
      <c r="F108" s="305">
        <f t="shared" si="44"/>
        <v>8620368.7740800027</v>
      </c>
      <c r="I108" s="297">
        <v>143</v>
      </c>
      <c r="J108" s="448">
        <f t="shared" si="40"/>
        <v>154331.39576823387</v>
      </c>
      <c r="K108" s="306">
        <f t="shared" si="41"/>
        <v>123271.27346934404</v>
      </c>
      <c r="M108" s="297">
        <v>55</v>
      </c>
      <c r="N108" s="448">
        <f t="shared" si="42"/>
        <v>59265.10939296944</v>
      </c>
      <c r="O108" s="306">
        <f t="shared" si="43"/>
        <v>47412.028257440012</v>
      </c>
      <c r="Q108" s="449"/>
      <c r="R108" s="449"/>
      <c r="S108" s="449"/>
      <c r="T108" s="451"/>
      <c r="V108" s="320"/>
      <c r="W108" s="297"/>
      <c r="X108" s="297"/>
      <c r="Y108" s="297"/>
    </row>
    <row r="109" spans="1:41" ht="21.95" hidden="1" customHeight="1" outlineLevel="1" x14ac:dyDescent="0.25">
      <c r="A109" s="305">
        <f>E98*'Working Paper 3'!$D$15</f>
        <v>4451948.2681000009</v>
      </c>
      <c r="B109" s="305"/>
      <c r="C109" s="305"/>
      <c r="D109" s="291" t="s">
        <v>132</v>
      </c>
      <c r="E109" s="292">
        <v>249</v>
      </c>
      <c r="F109" s="305">
        <f t="shared" si="44"/>
        <v>3625797.0012600007</v>
      </c>
      <c r="I109" s="297">
        <v>145</v>
      </c>
      <c r="J109" s="448">
        <f t="shared" si="40"/>
        <v>64756.682015925537</v>
      </c>
      <c r="K109" s="306">
        <f t="shared" si="41"/>
        <v>52574.056518270008</v>
      </c>
      <c r="M109" s="297">
        <v>322</v>
      </c>
      <c r="N109" s="448">
        <f t="shared" si="42"/>
        <v>130272.53126574784</v>
      </c>
      <c r="O109" s="306">
        <f t="shared" si="43"/>
        <v>116750.66344057203</v>
      </c>
      <c r="Q109" s="449"/>
      <c r="R109" s="449"/>
      <c r="S109" s="449"/>
      <c r="T109" s="451"/>
    </row>
    <row r="110" spans="1:41" ht="21.95" hidden="1" customHeight="1" outlineLevel="1" x14ac:dyDescent="0.25">
      <c r="A110" s="305">
        <f>E99*'Working Paper 3'!$D$15</f>
        <v>4187015.3468000004</v>
      </c>
      <c r="B110" s="305"/>
      <c r="C110" s="305"/>
      <c r="D110" s="291" t="s">
        <v>133</v>
      </c>
      <c r="E110" s="292">
        <v>241</v>
      </c>
      <c r="F110" s="305">
        <f t="shared" si="44"/>
        <v>3509305.5313400007</v>
      </c>
      <c r="I110" s="297">
        <v>139</v>
      </c>
      <c r="J110" s="448">
        <f t="shared" si="40"/>
        <v>58441.352359711338</v>
      </c>
      <c r="K110" s="306">
        <f t="shared" si="41"/>
        <v>48779.346885626015</v>
      </c>
      <c r="M110" s="297">
        <v>285</v>
      </c>
      <c r="N110" s="448">
        <f t="shared" si="42"/>
        <v>119459.93491701665</v>
      </c>
      <c r="O110" s="306">
        <f t="shared" si="43"/>
        <v>100015.20764319002</v>
      </c>
      <c r="Q110" s="449"/>
      <c r="R110" s="449"/>
      <c r="S110" s="449"/>
      <c r="T110" s="451"/>
    </row>
    <row r="111" spans="1:41" ht="21.95" hidden="1" customHeight="1" outlineLevel="1" x14ac:dyDescent="0.25">
      <c r="E111" s="291"/>
      <c r="I111" s="297"/>
      <c r="Q111" s="449"/>
      <c r="R111" s="449"/>
      <c r="S111" s="449"/>
      <c r="T111" s="449"/>
    </row>
    <row r="112" spans="1:41" ht="21.95" hidden="1" customHeight="1" outlineLevel="1" x14ac:dyDescent="0.25">
      <c r="A112" s="71">
        <f>SUM(A103:A111)</f>
        <v>179708604.40000004</v>
      </c>
      <c r="B112" s="71"/>
      <c r="C112" s="71"/>
      <c r="E112" s="308">
        <f>SUM(E103:E111)</f>
        <v>10003</v>
      </c>
      <c r="F112" s="71">
        <f>SUM(F103:F110)</f>
        <v>145658021.70122007</v>
      </c>
      <c r="I112" s="297">
        <f>K112/F112*10000</f>
        <v>145.12236329101268</v>
      </c>
      <c r="J112" s="149">
        <f>SUM(J103:J111)</f>
        <v>2607524.6385163465</v>
      </c>
      <c r="K112" s="149">
        <f>SUM(K103:K111)</f>
        <v>2113823.6341574667</v>
      </c>
      <c r="M112" s="297">
        <f>O112/F112*10000</f>
        <v>71.212336299110248</v>
      </c>
      <c r="N112" s="149">
        <f>SUM(N103:N111)</f>
        <v>1400759.8363022131</v>
      </c>
      <c r="O112" s="149">
        <f>SUM(O103:O111)</f>
        <v>1037264.8026050382</v>
      </c>
      <c r="P112" s="320"/>
      <c r="Q112" s="454"/>
      <c r="R112" s="454">
        <f>S112/A112*10000</f>
        <v>14.236624432424785</v>
      </c>
      <c r="S112" s="456">
        <f>SUM(S103:S111)</f>
        <v>255844.39081180008</v>
      </c>
      <c r="T112" s="456">
        <f>SUM(T103:T110)</f>
        <v>255921.14412904368</v>
      </c>
      <c r="U112" s="320"/>
    </row>
    <row r="113" spans="1:40" ht="21.95" hidden="1" customHeight="1" outlineLevel="1" x14ac:dyDescent="0.25">
      <c r="O113" s="149">
        <f>K112-O112</f>
        <v>1076558.8315524287</v>
      </c>
    </row>
    <row r="114" spans="1:40" ht="21.95" hidden="1" customHeight="1" outlineLevel="1" x14ac:dyDescent="0.25"/>
    <row r="115" spans="1:40" ht="21.95" customHeight="1" collapsed="1" x14ac:dyDescent="0.25"/>
    <row r="118" spans="1:40" ht="21.95" hidden="1" customHeight="1" outlineLevel="1" x14ac:dyDescent="0.35">
      <c r="E118" s="465" t="s">
        <v>143</v>
      </c>
      <c r="G118" s="467" t="s">
        <v>144</v>
      </c>
      <c r="H118" s="466"/>
      <c r="I118" s="465"/>
      <c r="J118" s="465"/>
      <c r="K118" s="280"/>
      <c r="L118" s="327"/>
      <c r="M118" s="280"/>
    </row>
    <row r="119" spans="1:40" ht="21.95" hidden="1" customHeight="1" outlineLevel="1" thickBot="1" x14ac:dyDescent="0.3">
      <c r="A119" s="291"/>
      <c r="B119" s="291"/>
      <c r="C119" s="291"/>
      <c r="D119" s="291"/>
      <c r="E119" s="291"/>
      <c r="F119" s="291"/>
      <c r="G119" s="291"/>
      <c r="H119" s="317"/>
      <c r="I119" s="291"/>
      <c r="J119" s="291"/>
      <c r="K119" s="291"/>
      <c r="L119" s="317"/>
      <c r="M119" s="291"/>
      <c r="N119" s="291"/>
      <c r="O119" s="291"/>
      <c r="P119" s="317"/>
      <c r="Q119" s="317"/>
      <c r="R119" s="317"/>
      <c r="S119" s="317"/>
      <c r="T119" s="317"/>
    </row>
    <row r="120" spans="1:40" ht="21.95" hidden="1" customHeight="1" outlineLevel="1" thickBot="1" x14ac:dyDescent="0.3">
      <c r="A120" s="291"/>
      <c r="B120" s="291"/>
      <c r="C120" s="291"/>
      <c r="D120" s="291"/>
      <c r="E120" s="883" t="s">
        <v>104</v>
      </c>
      <c r="F120" s="884"/>
      <c r="G120" s="885"/>
      <c r="H120" s="323"/>
      <c r="I120" s="873" t="s">
        <v>105</v>
      </c>
      <c r="J120" s="874"/>
      <c r="K120" s="875"/>
      <c r="L120" s="323"/>
      <c r="M120" s="876" t="s">
        <v>106</v>
      </c>
      <c r="N120" s="877"/>
      <c r="O120" s="878"/>
      <c r="P120" s="323"/>
      <c r="Q120" s="323"/>
      <c r="R120" s="879" t="s">
        <v>107</v>
      </c>
      <c r="S120" s="880"/>
      <c r="T120" s="881"/>
      <c r="V120" s="321"/>
      <c r="W120" s="845" t="s">
        <v>108</v>
      </c>
      <c r="X120" s="846"/>
      <c r="Y120" s="847"/>
      <c r="Z120" s="851" t="s">
        <v>1</v>
      </c>
      <c r="AA120" s="851"/>
      <c r="AB120" s="852"/>
      <c r="AC120" s="853" t="s">
        <v>140</v>
      </c>
      <c r="AD120" s="851"/>
      <c r="AE120" s="852"/>
      <c r="AF120" s="853" t="s">
        <v>110</v>
      </c>
      <c r="AG120" s="851"/>
      <c r="AH120" s="855"/>
      <c r="AI120" s="857" t="s">
        <v>111</v>
      </c>
      <c r="AJ120" s="857"/>
      <c r="AK120" s="858"/>
      <c r="AL120" s="860" t="s">
        <v>112</v>
      </c>
      <c r="AM120" s="861"/>
      <c r="AN120" s="862"/>
    </row>
    <row r="121" spans="1:40" ht="21.95" hidden="1" customHeight="1" outlineLevel="1" thickBot="1" x14ac:dyDescent="0.3">
      <c r="A121" s="291"/>
      <c r="B121" s="291"/>
      <c r="C121" s="291"/>
      <c r="D121" s="291"/>
      <c r="E121" s="325" t="s">
        <v>113</v>
      </c>
      <c r="F121" s="883" t="s">
        <v>114</v>
      </c>
      <c r="G121" s="890"/>
      <c r="H121" s="322"/>
      <c r="I121" s="302" t="s">
        <v>113</v>
      </c>
      <c r="J121" s="873" t="s">
        <v>115</v>
      </c>
      <c r="K121" s="891"/>
      <c r="L121" s="322"/>
      <c r="M121" s="302" t="s">
        <v>113</v>
      </c>
      <c r="N121" s="876" t="s">
        <v>115</v>
      </c>
      <c r="O121" s="886"/>
      <c r="P121" s="322"/>
      <c r="Q121" s="322"/>
      <c r="R121" s="328" t="s">
        <v>113</v>
      </c>
      <c r="S121" s="871" t="s">
        <v>115</v>
      </c>
      <c r="T121" s="872"/>
      <c r="V121" s="322"/>
      <c r="W121" s="848"/>
      <c r="X121" s="849"/>
      <c r="Y121" s="850"/>
      <c r="Z121" s="849"/>
      <c r="AA121" s="849"/>
      <c r="AB121" s="849"/>
      <c r="AC121" s="854"/>
      <c r="AD121" s="849"/>
      <c r="AE121" s="849"/>
      <c r="AF121" s="854"/>
      <c r="AG121" s="849"/>
      <c r="AH121" s="856"/>
      <c r="AI121" s="859"/>
      <c r="AJ121" s="859"/>
      <c r="AK121" s="859"/>
      <c r="AL121" s="863"/>
      <c r="AM121" s="864"/>
      <c r="AN121" s="864"/>
    </row>
    <row r="122" spans="1:40" ht="58.5" hidden="1" customHeight="1" outlineLevel="1" thickBot="1" x14ac:dyDescent="0.3">
      <c r="A122" s="291"/>
      <c r="B122" s="291"/>
      <c r="C122" s="291"/>
      <c r="D122" s="301" t="s">
        <v>130</v>
      </c>
      <c r="E122" s="309">
        <f>'Working Paper 3'!$C$6</f>
        <v>5.0504809882102659E-2</v>
      </c>
      <c r="F122" s="295">
        <f t="shared" ref="F122:F129" si="46">E133/10000</f>
        <v>5.3400000000000003E-2</v>
      </c>
      <c r="G122" s="293"/>
      <c r="H122" s="324"/>
      <c r="I122" s="298">
        <f>'Working Paper 3'!$E$6</f>
        <v>154.93914051185246</v>
      </c>
      <c r="J122" s="299">
        <f>I133</f>
        <v>178</v>
      </c>
      <c r="K122" s="294"/>
      <c r="L122" s="317"/>
      <c r="M122" s="298">
        <f>'Working Paper 3'!$G$6</f>
        <v>169.71789116032431</v>
      </c>
      <c r="N122" s="300">
        <f>M133</f>
        <v>169</v>
      </c>
      <c r="O122" s="294"/>
      <c r="P122" s="317"/>
      <c r="Q122" s="329" t="s">
        <v>116</v>
      </c>
      <c r="R122" s="334">
        <v>9.99</v>
      </c>
      <c r="S122" s="352">
        <f>R133/100</f>
        <v>9.99</v>
      </c>
      <c r="T122" s="330"/>
      <c r="V122" s="825" t="s">
        <v>113</v>
      </c>
      <c r="W122" s="827">
        <f>'Working Paper 3'!$F$15</f>
        <v>2607524.6385163465</v>
      </c>
      <c r="X122" s="828"/>
      <c r="Y122" s="829"/>
      <c r="Z122" s="830">
        <f>'Working Paper 3'!$H$15</f>
        <v>1400759.8363022131</v>
      </c>
      <c r="AA122" s="828"/>
      <c r="AB122" s="829"/>
      <c r="AC122" s="830">
        <f>'Working Paper 3'!$J$15</f>
        <v>1206764.8022141333</v>
      </c>
      <c r="AD122" s="828"/>
      <c r="AE122" s="829"/>
      <c r="AF122" s="831">
        <f>'Working Paper 3'!$J$15/'Working Paper 3'!$F$15</f>
        <v>0.46280092022477287</v>
      </c>
      <c r="AG122" s="828"/>
      <c r="AH122" s="832"/>
      <c r="AI122" s="827">
        <f>S142</f>
        <v>255844.39081180008</v>
      </c>
      <c r="AJ122" s="828"/>
      <c r="AK122" s="828"/>
      <c r="AL122" s="833">
        <f>AC122-AI122</f>
        <v>950920.41140233329</v>
      </c>
      <c r="AM122" s="828"/>
      <c r="AN122" s="832"/>
    </row>
    <row r="123" spans="1:40" ht="58.5" hidden="1" customHeight="1" outlineLevel="1" thickBot="1" x14ac:dyDescent="0.3">
      <c r="A123" s="291"/>
      <c r="B123" s="291"/>
      <c r="C123" s="291"/>
      <c r="D123" s="301" t="s">
        <v>3</v>
      </c>
      <c r="E123" s="309">
        <f>'Working Paper 3'!$C$7</f>
        <v>0.3206982301443993</v>
      </c>
      <c r="F123" s="295">
        <f t="shared" si="46"/>
        <v>0.31890000000000002</v>
      </c>
      <c r="G123" s="294"/>
      <c r="H123" s="317"/>
      <c r="I123" s="298">
        <f>'Working Paper 3'!$E$7</f>
        <v>142.99254815956868</v>
      </c>
      <c r="J123" s="299">
        <f t="shared" ref="J123:J129" si="47">I134</f>
        <v>65</v>
      </c>
      <c r="K123" s="294"/>
      <c r="L123" s="317"/>
      <c r="M123" s="298">
        <f>'Working Paper 3'!$G$7</f>
        <v>28.660658557912612</v>
      </c>
      <c r="N123" s="300">
        <f t="shared" ref="N123:N129" si="48">M134</f>
        <v>28</v>
      </c>
      <c r="O123" s="294"/>
      <c r="P123" s="317"/>
      <c r="Q123" s="329" t="s">
        <v>118</v>
      </c>
      <c r="R123" s="334">
        <v>2.89</v>
      </c>
      <c r="S123" s="352">
        <f>R134/100</f>
        <v>2.89</v>
      </c>
      <c r="T123" s="330"/>
      <c r="V123" s="826"/>
      <c r="W123" s="834">
        <f>I131</f>
        <v>145.09737289553766</v>
      </c>
      <c r="X123" s="835"/>
      <c r="Y123" s="836"/>
      <c r="Z123" s="837">
        <f>M131</f>
        <v>77.946175197285811</v>
      </c>
      <c r="AA123" s="835"/>
      <c r="AB123" s="836"/>
      <c r="AC123" s="837">
        <f>W123-Z123</f>
        <v>67.151197698251849</v>
      </c>
      <c r="AD123" s="838"/>
      <c r="AE123" s="839"/>
      <c r="AF123" s="840"/>
      <c r="AG123" s="841"/>
      <c r="AH123" s="842"/>
      <c r="AI123" s="843">
        <f>R125</f>
        <v>14.236624432424785</v>
      </c>
      <c r="AJ123" s="835"/>
      <c r="AK123" s="836"/>
      <c r="AL123" s="837">
        <f>AC123-AI123</f>
        <v>52.914573265827066</v>
      </c>
      <c r="AM123" s="835"/>
      <c r="AN123" s="844"/>
    </row>
    <row r="124" spans="1:40" ht="58.5" hidden="1" customHeight="1" outlineLevel="1" thickBot="1" x14ac:dyDescent="0.3">
      <c r="A124" s="291"/>
      <c r="B124" s="291"/>
      <c r="C124" s="291"/>
      <c r="D124" s="301" t="s">
        <v>4</v>
      </c>
      <c r="E124" s="309">
        <f>'Working Paper 3'!$C$8</f>
        <v>4.0553505985047866E-2</v>
      </c>
      <c r="F124" s="295">
        <f t="shared" si="46"/>
        <v>4.0099999999999997E-2</v>
      </c>
      <c r="G124" s="326"/>
      <c r="H124" s="317"/>
      <c r="I124" s="298">
        <f>'Working Paper 3'!$E$8</f>
        <v>143.45851781578313</v>
      </c>
      <c r="J124" s="299">
        <f t="shared" si="47"/>
        <v>159</v>
      </c>
      <c r="K124" s="294"/>
      <c r="L124" s="317"/>
      <c r="M124" s="298">
        <f>'Working Paper 3'!$G$8</f>
        <v>60.236068170372583</v>
      </c>
      <c r="N124" s="300">
        <f t="shared" si="48"/>
        <v>60</v>
      </c>
      <c r="O124" s="294"/>
      <c r="P124" s="317"/>
      <c r="Q124" s="331" t="s">
        <v>119</v>
      </c>
      <c r="R124" s="334">
        <v>4.6900000000000004</v>
      </c>
      <c r="S124" s="352">
        <f>R135/100</f>
        <v>4.6900000000000004</v>
      </c>
      <c r="T124" s="330"/>
      <c r="V124" s="810" t="s">
        <v>141</v>
      </c>
      <c r="W124" s="812">
        <f>K142*S128</f>
        <v>1585406.6774533545</v>
      </c>
      <c r="X124" s="788"/>
      <c r="Y124" s="789"/>
      <c r="Z124" s="813">
        <f>O142*S128</f>
        <v>1004680.6823250402</v>
      </c>
      <c r="AA124" s="788"/>
      <c r="AB124" s="789"/>
      <c r="AC124" s="813">
        <f>W124-Z124</f>
        <v>580725.99512831424</v>
      </c>
      <c r="AD124" s="788"/>
      <c r="AE124" s="789"/>
      <c r="AF124" s="814">
        <f>AC124/K142</f>
        <v>0.36629465700317149</v>
      </c>
      <c r="AG124" s="788"/>
      <c r="AH124" s="797"/>
      <c r="AI124" s="812">
        <f>S142*S128</f>
        <v>255844.39081180008</v>
      </c>
      <c r="AJ124" s="788"/>
      <c r="AK124" s="788"/>
      <c r="AL124" s="815">
        <f>AC124-AI124</f>
        <v>324881.60431651416</v>
      </c>
      <c r="AM124" s="788"/>
      <c r="AN124" s="797"/>
    </row>
    <row r="125" spans="1:40" ht="58.5" hidden="1" customHeight="1" outlineLevel="1" thickBot="1" x14ac:dyDescent="0.3">
      <c r="A125" s="291"/>
      <c r="B125" s="291"/>
      <c r="C125" s="291"/>
      <c r="D125" s="301" t="s">
        <v>5</v>
      </c>
      <c r="E125" s="309">
        <f>'Working Paper 3'!$C$9</f>
        <v>0.22558468242770457</v>
      </c>
      <c r="F125" s="295">
        <f t="shared" si="46"/>
        <v>0.22470000000000001</v>
      </c>
      <c r="G125" s="294"/>
      <c r="H125" s="317"/>
      <c r="I125" s="298">
        <f>'Working Paper 3'!$E$9</f>
        <v>143.21774507854948</v>
      </c>
      <c r="J125" s="299">
        <f t="shared" si="47"/>
        <v>65</v>
      </c>
      <c r="K125" s="294"/>
      <c r="L125" s="317"/>
      <c r="M125" s="298">
        <f>'Working Paper 3'!$G$9</f>
        <v>65.927949272184037</v>
      </c>
      <c r="N125" s="300">
        <f t="shared" si="48"/>
        <v>66</v>
      </c>
      <c r="O125" s="294"/>
      <c r="P125" s="317"/>
      <c r="Q125" s="340"/>
      <c r="R125" s="332">
        <f>S142/A142*10000</f>
        <v>14.236624432424785</v>
      </c>
      <c r="S125" s="339">
        <f>T142/A142*10000</f>
        <v>14.23662443242479</v>
      </c>
      <c r="T125" s="336"/>
      <c r="V125" s="811"/>
      <c r="W125" s="816">
        <f>J131*$S$68</f>
        <v>108.87709999999998</v>
      </c>
      <c r="X125" s="817"/>
      <c r="Y125" s="818"/>
      <c r="Z125" s="819">
        <f>N131*S128</f>
        <v>68.995999999999981</v>
      </c>
      <c r="AA125" s="817"/>
      <c r="AB125" s="818"/>
      <c r="AC125" s="819">
        <f>W125-Z125</f>
        <v>39.881100000000004</v>
      </c>
      <c r="AD125" s="817"/>
      <c r="AE125" s="817"/>
      <c r="AF125" s="820"/>
      <c r="AG125" s="821"/>
      <c r="AH125" s="822"/>
      <c r="AI125" s="823">
        <f>S125*S128</f>
        <v>14.23662443242479</v>
      </c>
      <c r="AJ125" s="817"/>
      <c r="AK125" s="817"/>
      <c r="AL125" s="819">
        <f>AC125-AI125</f>
        <v>25.644475567575213</v>
      </c>
      <c r="AM125" s="817"/>
      <c r="AN125" s="824"/>
    </row>
    <row r="126" spans="1:40" ht="58.5" hidden="1" customHeight="1" outlineLevel="1" thickBot="1" x14ac:dyDescent="0.3">
      <c r="A126" s="291"/>
      <c r="B126" s="291"/>
      <c r="C126" s="291"/>
      <c r="D126" s="301" t="s">
        <v>131</v>
      </c>
      <c r="E126" s="309">
        <f>'Working Paper 3'!$C$10</f>
        <v>0.25452682626864803</v>
      </c>
      <c r="F126" s="295">
        <f t="shared" si="46"/>
        <v>0.25480000000000003</v>
      </c>
      <c r="G126" s="294"/>
      <c r="H126" s="317"/>
      <c r="I126" s="298">
        <f>'Working Paper 3'!$E$10</f>
        <v>148.69146331982427</v>
      </c>
      <c r="J126" s="299">
        <f t="shared" si="47"/>
        <v>159</v>
      </c>
      <c r="K126" s="294"/>
      <c r="L126" s="317"/>
      <c r="M126" s="298">
        <f>'Working Paper 3'!$G$10</f>
        <v>100.86833162399658</v>
      </c>
      <c r="N126" s="300">
        <f t="shared" si="48"/>
        <v>70</v>
      </c>
      <c r="O126" s="294"/>
      <c r="P126" s="317"/>
      <c r="Q126" s="340"/>
      <c r="T126" s="336"/>
      <c r="V126" s="424" t="s">
        <v>124</v>
      </c>
      <c r="W126" s="787">
        <f t="shared" ref="W126:W127" si="49">W122-W124</f>
        <v>1022117.961062992</v>
      </c>
      <c r="X126" s="788"/>
      <c r="Y126" s="789"/>
      <c r="Z126" s="790">
        <f t="shared" ref="Z126:Z127" si="50">Z122-Z124</f>
        <v>396079.15397717291</v>
      </c>
      <c r="AA126" s="791"/>
      <c r="AB126" s="792"/>
      <c r="AC126" s="793">
        <f t="shared" ref="AC126:AC127" si="51">AC122-AC124</f>
        <v>626038.80708581908</v>
      </c>
      <c r="AD126" s="788"/>
      <c r="AE126" s="788"/>
      <c r="AF126" s="794"/>
      <c r="AG126" s="788"/>
      <c r="AH126" s="789"/>
      <c r="AI126" s="795">
        <f t="shared" ref="AI126:AI127" si="52">AI122-AI124</f>
        <v>0</v>
      </c>
      <c r="AJ126" s="788"/>
      <c r="AK126" s="789"/>
      <c r="AL126" s="796">
        <f t="shared" ref="AL126:AL127" si="53">AL122-AL124</f>
        <v>626038.80708581908</v>
      </c>
      <c r="AM126" s="788"/>
      <c r="AN126" s="797"/>
    </row>
    <row r="127" spans="1:40" ht="58.5" hidden="1" customHeight="1" outlineLevel="1" thickBot="1" x14ac:dyDescent="0.3">
      <c r="A127" s="291"/>
      <c r="B127" s="291"/>
      <c r="C127" s="291"/>
      <c r="D127" s="301" t="s">
        <v>7</v>
      </c>
      <c r="E127" s="309">
        <f>'Working Paper 3'!$C$11</f>
        <v>6.0059880831170691E-2</v>
      </c>
      <c r="F127" s="295">
        <f t="shared" si="46"/>
        <v>5.9200000000000003E-2</v>
      </c>
      <c r="G127" s="294"/>
      <c r="H127" s="317"/>
      <c r="I127" s="298">
        <f>'Working Paper 3'!$E$11</f>
        <v>142.98844600659757</v>
      </c>
      <c r="J127" s="299">
        <f t="shared" si="47"/>
        <v>65</v>
      </c>
      <c r="K127" s="294"/>
      <c r="L127" s="317"/>
      <c r="M127" s="298">
        <f>'Working Paper 3'!$G$11</f>
        <v>54.90928046317822</v>
      </c>
      <c r="N127" s="300">
        <f t="shared" si="48"/>
        <v>55</v>
      </c>
      <c r="O127" s="294"/>
      <c r="P127" s="317"/>
      <c r="Q127" s="340"/>
      <c r="R127" s="887" t="s">
        <v>123</v>
      </c>
      <c r="S127" s="888"/>
      <c r="T127" s="889"/>
      <c r="V127" s="425" t="s">
        <v>126</v>
      </c>
      <c r="W127" s="798">
        <f t="shared" si="49"/>
        <v>36.220272895537676</v>
      </c>
      <c r="X127" s="799"/>
      <c r="Y127" s="800"/>
      <c r="Z127" s="801">
        <f t="shared" si="50"/>
        <v>8.9501751972858301</v>
      </c>
      <c r="AA127" s="799"/>
      <c r="AB127" s="800"/>
      <c r="AC127" s="801">
        <f t="shared" si="51"/>
        <v>27.270097698251845</v>
      </c>
      <c r="AD127" s="799"/>
      <c r="AE127" s="799"/>
      <c r="AF127" s="802"/>
      <c r="AG127" s="803"/>
      <c r="AH127" s="804"/>
      <c r="AI127" s="805">
        <f t="shared" si="52"/>
        <v>0</v>
      </c>
      <c r="AJ127" s="806"/>
      <c r="AK127" s="807"/>
      <c r="AL127" s="808">
        <f t="shared" si="53"/>
        <v>27.270097698251853</v>
      </c>
      <c r="AM127" s="806"/>
      <c r="AN127" s="809"/>
    </row>
    <row r="128" spans="1:40" ht="58.5" hidden="1" customHeight="1" outlineLevel="1" thickBot="1" x14ac:dyDescent="0.3">
      <c r="A128" s="291"/>
      <c r="B128" s="291"/>
      <c r="C128" s="291"/>
      <c r="D128" s="301" t="s">
        <v>132</v>
      </c>
      <c r="E128" s="309">
        <f>'Working Paper 3'!$C$12</f>
        <v>2.4773150306096305E-2</v>
      </c>
      <c r="F128" s="295">
        <f t="shared" si="46"/>
        <v>2.4899999999999999E-2</v>
      </c>
      <c r="G128" s="294"/>
      <c r="H128" s="317"/>
      <c r="I128" s="298">
        <f>'Working Paper 3'!$E$12</f>
        <v>145.45695079148425</v>
      </c>
      <c r="J128" s="299">
        <f t="shared" si="47"/>
        <v>272</v>
      </c>
      <c r="K128" s="294"/>
      <c r="L128" s="317"/>
      <c r="M128" s="298">
        <f>'Working Paper 3'!$G$12</f>
        <v>292.619148787516</v>
      </c>
      <c r="N128" s="300">
        <f t="shared" si="48"/>
        <v>260</v>
      </c>
      <c r="O128" s="294"/>
      <c r="P128" s="317"/>
      <c r="Q128" s="340"/>
      <c r="R128" s="384">
        <v>1</v>
      </c>
      <c r="S128" s="384">
        <f>R131/100</f>
        <v>1</v>
      </c>
      <c r="T128" s="383"/>
    </row>
    <row r="129" spans="1:20" ht="58.5" hidden="1" customHeight="1" outlineLevel="1" thickBot="1" x14ac:dyDescent="0.3">
      <c r="A129" s="291"/>
      <c r="B129" s="291"/>
      <c r="C129" s="291"/>
      <c r="D129" s="301" t="s">
        <v>133</v>
      </c>
      <c r="E129" s="309">
        <f>'Working Paper 3'!$C$13</f>
        <v>2.3298914154830527E-2</v>
      </c>
      <c r="F129" s="295">
        <f t="shared" si="46"/>
        <v>2.4E-2</v>
      </c>
      <c r="G129" s="294"/>
      <c r="H129" s="317"/>
      <c r="I129" s="298">
        <f>'Working Paper 3'!$E$13</f>
        <v>139.5775929132339</v>
      </c>
      <c r="J129" s="299">
        <f t="shared" si="47"/>
        <v>272</v>
      </c>
      <c r="K129" s="294"/>
      <c r="L129" s="317"/>
      <c r="M129" s="298">
        <f>'Working Paper 3'!$G$13</f>
        <v>285.31047780447233</v>
      </c>
      <c r="N129" s="300">
        <f t="shared" si="48"/>
        <v>260</v>
      </c>
      <c r="O129" s="294"/>
      <c r="P129" s="317"/>
      <c r="Q129" s="341"/>
      <c r="R129" s="337"/>
      <c r="S129" s="318"/>
      <c r="T129" s="338"/>
    </row>
    <row r="130" spans="1:20" ht="21.95" hidden="1" customHeight="1" outlineLevel="1" thickBot="1" x14ac:dyDescent="0.3">
      <c r="A130" s="291"/>
      <c r="B130" s="291"/>
      <c r="C130" s="291"/>
      <c r="D130" s="291"/>
      <c r="E130" s="291"/>
      <c r="F130" s="291"/>
      <c r="G130" s="291"/>
      <c r="H130" s="317"/>
      <c r="I130" s="291"/>
      <c r="J130" s="291"/>
      <c r="K130" s="291"/>
      <c r="L130" s="317"/>
      <c r="M130" s="291"/>
      <c r="N130" s="291"/>
      <c r="O130" s="291"/>
      <c r="P130" s="317"/>
      <c r="Q130" s="317"/>
      <c r="R130" s="317"/>
      <c r="S130" s="317"/>
      <c r="T130" s="317"/>
    </row>
    <row r="131" spans="1:20" ht="21.95" hidden="1" customHeight="1" outlineLevel="1" thickBot="1" x14ac:dyDescent="0.3">
      <c r="A131" s="291"/>
      <c r="B131" s="291"/>
      <c r="C131" s="291"/>
      <c r="D131" s="291"/>
      <c r="E131" s="315">
        <f>SUM(E122:E130)</f>
        <v>0.99999999999999978</v>
      </c>
      <c r="F131" s="316">
        <f>SUM(F122:F130)</f>
        <v>1</v>
      </c>
      <c r="G131" s="291"/>
      <c r="H131" s="317"/>
      <c r="I131" s="313">
        <f>J142/A142*10000</f>
        <v>145.09737289553766</v>
      </c>
      <c r="J131" s="314">
        <f>I142</f>
        <v>108.87709999999998</v>
      </c>
      <c r="K131" s="291"/>
      <c r="L131" s="317"/>
      <c r="M131" s="311">
        <f>N142/A142*10000</f>
        <v>77.946175197285811</v>
      </c>
      <c r="N131" s="312">
        <f>M142</f>
        <v>68.995999999999981</v>
      </c>
      <c r="O131" s="291"/>
      <c r="P131" s="317"/>
      <c r="Q131" s="291"/>
      <c r="R131" s="410">
        <v>100</v>
      </c>
      <c r="S131" s="411">
        <f>S128*1</f>
        <v>1</v>
      </c>
      <c r="T131" s="410"/>
    </row>
    <row r="132" spans="1:20" ht="21.95" hidden="1" customHeight="1" outlineLevel="1" thickBot="1" x14ac:dyDescent="0.3">
      <c r="A132" s="291"/>
      <c r="B132" s="291"/>
      <c r="C132" s="291"/>
      <c r="D132" s="291"/>
      <c r="E132" s="291"/>
      <c r="F132" s="291"/>
      <c r="G132" s="291"/>
      <c r="H132" s="317"/>
      <c r="I132" s="291"/>
      <c r="J132" s="291"/>
      <c r="K132" s="291"/>
      <c r="L132" s="317"/>
      <c r="M132" s="291"/>
      <c r="N132" s="291"/>
      <c r="O132" s="291"/>
      <c r="P132" s="317"/>
      <c r="Q132" s="317"/>
      <c r="R132" s="317"/>
      <c r="S132" s="317"/>
      <c r="T132" s="317"/>
    </row>
    <row r="133" spans="1:20" ht="21.95" hidden="1" customHeight="1" outlineLevel="1" thickBot="1" x14ac:dyDescent="0.3">
      <c r="A133" s="305">
        <f>E122*'Working Paper 3'!$D$15</f>
        <v>9076148.8993999995</v>
      </c>
      <c r="B133" s="305"/>
      <c r="C133" s="305"/>
      <c r="D133" s="291" t="s">
        <v>130</v>
      </c>
      <c r="E133" s="292">
        <v>534</v>
      </c>
      <c r="F133" s="305">
        <f>F122*$A$25</f>
        <v>7775805.6171600027</v>
      </c>
      <c r="G133" s="291"/>
      <c r="H133" s="317"/>
      <c r="I133" s="296">
        <v>178</v>
      </c>
      <c r="J133" s="448">
        <f t="shared" ref="J133:J140" si="54">I122*A133/10000</f>
        <v>140625.07096306313</v>
      </c>
      <c r="K133" s="306">
        <f t="shared" ref="K133:K140" si="55">J122*F133/10000</f>
        <v>138409.33998544805</v>
      </c>
      <c r="L133" s="317"/>
      <c r="M133" s="296">
        <v>169</v>
      </c>
      <c r="N133" s="448">
        <f t="shared" ref="N133:N140" si="56">M122*A133/10000</f>
        <v>154038.48510632664</v>
      </c>
      <c r="O133" s="306">
        <f t="shared" ref="O133:O140" si="57">N122*F133/10000</f>
        <v>131411.11493000406</v>
      </c>
      <c r="P133" s="317"/>
      <c r="Q133" s="460" t="s">
        <v>116</v>
      </c>
      <c r="R133" s="359">
        <v>999</v>
      </c>
      <c r="S133" s="461">
        <f>R122*$A$25/10000</f>
        <v>145468.72306260004</v>
      </c>
      <c r="T133" s="362">
        <f>R133*F142/1000000</f>
        <v>145468.72306260007</v>
      </c>
    </row>
    <row r="134" spans="1:20" ht="21.95" hidden="1" customHeight="1" outlineLevel="1" thickBot="1" x14ac:dyDescent="0.3">
      <c r="A134" s="305">
        <f>E123*'Working Paper 3'!$D$15</f>
        <v>57632231.372800022</v>
      </c>
      <c r="B134" s="305"/>
      <c r="C134" s="305"/>
      <c r="D134" s="291" t="s">
        <v>3</v>
      </c>
      <c r="E134" s="292">
        <v>3189</v>
      </c>
      <c r="F134" s="305">
        <f t="shared" ref="F134:F140" si="58">F123*$A$25</f>
        <v>46436412.196860015</v>
      </c>
      <c r="I134" s="297">
        <v>65</v>
      </c>
      <c r="J134" s="448">
        <f t="shared" si="54"/>
        <v>824097.96201185125</v>
      </c>
      <c r="K134" s="306">
        <f t="shared" si="55"/>
        <v>301836.67927959008</v>
      </c>
      <c r="M134" s="297">
        <v>28</v>
      </c>
      <c r="N134" s="448">
        <f t="shared" si="56"/>
        <v>165177.77053064405</v>
      </c>
      <c r="O134" s="306">
        <f t="shared" si="57"/>
        <v>130021.95415120805</v>
      </c>
      <c r="Q134" s="460" t="s">
        <v>118</v>
      </c>
      <c r="R134" s="359">
        <v>289</v>
      </c>
      <c r="S134" s="461">
        <f t="shared" ref="S134:S135" si="59">R123*$A$25/10000</f>
        <v>42082.543508600014</v>
      </c>
      <c r="T134" s="362">
        <f>R134*F142/1000000</f>
        <v>42082.543508600022</v>
      </c>
    </row>
    <row r="135" spans="1:20" ht="21.95" hidden="1" customHeight="1" outlineLevel="1" thickBot="1" x14ac:dyDescent="0.3">
      <c r="A135" s="305">
        <f>E124*'Working Paper 3'!$D$15</f>
        <v>7287813.9641000004</v>
      </c>
      <c r="B135" s="305"/>
      <c r="C135" s="305"/>
      <c r="D135" s="291" t="s">
        <v>4</v>
      </c>
      <c r="E135" s="292">
        <v>401</v>
      </c>
      <c r="F135" s="305">
        <f t="shared" si="58"/>
        <v>5839134.9297400005</v>
      </c>
      <c r="I135" s="297">
        <v>159</v>
      </c>
      <c r="J135" s="448">
        <f t="shared" si="54"/>
        <v>104549.8989406953</v>
      </c>
      <c r="K135" s="306">
        <f t="shared" si="55"/>
        <v>92842.245382866007</v>
      </c>
      <c r="M135" s="297">
        <v>60</v>
      </c>
      <c r="N135" s="448">
        <f t="shared" si="56"/>
        <v>43898.925875452092</v>
      </c>
      <c r="O135" s="306">
        <f t="shared" si="57"/>
        <v>35034.809578440007</v>
      </c>
      <c r="Q135" s="462" t="s">
        <v>119</v>
      </c>
      <c r="R135" s="359">
        <v>469</v>
      </c>
      <c r="S135" s="461">
        <f t="shared" si="59"/>
        <v>68293.124240600024</v>
      </c>
      <c r="T135" s="362">
        <f>R135*F142/1000000</f>
        <v>68293.124240600024</v>
      </c>
    </row>
    <row r="136" spans="1:20" ht="21.95" hidden="1" customHeight="1" outlineLevel="1" x14ac:dyDescent="0.25">
      <c r="A136" s="305">
        <f>E125*'Working Paper 3'!$D$15</f>
        <v>40539508.453100003</v>
      </c>
      <c r="B136" s="305"/>
      <c r="C136" s="305"/>
      <c r="D136" s="291" t="s">
        <v>5</v>
      </c>
      <c r="E136" s="292">
        <v>2247</v>
      </c>
      <c r="F136" s="305">
        <f t="shared" si="58"/>
        <v>32719541.61378001</v>
      </c>
      <c r="I136" s="297">
        <v>65</v>
      </c>
      <c r="J136" s="448">
        <f t="shared" si="54"/>
        <v>580597.69872457779</v>
      </c>
      <c r="K136" s="306">
        <f t="shared" si="55"/>
        <v>212677.02048957007</v>
      </c>
      <c r="M136" s="297">
        <v>66</v>
      </c>
      <c r="N136" s="448">
        <f t="shared" si="56"/>
        <v>267268.66568152525</v>
      </c>
      <c r="O136" s="306">
        <f t="shared" si="57"/>
        <v>215948.97465094805</v>
      </c>
      <c r="Q136" s="449"/>
      <c r="R136" s="449"/>
      <c r="S136" s="449"/>
      <c r="T136" s="451"/>
    </row>
    <row r="137" spans="1:20" ht="21.95" hidden="1" customHeight="1" outlineLevel="1" x14ac:dyDescent="0.25">
      <c r="A137" s="305">
        <f>E126*'Working Paper 3'!$D$15</f>
        <v>45740660.731100008</v>
      </c>
      <c r="B137" s="305"/>
      <c r="C137" s="305"/>
      <c r="D137" s="291" t="s">
        <v>131</v>
      </c>
      <c r="E137" s="292">
        <v>2548</v>
      </c>
      <c r="F137" s="305">
        <f t="shared" si="58"/>
        <v>37102533.169520013</v>
      </c>
      <c r="I137" s="297">
        <v>159</v>
      </c>
      <c r="J137" s="448">
        <f t="shared" si="54"/>
        <v>680124.57773228828</v>
      </c>
      <c r="K137" s="306">
        <f t="shared" si="55"/>
        <v>589930.2773953682</v>
      </c>
      <c r="M137" s="297">
        <v>70</v>
      </c>
      <c r="N137" s="448">
        <f t="shared" si="56"/>
        <v>461378.41353253135</v>
      </c>
      <c r="O137" s="306">
        <f t="shared" si="57"/>
        <v>259717.73218664006</v>
      </c>
      <c r="Q137" s="449"/>
      <c r="R137" s="449"/>
      <c r="S137" s="449"/>
      <c r="T137" s="451"/>
    </row>
    <row r="138" spans="1:20" ht="21.95" hidden="1" customHeight="1" outlineLevel="1" x14ac:dyDescent="0.25">
      <c r="A138" s="305">
        <f>E127*'Working Paper 3'!$D$15</f>
        <v>10793277.364599999</v>
      </c>
      <c r="B138" s="305"/>
      <c r="C138" s="305"/>
      <c r="D138" s="291" t="s">
        <v>7</v>
      </c>
      <c r="E138" s="292">
        <v>592</v>
      </c>
      <c r="F138" s="305">
        <f t="shared" si="58"/>
        <v>8620368.7740800027</v>
      </c>
      <c r="I138" s="297">
        <v>65</v>
      </c>
      <c r="J138" s="448">
        <f t="shared" si="54"/>
        <v>154331.39576823387</v>
      </c>
      <c r="K138" s="306">
        <f t="shared" si="55"/>
        <v>56032.39703152002</v>
      </c>
      <c r="M138" s="297">
        <v>55</v>
      </c>
      <c r="N138" s="448">
        <f t="shared" si="56"/>
        <v>59265.10939296944</v>
      </c>
      <c r="O138" s="306">
        <f t="shared" si="57"/>
        <v>47412.028257440012</v>
      </c>
      <c r="Q138" s="449"/>
      <c r="R138" s="449"/>
      <c r="S138" s="449"/>
      <c r="T138" s="451"/>
    </row>
    <row r="139" spans="1:20" ht="21.95" hidden="1" customHeight="1" outlineLevel="1" x14ac:dyDescent="0.25">
      <c r="A139" s="305">
        <f>E128*'Working Paper 3'!$D$15</f>
        <v>4451948.2681000009</v>
      </c>
      <c r="B139" s="305"/>
      <c r="C139" s="305"/>
      <c r="D139" s="291" t="s">
        <v>132</v>
      </c>
      <c r="E139" s="292">
        <v>249</v>
      </c>
      <c r="F139" s="305">
        <f t="shared" si="58"/>
        <v>3625797.0012600007</v>
      </c>
      <c r="I139" s="297">
        <v>272</v>
      </c>
      <c r="J139" s="448">
        <f t="shared" si="54"/>
        <v>64756.682015925537</v>
      </c>
      <c r="K139" s="306">
        <f t="shared" si="55"/>
        <v>98621.67843427202</v>
      </c>
      <c r="M139" s="297">
        <v>260</v>
      </c>
      <c r="N139" s="448">
        <f t="shared" si="56"/>
        <v>130272.53126574784</v>
      </c>
      <c r="O139" s="306">
        <f t="shared" si="57"/>
        <v>94270.722032760023</v>
      </c>
      <c r="Q139" s="449"/>
      <c r="R139" s="449"/>
      <c r="S139" s="449"/>
      <c r="T139" s="451"/>
    </row>
    <row r="140" spans="1:20" ht="21.95" hidden="1" customHeight="1" outlineLevel="1" x14ac:dyDescent="0.25">
      <c r="A140" s="305">
        <f>E129*'Working Paper 3'!$D$15</f>
        <v>4187015.3468000004</v>
      </c>
      <c r="B140" s="305"/>
      <c r="C140" s="305"/>
      <c r="D140" s="291" t="s">
        <v>133</v>
      </c>
      <c r="E140" s="292">
        <v>240</v>
      </c>
      <c r="F140" s="305">
        <f t="shared" si="58"/>
        <v>3494744.0976000009</v>
      </c>
      <c r="I140" s="297">
        <v>272</v>
      </c>
      <c r="J140" s="448">
        <f t="shared" si="54"/>
        <v>58441.352359711338</v>
      </c>
      <c r="K140" s="306">
        <f t="shared" si="55"/>
        <v>95057.039454720027</v>
      </c>
      <c r="M140" s="297">
        <v>260</v>
      </c>
      <c r="N140" s="448">
        <f t="shared" si="56"/>
        <v>119459.93491701665</v>
      </c>
      <c r="O140" s="306">
        <f t="shared" si="57"/>
        <v>90863.346537600024</v>
      </c>
      <c r="Q140" s="449"/>
      <c r="R140" s="449"/>
      <c r="S140" s="449"/>
      <c r="T140" s="451"/>
    </row>
    <row r="141" spans="1:20" ht="21.95" hidden="1" customHeight="1" outlineLevel="1" x14ac:dyDescent="0.25">
      <c r="E141" s="291"/>
      <c r="I141" s="297"/>
      <c r="Q141" s="449"/>
      <c r="R141" s="449"/>
      <c r="S141" s="449"/>
      <c r="T141" s="449"/>
    </row>
    <row r="142" spans="1:20" ht="21.95" hidden="1" customHeight="1" outlineLevel="1" x14ac:dyDescent="0.25">
      <c r="A142" s="71">
        <f>SUM(A133:A141)</f>
        <v>179708604.40000004</v>
      </c>
      <c r="B142" s="71"/>
      <c r="C142" s="71"/>
      <c r="E142" s="308">
        <f>SUM(E133:E141)</f>
        <v>10000</v>
      </c>
      <c r="F142" s="71">
        <f>SUM(F133:F140)</f>
        <v>145614337.40000007</v>
      </c>
      <c r="I142" s="297">
        <f>K142/F142*10000</f>
        <v>108.87709999999998</v>
      </c>
      <c r="J142" s="149">
        <f>SUM(J133:J141)</f>
        <v>2607524.6385163465</v>
      </c>
      <c r="K142" s="149">
        <f>SUM(K133:K141)</f>
        <v>1585406.6774533545</v>
      </c>
      <c r="M142" s="297">
        <f>O142/F142*10000</f>
        <v>68.995999999999981</v>
      </c>
      <c r="N142" s="149">
        <f>SUM(N133:N141)</f>
        <v>1400759.8363022131</v>
      </c>
      <c r="O142" s="149">
        <f>SUM(O133:O141)</f>
        <v>1004680.6823250402</v>
      </c>
      <c r="P142" s="320"/>
      <c r="Q142" s="454"/>
      <c r="R142" s="454">
        <f>S142/A142*10000</f>
        <v>14.236624432424785</v>
      </c>
      <c r="S142" s="456">
        <f>SUM(S133:S141)</f>
        <v>255844.39081180008</v>
      </c>
      <c r="T142" s="456">
        <f>SUM(T133:T140)</f>
        <v>255844.39081180014</v>
      </c>
    </row>
    <row r="143" spans="1:20" ht="21.95" customHeight="1" collapsed="1" x14ac:dyDescent="0.25">
      <c r="O143" s="149">
        <f>K142-O142</f>
        <v>580725.99512831424</v>
      </c>
    </row>
    <row r="148" spans="1:40" ht="21.95" hidden="1" customHeight="1" outlineLevel="1" x14ac:dyDescent="0.25"/>
    <row r="149" spans="1:40" ht="21.95" hidden="1" customHeight="1" outlineLevel="1" x14ac:dyDescent="0.35">
      <c r="E149" s="465" t="s">
        <v>145</v>
      </c>
      <c r="G149" s="892" t="s">
        <v>146</v>
      </c>
      <c r="H149" s="893"/>
      <c r="I149" s="893"/>
      <c r="J149" s="893"/>
      <c r="K149" s="893"/>
      <c r="L149" s="893"/>
      <c r="M149" s="893"/>
      <c r="N149" s="893"/>
      <c r="O149" s="893"/>
    </row>
    <row r="150" spans="1:40" ht="21.95" hidden="1" customHeight="1" outlineLevel="1" thickBot="1" x14ac:dyDescent="0.3">
      <c r="A150" s="291"/>
      <c r="B150" s="291"/>
      <c r="C150" s="291"/>
      <c r="D150" s="291"/>
      <c r="E150" s="291"/>
      <c r="F150" s="291"/>
      <c r="G150" s="291"/>
      <c r="H150" s="317"/>
      <c r="I150" s="291"/>
      <c r="J150" s="291"/>
      <c r="K150" s="291"/>
      <c r="L150" s="317"/>
      <c r="M150" s="291"/>
      <c r="N150" s="291"/>
      <c r="O150" s="291"/>
      <c r="P150" s="317"/>
      <c r="Q150" s="317"/>
      <c r="R150" s="317"/>
      <c r="S150" s="317"/>
      <c r="T150" s="317"/>
    </row>
    <row r="151" spans="1:40" ht="21.95" hidden="1" customHeight="1" outlineLevel="1" thickBot="1" x14ac:dyDescent="0.3">
      <c r="A151" s="291"/>
      <c r="B151" s="291"/>
      <c r="C151" s="291"/>
      <c r="D151" s="291"/>
      <c r="E151" s="883" t="s">
        <v>104</v>
      </c>
      <c r="F151" s="884"/>
      <c r="G151" s="885"/>
      <c r="H151" s="323"/>
      <c r="I151" s="873" t="s">
        <v>105</v>
      </c>
      <c r="J151" s="874"/>
      <c r="K151" s="875"/>
      <c r="L151" s="323"/>
      <c r="M151" s="876" t="s">
        <v>106</v>
      </c>
      <c r="N151" s="877"/>
      <c r="O151" s="878"/>
      <c r="P151" s="323"/>
      <c r="Q151" s="323"/>
      <c r="R151" s="879" t="s">
        <v>107</v>
      </c>
      <c r="S151" s="880"/>
      <c r="T151" s="881"/>
      <c r="V151" s="321"/>
      <c r="W151" s="845" t="s">
        <v>108</v>
      </c>
      <c r="X151" s="846"/>
      <c r="Y151" s="847"/>
      <c r="Z151" s="851" t="s">
        <v>1</v>
      </c>
      <c r="AA151" s="851"/>
      <c r="AB151" s="852"/>
      <c r="AC151" s="853" t="s">
        <v>140</v>
      </c>
      <c r="AD151" s="851"/>
      <c r="AE151" s="852"/>
      <c r="AF151" s="853" t="s">
        <v>110</v>
      </c>
      <c r="AG151" s="851"/>
      <c r="AH151" s="855"/>
      <c r="AI151" s="857" t="s">
        <v>111</v>
      </c>
      <c r="AJ151" s="857"/>
      <c r="AK151" s="858"/>
      <c r="AL151" s="860" t="s">
        <v>112</v>
      </c>
      <c r="AM151" s="861"/>
      <c r="AN151" s="862"/>
    </row>
    <row r="152" spans="1:40" ht="21.95" hidden="1" customHeight="1" outlineLevel="1" thickBot="1" x14ac:dyDescent="0.3">
      <c r="A152" s="291"/>
      <c r="B152" s="291"/>
      <c r="C152" s="291"/>
      <c r="D152" s="291"/>
      <c r="E152" s="325" t="s">
        <v>113</v>
      </c>
      <c r="F152" s="883" t="s">
        <v>114</v>
      </c>
      <c r="G152" s="890"/>
      <c r="H152" s="322"/>
      <c r="I152" s="302" t="s">
        <v>113</v>
      </c>
      <c r="J152" s="873" t="s">
        <v>115</v>
      </c>
      <c r="K152" s="891"/>
      <c r="L152" s="322"/>
      <c r="M152" s="302" t="s">
        <v>113</v>
      </c>
      <c r="N152" s="876" t="s">
        <v>115</v>
      </c>
      <c r="O152" s="886"/>
      <c r="P152" s="322"/>
      <c r="Q152" s="322"/>
      <c r="R152" s="328" t="s">
        <v>113</v>
      </c>
      <c r="S152" s="871" t="s">
        <v>115</v>
      </c>
      <c r="T152" s="872"/>
      <c r="V152" s="322"/>
      <c r="W152" s="848"/>
      <c r="X152" s="849"/>
      <c r="Y152" s="850"/>
      <c r="Z152" s="849"/>
      <c r="AA152" s="849"/>
      <c r="AB152" s="849"/>
      <c r="AC152" s="854"/>
      <c r="AD152" s="849"/>
      <c r="AE152" s="849"/>
      <c r="AF152" s="854"/>
      <c r="AG152" s="849"/>
      <c r="AH152" s="856"/>
      <c r="AI152" s="859"/>
      <c r="AJ152" s="859"/>
      <c r="AK152" s="859"/>
      <c r="AL152" s="863"/>
      <c r="AM152" s="864"/>
      <c r="AN152" s="864"/>
    </row>
    <row r="153" spans="1:40" ht="60.95" hidden="1" customHeight="1" outlineLevel="1" thickBot="1" x14ac:dyDescent="0.3">
      <c r="A153" s="291"/>
      <c r="B153" s="291"/>
      <c r="C153" s="291"/>
      <c r="D153" s="301" t="s">
        <v>130</v>
      </c>
      <c r="E153" s="309">
        <f>'Working Paper 3'!$C$6</f>
        <v>5.0504809882102659E-2</v>
      </c>
      <c r="F153" s="295">
        <f t="shared" ref="F153:F160" si="60">E164/10000</f>
        <v>0.05</v>
      </c>
      <c r="G153" s="293"/>
      <c r="H153" s="324"/>
      <c r="I153" s="298">
        <f>'Working Paper 3'!$E$6</f>
        <v>154.93914051185246</v>
      </c>
      <c r="J153" s="299">
        <f>I164</f>
        <v>178</v>
      </c>
      <c r="K153" s="294"/>
      <c r="L153" s="317"/>
      <c r="M153" s="298">
        <f>'Working Paper 3'!$G$6</f>
        <v>169.71789116032431</v>
      </c>
      <c r="N153" s="300">
        <f>M164</f>
        <v>170</v>
      </c>
      <c r="O153" s="294"/>
      <c r="P153" s="317"/>
      <c r="Q153" s="329" t="s">
        <v>116</v>
      </c>
      <c r="R153" s="334">
        <v>9.99</v>
      </c>
      <c r="S153" s="352">
        <f>R164/100</f>
        <v>9.99</v>
      </c>
      <c r="T153" s="330"/>
      <c r="V153" s="825" t="s">
        <v>113</v>
      </c>
      <c r="W153" s="827">
        <f>'Working Paper 3'!$F$15</f>
        <v>2607524.6385163465</v>
      </c>
      <c r="X153" s="828"/>
      <c r="Y153" s="829"/>
      <c r="Z153" s="830">
        <f>'Working Paper 3'!$H$15</f>
        <v>1400759.8363022131</v>
      </c>
      <c r="AA153" s="828"/>
      <c r="AB153" s="829"/>
      <c r="AC153" s="830">
        <f>'Working Paper 3'!$J$15</f>
        <v>1206764.8022141333</v>
      </c>
      <c r="AD153" s="828"/>
      <c r="AE153" s="829"/>
      <c r="AF153" s="831">
        <f>'Working Paper 3'!$J$15/'Working Paper 3'!$F$15</f>
        <v>0.46280092022477287</v>
      </c>
      <c r="AG153" s="828"/>
      <c r="AH153" s="832"/>
      <c r="AI153" s="827">
        <f>S173</f>
        <v>255844.39081180008</v>
      </c>
      <c r="AJ153" s="828"/>
      <c r="AK153" s="828"/>
      <c r="AL153" s="833">
        <f>AC153-AI153</f>
        <v>950920.41140233329</v>
      </c>
      <c r="AM153" s="828"/>
      <c r="AN153" s="832"/>
    </row>
    <row r="154" spans="1:40" ht="60.95" hidden="1" customHeight="1" outlineLevel="1" thickBot="1" x14ac:dyDescent="0.3">
      <c r="A154" s="291"/>
      <c r="B154" s="291"/>
      <c r="C154" s="291"/>
      <c r="D154" s="301" t="s">
        <v>3</v>
      </c>
      <c r="E154" s="309">
        <f>'Working Paper 3'!$C$7</f>
        <v>0.3206982301443993</v>
      </c>
      <c r="F154" s="295">
        <f t="shared" si="60"/>
        <v>0.4</v>
      </c>
      <c r="G154" s="294"/>
      <c r="H154" s="317"/>
      <c r="I154" s="298">
        <f>'Working Paper 3'!$E$7</f>
        <v>142.99254815956868</v>
      </c>
      <c r="J154" s="299">
        <f t="shared" ref="J154:J160" si="61">I165</f>
        <v>65</v>
      </c>
      <c r="K154" s="294"/>
      <c r="L154" s="317"/>
      <c r="M154" s="298">
        <f>'Working Paper 3'!$G$7</f>
        <v>28.660658557912612</v>
      </c>
      <c r="N154" s="300">
        <f t="shared" ref="N154:N160" si="62">M165</f>
        <v>28</v>
      </c>
      <c r="O154" s="294"/>
      <c r="P154" s="317"/>
      <c r="Q154" s="329" t="s">
        <v>118</v>
      </c>
      <c r="R154" s="334">
        <v>2.89</v>
      </c>
      <c r="S154" s="352">
        <f>R165/100</f>
        <v>2.89</v>
      </c>
      <c r="T154" s="330"/>
      <c r="V154" s="826"/>
      <c r="W154" s="834">
        <f>I162</f>
        <v>145.09737289553766</v>
      </c>
      <c r="X154" s="835"/>
      <c r="Y154" s="836"/>
      <c r="Z154" s="837">
        <f>M162</f>
        <v>77.946175197285811</v>
      </c>
      <c r="AA154" s="835"/>
      <c r="AB154" s="836"/>
      <c r="AC154" s="837">
        <f>W154-Z154</f>
        <v>67.151197698251849</v>
      </c>
      <c r="AD154" s="838"/>
      <c r="AE154" s="839"/>
      <c r="AF154" s="840"/>
      <c r="AG154" s="841"/>
      <c r="AH154" s="842"/>
      <c r="AI154" s="843">
        <f>R156</f>
        <v>14.236624432424785</v>
      </c>
      <c r="AJ154" s="835"/>
      <c r="AK154" s="836"/>
      <c r="AL154" s="837">
        <f>AC154-AI154</f>
        <v>52.914573265827066</v>
      </c>
      <c r="AM154" s="835"/>
      <c r="AN154" s="844"/>
    </row>
    <row r="155" spans="1:40" ht="60.95" hidden="1" customHeight="1" outlineLevel="1" thickBot="1" x14ac:dyDescent="0.3">
      <c r="A155" s="291"/>
      <c r="B155" s="291"/>
      <c r="C155" s="291"/>
      <c r="D155" s="301" t="s">
        <v>4</v>
      </c>
      <c r="E155" s="309">
        <f>'Working Paper 3'!$C$8</f>
        <v>4.0553505985047866E-2</v>
      </c>
      <c r="F155" s="295">
        <f t="shared" si="60"/>
        <v>0.04</v>
      </c>
      <c r="G155" s="326"/>
      <c r="H155" s="317"/>
      <c r="I155" s="298">
        <f>'Working Paper 3'!$E$8</f>
        <v>143.45851781578313</v>
      </c>
      <c r="J155" s="299">
        <f t="shared" si="61"/>
        <v>159</v>
      </c>
      <c r="K155" s="294"/>
      <c r="L155" s="317"/>
      <c r="M155" s="298">
        <f>'Working Paper 3'!$G$8</f>
        <v>60.236068170372583</v>
      </c>
      <c r="N155" s="300">
        <f t="shared" si="62"/>
        <v>60</v>
      </c>
      <c r="O155" s="294"/>
      <c r="P155" s="317"/>
      <c r="Q155" s="331" t="s">
        <v>119</v>
      </c>
      <c r="R155" s="334">
        <v>4.6900000000000004</v>
      </c>
      <c r="S155" s="352">
        <f>R166/100</f>
        <v>4.6900000000000004</v>
      </c>
      <c r="T155" s="330"/>
      <c r="V155" s="810" t="s">
        <v>141</v>
      </c>
      <c r="W155" s="812">
        <f>K173*S159</f>
        <v>1127520.9373556802</v>
      </c>
      <c r="X155" s="788"/>
      <c r="Y155" s="789"/>
      <c r="Z155" s="813">
        <f>O173*S159</f>
        <v>737973.46194320021</v>
      </c>
      <c r="AA155" s="788"/>
      <c r="AB155" s="789"/>
      <c r="AC155" s="813">
        <f>W155-Z155</f>
        <v>389547.47541247995</v>
      </c>
      <c r="AD155" s="788"/>
      <c r="AE155" s="789"/>
      <c r="AF155" s="814">
        <f>AC155/K173</f>
        <v>0.27639218927575154</v>
      </c>
      <c r="AG155" s="788"/>
      <c r="AH155" s="797"/>
      <c r="AI155" s="812">
        <f>S173*S159</f>
        <v>204675.51264944009</v>
      </c>
      <c r="AJ155" s="788"/>
      <c r="AK155" s="788"/>
      <c r="AL155" s="815">
        <f>AC155-AI155</f>
        <v>184871.96276303986</v>
      </c>
      <c r="AM155" s="788"/>
      <c r="AN155" s="797"/>
    </row>
    <row r="156" spans="1:40" ht="60.95" hidden="1" customHeight="1" outlineLevel="1" thickBot="1" x14ac:dyDescent="0.3">
      <c r="A156" s="291"/>
      <c r="B156" s="291"/>
      <c r="C156" s="291"/>
      <c r="D156" s="301" t="s">
        <v>5</v>
      </c>
      <c r="E156" s="309">
        <f>'Working Paper 3'!$C$9</f>
        <v>0.22558468242770457</v>
      </c>
      <c r="F156" s="295">
        <f t="shared" si="60"/>
        <v>0.25</v>
      </c>
      <c r="G156" s="294"/>
      <c r="H156" s="317"/>
      <c r="I156" s="298">
        <f>'Working Paper 3'!$E$9</f>
        <v>143.21774507854948</v>
      </c>
      <c r="J156" s="299">
        <f t="shared" si="61"/>
        <v>65</v>
      </c>
      <c r="K156" s="294"/>
      <c r="L156" s="317"/>
      <c r="M156" s="298">
        <f>'Working Paper 3'!$G$9</f>
        <v>65.927949272184037</v>
      </c>
      <c r="N156" s="300">
        <f t="shared" si="62"/>
        <v>66</v>
      </c>
      <c r="O156" s="294"/>
      <c r="P156" s="317"/>
      <c r="Q156" s="340"/>
      <c r="R156" s="332">
        <f>S173/A173*10000</f>
        <v>14.236624432424785</v>
      </c>
      <c r="S156" s="339">
        <f>T173/A173*10000</f>
        <v>14.236624432424783</v>
      </c>
      <c r="T156" s="336"/>
      <c r="V156" s="811"/>
      <c r="W156" s="816">
        <f>J162*$S$68</f>
        <v>96.79</v>
      </c>
      <c r="X156" s="817"/>
      <c r="Y156" s="818"/>
      <c r="Z156" s="819">
        <f>N162*S159</f>
        <v>50.68</v>
      </c>
      <c r="AA156" s="817"/>
      <c r="AB156" s="818"/>
      <c r="AC156" s="819">
        <f>W156-Z156</f>
        <v>46.110000000000007</v>
      </c>
      <c r="AD156" s="817"/>
      <c r="AE156" s="817"/>
      <c r="AF156" s="820"/>
      <c r="AG156" s="821"/>
      <c r="AH156" s="822"/>
      <c r="AI156" s="823">
        <f>S156*S159</f>
        <v>11.389299545939828</v>
      </c>
      <c r="AJ156" s="817"/>
      <c r="AK156" s="817"/>
      <c r="AL156" s="819">
        <f>AC156-AI156</f>
        <v>34.720700454060179</v>
      </c>
      <c r="AM156" s="817"/>
      <c r="AN156" s="824"/>
    </row>
    <row r="157" spans="1:40" ht="60.95" hidden="1" customHeight="1" outlineLevel="1" thickBot="1" x14ac:dyDescent="0.3">
      <c r="A157" s="291"/>
      <c r="B157" s="291"/>
      <c r="C157" s="291"/>
      <c r="D157" s="301" t="s">
        <v>131</v>
      </c>
      <c r="E157" s="309">
        <f>'Working Paper 3'!$C$10</f>
        <v>0.25452682626864803</v>
      </c>
      <c r="F157" s="295">
        <f t="shared" si="60"/>
        <v>0.15</v>
      </c>
      <c r="G157" s="294"/>
      <c r="H157" s="317"/>
      <c r="I157" s="298">
        <f>'Working Paper 3'!$E$10</f>
        <v>148.69146331982427</v>
      </c>
      <c r="J157" s="299">
        <f t="shared" si="61"/>
        <v>159</v>
      </c>
      <c r="K157" s="294"/>
      <c r="L157" s="317"/>
      <c r="M157" s="298">
        <f>'Working Paper 3'!$G$10</f>
        <v>100.86833162399658</v>
      </c>
      <c r="N157" s="300">
        <f t="shared" si="62"/>
        <v>70</v>
      </c>
      <c r="O157" s="294"/>
      <c r="P157" s="317"/>
      <c r="Q157" s="340"/>
      <c r="T157" s="336"/>
      <c r="V157" s="424" t="s">
        <v>124</v>
      </c>
      <c r="W157" s="787">
        <f t="shared" ref="W157:W158" si="63">W153-W155</f>
        <v>1480003.7011606663</v>
      </c>
      <c r="X157" s="788"/>
      <c r="Y157" s="789"/>
      <c r="Z157" s="790">
        <f t="shared" ref="Z157:Z158" si="64">Z153-Z155</f>
        <v>662786.37435901293</v>
      </c>
      <c r="AA157" s="791"/>
      <c r="AB157" s="792"/>
      <c r="AC157" s="793">
        <f t="shared" ref="AC157:AC158" si="65">AC153-AC155</f>
        <v>817217.32680165337</v>
      </c>
      <c r="AD157" s="788"/>
      <c r="AE157" s="788"/>
      <c r="AF157" s="794"/>
      <c r="AG157" s="788"/>
      <c r="AH157" s="789"/>
      <c r="AI157" s="795">
        <f t="shared" ref="AI157:AI158" si="66">AI153-AI155</f>
        <v>51168.878162359993</v>
      </c>
      <c r="AJ157" s="788"/>
      <c r="AK157" s="789"/>
      <c r="AL157" s="796">
        <f t="shared" ref="AL157:AL158" si="67">AL153-AL155</f>
        <v>766048.44863929343</v>
      </c>
      <c r="AM157" s="788"/>
      <c r="AN157" s="797"/>
    </row>
    <row r="158" spans="1:40" ht="60.95" hidden="1" customHeight="1" outlineLevel="1" thickBot="1" x14ac:dyDescent="0.3">
      <c r="A158" s="291"/>
      <c r="B158" s="291"/>
      <c r="C158" s="291"/>
      <c r="D158" s="301" t="s">
        <v>7</v>
      </c>
      <c r="E158" s="309">
        <f>'Working Paper 3'!$C$11</f>
        <v>6.0059880831170691E-2</v>
      </c>
      <c r="F158" s="295">
        <f t="shared" si="60"/>
        <v>7.0000000000000007E-2</v>
      </c>
      <c r="G158" s="294"/>
      <c r="H158" s="317"/>
      <c r="I158" s="298">
        <f>'Working Paper 3'!$E$11</f>
        <v>142.98844600659757</v>
      </c>
      <c r="J158" s="299">
        <f t="shared" si="61"/>
        <v>65</v>
      </c>
      <c r="K158" s="294"/>
      <c r="L158" s="317"/>
      <c r="M158" s="298">
        <f>'Working Paper 3'!$G$11</f>
        <v>54.90928046317822</v>
      </c>
      <c r="N158" s="300">
        <f t="shared" si="62"/>
        <v>55</v>
      </c>
      <c r="O158" s="294"/>
      <c r="P158" s="317"/>
      <c r="Q158" s="340"/>
      <c r="R158" s="887" t="s">
        <v>123</v>
      </c>
      <c r="S158" s="888"/>
      <c r="T158" s="889"/>
      <c r="V158" s="425" t="s">
        <v>126</v>
      </c>
      <c r="W158" s="798">
        <f t="shared" si="63"/>
        <v>48.307372895537654</v>
      </c>
      <c r="X158" s="799"/>
      <c r="Y158" s="800"/>
      <c r="Z158" s="801">
        <f t="shared" si="64"/>
        <v>27.266175197285811</v>
      </c>
      <c r="AA158" s="799"/>
      <c r="AB158" s="800"/>
      <c r="AC158" s="801">
        <f t="shared" si="65"/>
        <v>21.041197698251842</v>
      </c>
      <c r="AD158" s="799"/>
      <c r="AE158" s="799"/>
      <c r="AF158" s="802"/>
      <c r="AG158" s="803"/>
      <c r="AH158" s="804"/>
      <c r="AI158" s="805">
        <f t="shared" si="66"/>
        <v>2.847324886484957</v>
      </c>
      <c r="AJ158" s="806"/>
      <c r="AK158" s="807"/>
      <c r="AL158" s="808">
        <f t="shared" si="67"/>
        <v>18.193872811766887</v>
      </c>
      <c r="AM158" s="806"/>
      <c r="AN158" s="809"/>
    </row>
    <row r="159" spans="1:40" ht="60.95" hidden="1" customHeight="1" outlineLevel="1" thickBot="1" x14ac:dyDescent="0.3">
      <c r="A159" s="291"/>
      <c r="B159" s="291"/>
      <c r="C159" s="291"/>
      <c r="D159" s="301" t="s">
        <v>132</v>
      </c>
      <c r="E159" s="309">
        <f>'Working Paper 3'!$C$12</f>
        <v>2.4773150306096305E-2</v>
      </c>
      <c r="F159" s="295">
        <f t="shared" si="60"/>
        <v>0.02</v>
      </c>
      <c r="G159" s="294"/>
      <c r="H159" s="317"/>
      <c r="I159" s="298">
        <f>'Working Paper 3'!$E$12</f>
        <v>145.45695079148425</v>
      </c>
      <c r="J159" s="299">
        <f t="shared" si="61"/>
        <v>272</v>
      </c>
      <c r="K159" s="294"/>
      <c r="L159" s="317"/>
      <c r="M159" s="298">
        <f>'Working Paper 3'!$G$12</f>
        <v>292.619148787516</v>
      </c>
      <c r="N159" s="300">
        <f t="shared" si="62"/>
        <v>260</v>
      </c>
      <c r="O159" s="294"/>
      <c r="P159" s="317"/>
      <c r="Q159" s="340"/>
      <c r="R159" s="384">
        <v>1</v>
      </c>
      <c r="S159" s="384">
        <f>R162/100</f>
        <v>0.8</v>
      </c>
      <c r="T159" s="383"/>
    </row>
    <row r="160" spans="1:40" ht="60.95" hidden="1" customHeight="1" outlineLevel="1" thickBot="1" x14ac:dyDescent="0.3">
      <c r="A160" s="291"/>
      <c r="B160" s="291"/>
      <c r="C160" s="291"/>
      <c r="D160" s="301" t="s">
        <v>133</v>
      </c>
      <c r="E160" s="309">
        <f>'Working Paper 3'!$C$13</f>
        <v>2.3298914154830527E-2</v>
      </c>
      <c r="F160" s="295">
        <f t="shared" si="60"/>
        <v>0.02</v>
      </c>
      <c r="G160" s="294"/>
      <c r="H160" s="317"/>
      <c r="I160" s="298">
        <f>'Working Paper 3'!$E$13</f>
        <v>139.5775929132339</v>
      </c>
      <c r="J160" s="299">
        <f t="shared" si="61"/>
        <v>272</v>
      </c>
      <c r="K160" s="294"/>
      <c r="L160" s="317"/>
      <c r="M160" s="298">
        <f>'Working Paper 3'!$G$13</f>
        <v>285.31047780447233</v>
      </c>
      <c r="N160" s="300">
        <f t="shared" si="62"/>
        <v>260</v>
      </c>
      <c r="O160" s="294"/>
      <c r="P160" s="317"/>
      <c r="Q160" s="341"/>
      <c r="R160" s="337"/>
      <c r="S160" s="318"/>
      <c r="T160" s="338"/>
    </row>
    <row r="161" spans="1:20" ht="21.95" hidden="1" customHeight="1" outlineLevel="1" thickBot="1" x14ac:dyDescent="0.3">
      <c r="A161" s="291"/>
      <c r="B161" s="291"/>
      <c r="C161" s="291"/>
      <c r="D161" s="291"/>
      <c r="E161" s="291"/>
      <c r="F161" s="291"/>
      <c r="G161" s="291"/>
      <c r="H161" s="317"/>
      <c r="I161" s="291"/>
      <c r="J161" s="291"/>
      <c r="K161" s="291"/>
      <c r="L161" s="317"/>
      <c r="M161" s="291"/>
      <c r="N161" s="291"/>
      <c r="O161" s="291"/>
      <c r="P161" s="317"/>
      <c r="Q161" s="317"/>
      <c r="R161" s="317"/>
      <c r="S161" s="317"/>
      <c r="T161" s="317"/>
    </row>
    <row r="162" spans="1:20" ht="21.95" hidden="1" customHeight="1" outlineLevel="1" thickBot="1" x14ac:dyDescent="0.3">
      <c r="A162" s="291"/>
      <c r="B162" s="291"/>
      <c r="C162" s="291"/>
      <c r="D162" s="291"/>
      <c r="E162" s="315">
        <f>SUM(E153:E161)</f>
        <v>0.99999999999999978</v>
      </c>
      <c r="F162" s="316">
        <f>SUM(F153:F161)</f>
        <v>1</v>
      </c>
      <c r="G162" s="291"/>
      <c r="H162" s="317"/>
      <c r="I162" s="313">
        <f>J173/A173*10000</f>
        <v>145.09737289553766</v>
      </c>
      <c r="J162" s="314">
        <f>I173</f>
        <v>96.79</v>
      </c>
      <c r="K162" s="291"/>
      <c r="L162" s="317"/>
      <c r="M162" s="311">
        <f>N173/A173*10000</f>
        <v>77.946175197285811</v>
      </c>
      <c r="N162" s="312">
        <f>M173</f>
        <v>63.349999999999994</v>
      </c>
      <c r="O162" s="291"/>
      <c r="P162" s="317"/>
      <c r="Q162" s="291"/>
      <c r="R162" s="410">
        <v>80</v>
      </c>
      <c r="S162" s="411">
        <f>S159*1</f>
        <v>0.8</v>
      </c>
      <c r="T162" s="410"/>
    </row>
    <row r="163" spans="1:20" ht="21.95" hidden="1" customHeight="1" outlineLevel="1" thickBot="1" x14ac:dyDescent="0.3">
      <c r="A163" s="291"/>
      <c r="B163" s="291"/>
      <c r="C163" s="291"/>
      <c r="D163" s="291"/>
      <c r="E163" s="291"/>
      <c r="F163" s="291"/>
      <c r="G163" s="291"/>
      <c r="H163" s="317"/>
      <c r="I163" s="291"/>
      <c r="J163" s="291"/>
      <c r="K163" s="291"/>
      <c r="L163" s="317"/>
      <c r="M163" s="291"/>
      <c r="N163" s="291"/>
      <c r="O163" s="291"/>
      <c r="P163" s="317"/>
      <c r="Q163" s="317"/>
      <c r="R163" s="317"/>
      <c r="S163" s="317"/>
      <c r="T163" s="317"/>
    </row>
    <row r="164" spans="1:20" ht="21.95" hidden="1" customHeight="1" outlineLevel="1" thickBot="1" x14ac:dyDescent="0.3">
      <c r="A164" s="305">
        <f>E153*'Working Paper 3'!$D$15</f>
        <v>9076148.8993999995</v>
      </c>
      <c r="B164" s="305"/>
      <c r="C164" s="305"/>
      <c r="D164" s="291" t="s">
        <v>130</v>
      </c>
      <c r="E164" s="292">
        <v>500</v>
      </c>
      <c r="F164" s="305">
        <f>F153*$A$25</f>
        <v>7280716.870000002</v>
      </c>
      <c r="G164" s="291"/>
      <c r="H164" s="317"/>
      <c r="I164" s="296">
        <v>178</v>
      </c>
      <c r="J164" s="448">
        <f t="shared" ref="J164:J171" si="68">I153*A164/10000</f>
        <v>140625.07096306313</v>
      </c>
      <c r="K164" s="306">
        <f t="shared" ref="K164:K171" si="69">J153*F164/10000</f>
        <v>129596.76028600003</v>
      </c>
      <c r="L164" s="317"/>
      <c r="M164" s="296">
        <v>170</v>
      </c>
      <c r="N164" s="448">
        <f t="shared" ref="N164:N171" si="70">M153*A164/10000</f>
        <v>154038.48510632664</v>
      </c>
      <c r="O164" s="306">
        <f t="shared" ref="O164:O171" si="71">N153*F164/10000</f>
        <v>123772.18679000004</v>
      </c>
      <c r="P164" s="317"/>
      <c r="Q164" s="460" t="s">
        <v>116</v>
      </c>
      <c r="R164" s="359">
        <v>999</v>
      </c>
      <c r="S164" s="461">
        <f>R153*$A$25/10000</f>
        <v>145468.72306260004</v>
      </c>
      <c r="T164" s="362">
        <f>R164*F173/1000000</f>
        <v>145468.72306260004</v>
      </c>
    </row>
    <row r="165" spans="1:20" ht="21.95" hidden="1" customHeight="1" outlineLevel="1" thickBot="1" x14ac:dyDescent="0.3">
      <c r="A165" s="305">
        <f>E154*'Working Paper 3'!$D$15</f>
        <v>57632231.372800022</v>
      </c>
      <c r="B165" s="305"/>
      <c r="C165" s="305"/>
      <c r="D165" s="291" t="s">
        <v>3</v>
      </c>
      <c r="E165" s="292">
        <v>4000</v>
      </c>
      <c r="F165" s="305">
        <f t="shared" ref="F165:F171" si="72">F154*$A$25</f>
        <v>58245734.960000016</v>
      </c>
      <c r="I165" s="297">
        <v>65</v>
      </c>
      <c r="J165" s="448">
        <f t="shared" si="68"/>
        <v>824097.96201185125</v>
      </c>
      <c r="K165" s="306">
        <f t="shared" si="69"/>
        <v>378597.27724000008</v>
      </c>
      <c r="M165" s="297">
        <v>28</v>
      </c>
      <c r="N165" s="448">
        <f t="shared" si="70"/>
        <v>165177.77053064405</v>
      </c>
      <c r="O165" s="306">
        <f t="shared" si="71"/>
        <v>163088.05788800004</v>
      </c>
      <c r="Q165" s="460" t="s">
        <v>118</v>
      </c>
      <c r="R165" s="359">
        <v>289</v>
      </c>
      <c r="S165" s="461">
        <f t="shared" ref="S165:S166" si="73">R154*$A$25/10000</f>
        <v>42082.543508600014</v>
      </c>
      <c r="T165" s="362">
        <f>R165*F173/1000000</f>
        <v>42082.543508600014</v>
      </c>
    </row>
    <row r="166" spans="1:20" ht="21.95" hidden="1" customHeight="1" outlineLevel="1" thickBot="1" x14ac:dyDescent="0.3">
      <c r="A166" s="305">
        <f>E155*'Working Paper 3'!$D$15</f>
        <v>7287813.9641000004</v>
      </c>
      <c r="B166" s="305"/>
      <c r="C166" s="305"/>
      <c r="D166" s="291" t="s">
        <v>4</v>
      </c>
      <c r="E166" s="292">
        <v>400</v>
      </c>
      <c r="F166" s="305">
        <f t="shared" si="72"/>
        <v>5824573.4960000012</v>
      </c>
      <c r="I166" s="297">
        <v>159</v>
      </c>
      <c r="J166" s="448">
        <f t="shared" si="68"/>
        <v>104549.8989406953</v>
      </c>
      <c r="K166" s="306">
        <f t="shared" si="69"/>
        <v>92610.71858640002</v>
      </c>
      <c r="M166" s="297">
        <v>60</v>
      </c>
      <c r="N166" s="448">
        <f t="shared" si="70"/>
        <v>43898.925875452092</v>
      </c>
      <c r="O166" s="306">
        <f t="shared" si="71"/>
        <v>34947.440976000005</v>
      </c>
      <c r="Q166" s="462" t="s">
        <v>119</v>
      </c>
      <c r="R166" s="359">
        <v>469</v>
      </c>
      <c r="S166" s="461">
        <f t="shared" si="73"/>
        <v>68293.124240600024</v>
      </c>
      <c r="T166" s="362">
        <f>R166*F173/1000000</f>
        <v>68293.124240600009</v>
      </c>
    </row>
    <row r="167" spans="1:20" ht="21.95" hidden="1" customHeight="1" outlineLevel="1" x14ac:dyDescent="0.25">
      <c r="A167" s="305">
        <f>E156*'Working Paper 3'!$D$15</f>
        <v>40539508.453100003</v>
      </c>
      <c r="B167" s="305"/>
      <c r="C167" s="305"/>
      <c r="D167" s="291" t="s">
        <v>5</v>
      </c>
      <c r="E167" s="292">
        <v>2500</v>
      </c>
      <c r="F167" s="305">
        <f t="shared" si="72"/>
        <v>36403584.350000009</v>
      </c>
      <c r="I167" s="297">
        <v>65</v>
      </c>
      <c r="J167" s="448">
        <f t="shared" si="68"/>
        <v>580597.69872457779</v>
      </c>
      <c r="K167" s="306">
        <f t="shared" si="69"/>
        <v>236623.29827500004</v>
      </c>
      <c r="M167" s="297">
        <v>66</v>
      </c>
      <c r="N167" s="448">
        <f t="shared" si="70"/>
        <v>267268.66568152525</v>
      </c>
      <c r="O167" s="306">
        <f t="shared" si="71"/>
        <v>240263.65671000004</v>
      </c>
      <c r="Q167" s="449"/>
      <c r="R167" s="449"/>
      <c r="S167" s="449"/>
      <c r="T167" s="451"/>
    </row>
    <row r="168" spans="1:20" ht="21.95" hidden="1" customHeight="1" outlineLevel="1" x14ac:dyDescent="0.25">
      <c r="A168" s="305">
        <f>E157*'Working Paper 3'!$D$15</f>
        <v>45740660.731100008</v>
      </c>
      <c r="B168" s="305"/>
      <c r="C168" s="305"/>
      <c r="D168" s="291" t="s">
        <v>131</v>
      </c>
      <c r="E168" s="292">
        <v>1500</v>
      </c>
      <c r="F168" s="305">
        <f t="shared" si="72"/>
        <v>21842150.610000003</v>
      </c>
      <c r="I168" s="297">
        <v>159</v>
      </c>
      <c r="J168" s="448">
        <f t="shared" si="68"/>
        <v>680124.57773228828</v>
      </c>
      <c r="K168" s="306">
        <f t="shared" si="69"/>
        <v>347290.1946990001</v>
      </c>
      <c r="M168" s="297">
        <v>70</v>
      </c>
      <c r="N168" s="448">
        <f t="shared" si="70"/>
        <v>461378.41353253135</v>
      </c>
      <c r="O168" s="306">
        <f t="shared" si="71"/>
        <v>152895.05427000002</v>
      </c>
      <c r="Q168" s="449"/>
      <c r="R168" s="449"/>
      <c r="S168" s="449"/>
      <c r="T168" s="451"/>
    </row>
    <row r="169" spans="1:20" ht="21.95" hidden="1" customHeight="1" outlineLevel="1" x14ac:dyDescent="0.25">
      <c r="A169" s="305">
        <f>E158*'Working Paper 3'!$D$15</f>
        <v>10793277.364599999</v>
      </c>
      <c r="B169" s="305"/>
      <c r="C169" s="305"/>
      <c r="D169" s="291" t="s">
        <v>7</v>
      </c>
      <c r="E169" s="292">
        <v>700</v>
      </c>
      <c r="F169" s="305">
        <f t="shared" si="72"/>
        <v>10193003.618000003</v>
      </c>
      <c r="I169" s="297">
        <v>65</v>
      </c>
      <c r="J169" s="448">
        <f t="shared" si="68"/>
        <v>154331.39576823387</v>
      </c>
      <c r="K169" s="306">
        <f t="shared" si="69"/>
        <v>66254.523517000023</v>
      </c>
      <c r="M169" s="297">
        <v>55</v>
      </c>
      <c r="N169" s="448">
        <f t="shared" si="70"/>
        <v>59265.10939296944</v>
      </c>
      <c r="O169" s="306">
        <f t="shared" si="71"/>
        <v>56061.519899000014</v>
      </c>
      <c r="Q169" s="449"/>
      <c r="R169" s="449"/>
      <c r="S169" s="449"/>
      <c r="T169" s="451"/>
    </row>
    <row r="170" spans="1:20" ht="21.95" hidden="1" customHeight="1" outlineLevel="1" x14ac:dyDescent="0.25">
      <c r="A170" s="305">
        <f>E159*'Working Paper 3'!$D$15</f>
        <v>4451948.2681000009</v>
      </c>
      <c r="B170" s="305"/>
      <c r="C170" s="305"/>
      <c r="D170" s="291" t="s">
        <v>132</v>
      </c>
      <c r="E170" s="292">
        <v>200</v>
      </c>
      <c r="F170" s="305">
        <f t="shared" si="72"/>
        <v>2912286.7480000006</v>
      </c>
      <c r="I170" s="297">
        <v>272</v>
      </c>
      <c r="J170" s="448">
        <f t="shared" si="68"/>
        <v>64756.682015925537</v>
      </c>
      <c r="K170" s="306">
        <f t="shared" si="69"/>
        <v>79214.199545600015</v>
      </c>
      <c r="M170" s="297">
        <v>260</v>
      </c>
      <c r="N170" s="448">
        <f t="shared" si="70"/>
        <v>130272.53126574784</v>
      </c>
      <c r="O170" s="306">
        <f t="shared" si="71"/>
        <v>75719.455448000008</v>
      </c>
      <c r="Q170" s="449"/>
      <c r="R170" s="449"/>
      <c r="S170" s="449"/>
      <c r="T170" s="451"/>
    </row>
    <row r="171" spans="1:20" ht="21.95" hidden="1" customHeight="1" outlineLevel="1" x14ac:dyDescent="0.25">
      <c r="A171" s="305">
        <f>E160*'Working Paper 3'!$D$15</f>
        <v>4187015.3468000004</v>
      </c>
      <c r="B171" s="305"/>
      <c r="C171" s="305"/>
      <c r="D171" s="291" t="s">
        <v>133</v>
      </c>
      <c r="E171" s="292">
        <v>200</v>
      </c>
      <c r="F171" s="305">
        <f t="shared" si="72"/>
        <v>2912286.7480000006</v>
      </c>
      <c r="I171" s="297">
        <v>272</v>
      </c>
      <c r="J171" s="448">
        <f t="shared" si="68"/>
        <v>58441.352359711338</v>
      </c>
      <c r="K171" s="306">
        <f t="shared" si="69"/>
        <v>79214.199545600015</v>
      </c>
      <c r="M171" s="297">
        <v>260</v>
      </c>
      <c r="N171" s="448">
        <f t="shared" si="70"/>
        <v>119459.93491701665</v>
      </c>
      <c r="O171" s="306">
        <f t="shared" si="71"/>
        <v>75719.455448000008</v>
      </c>
      <c r="Q171" s="449"/>
      <c r="R171" s="449"/>
      <c r="S171" s="449"/>
      <c r="T171" s="451"/>
    </row>
    <row r="172" spans="1:20" ht="21.95" hidden="1" customHeight="1" outlineLevel="1" x14ac:dyDescent="0.25">
      <c r="E172" s="291"/>
      <c r="I172" s="297"/>
      <c r="Q172" s="449"/>
      <c r="R172" s="449"/>
      <c r="S172" s="449"/>
      <c r="T172" s="449"/>
    </row>
    <row r="173" spans="1:20" ht="21.95" hidden="1" customHeight="1" outlineLevel="1" x14ac:dyDescent="0.25">
      <c r="A173" s="71">
        <f>SUM(A164:A172)</f>
        <v>179708604.40000004</v>
      </c>
      <c r="B173" s="71"/>
      <c r="C173" s="71"/>
      <c r="E173" s="308">
        <f>SUM(E164:E172)</f>
        <v>10000</v>
      </c>
      <c r="F173" s="71">
        <f>SUM(F164:F171)</f>
        <v>145614337.40000004</v>
      </c>
      <c r="I173" s="297">
        <f>K173/F173*10000</f>
        <v>96.79</v>
      </c>
      <c r="J173" s="149">
        <f>SUM(J164:J172)</f>
        <v>2607524.6385163465</v>
      </c>
      <c r="K173" s="149">
        <f>SUM(K164:K172)</f>
        <v>1409401.1716946003</v>
      </c>
      <c r="M173" s="297">
        <f>O173/F173*10000</f>
        <v>63.349999999999994</v>
      </c>
      <c r="N173" s="149">
        <f>SUM(N164:N172)</f>
        <v>1400759.8363022131</v>
      </c>
      <c r="O173" s="149">
        <f>SUM(O164:O172)</f>
        <v>922466.82742900017</v>
      </c>
      <c r="P173" s="320"/>
      <c r="Q173" s="454"/>
      <c r="R173" s="454">
        <f>S173/A173*10000</f>
        <v>14.236624432424785</v>
      </c>
      <c r="S173" s="456">
        <f>SUM(S164:S172)</f>
        <v>255844.39081180008</v>
      </c>
      <c r="T173" s="456">
        <f>SUM(T164:T171)</f>
        <v>255844.39081180005</v>
      </c>
    </row>
    <row r="174" spans="1:20" ht="21.95" hidden="1" customHeight="1" outlineLevel="1" x14ac:dyDescent="0.25">
      <c r="O174" s="149">
        <f>K173-O173</f>
        <v>486934.34426560008</v>
      </c>
    </row>
    <row r="175" spans="1:20" ht="21.95" customHeight="1" collapsed="1" x14ac:dyDescent="0.25"/>
    <row r="178" spans="1:41" ht="21.95" customHeight="1" x14ac:dyDescent="0.35">
      <c r="E178" s="465" t="s">
        <v>147</v>
      </c>
      <c r="G178" s="894" t="s">
        <v>139</v>
      </c>
      <c r="H178" s="893"/>
      <c r="I178" s="893"/>
      <c r="J178" s="893"/>
      <c r="K178" s="893"/>
      <c r="L178" s="893"/>
      <c r="M178" s="893"/>
      <c r="N178" s="893"/>
      <c r="O178" s="893"/>
      <c r="P178" s="893"/>
      <c r="Q178" s="893"/>
      <c r="R178" s="893"/>
      <c r="S178" s="893"/>
    </row>
    <row r="179" spans="1:41" ht="21.95" customHeight="1" thickBot="1" x14ac:dyDescent="0.3"/>
    <row r="180" spans="1:41" ht="21.95" customHeight="1" thickBot="1" x14ac:dyDescent="0.3">
      <c r="A180" s="291"/>
      <c r="B180" s="291"/>
      <c r="C180" s="291"/>
      <c r="D180" s="291"/>
      <c r="E180" s="883" t="s">
        <v>104</v>
      </c>
      <c r="F180" s="884"/>
      <c r="G180" s="885"/>
      <c r="H180" s="323"/>
      <c r="I180" s="873" t="s">
        <v>105</v>
      </c>
      <c r="J180" s="874"/>
      <c r="K180" s="875"/>
      <c r="L180" s="323"/>
      <c r="M180" s="876" t="s">
        <v>106</v>
      </c>
      <c r="N180" s="877"/>
      <c r="O180" s="878"/>
      <c r="P180" s="323"/>
      <c r="Q180" s="323"/>
      <c r="R180" s="879" t="s">
        <v>107</v>
      </c>
      <c r="S180" s="880"/>
      <c r="T180" s="881"/>
      <c r="U180" s="323"/>
      <c r="V180" s="321"/>
      <c r="W180" s="845" t="s">
        <v>108</v>
      </c>
      <c r="X180" s="846"/>
      <c r="Y180" s="847"/>
      <c r="Z180" s="851" t="s">
        <v>1</v>
      </c>
      <c r="AA180" s="851"/>
      <c r="AB180" s="852"/>
      <c r="AC180" s="853" t="s">
        <v>140</v>
      </c>
      <c r="AD180" s="851"/>
      <c r="AE180" s="852"/>
      <c r="AF180" s="853" t="s">
        <v>110</v>
      </c>
      <c r="AG180" s="851"/>
      <c r="AH180" s="855"/>
      <c r="AI180" s="857" t="s">
        <v>111</v>
      </c>
      <c r="AJ180" s="857"/>
      <c r="AK180" s="858"/>
      <c r="AL180" s="860" t="s">
        <v>112</v>
      </c>
      <c r="AM180" s="861"/>
      <c r="AN180" s="862"/>
      <c r="AO180" s="291"/>
    </row>
    <row r="181" spans="1:41" ht="21.95" customHeight="1" thickBot="1" x14ac:dyDescent="0.3">
      <c r="A181" s="291"/>
      <c r="B181" s="291"/>
      <c r="C181" s="291"/>
      <c r="D181" s="291"/>
      <c r="E181" s="325" t="s">
        <v>113</v>
      </c>
      <c r="F181" s="883" t="s">
        <v>114</v>
      </c>
      <c r="G181" s="890"/>
      <c r="H181" s="322"/>
      <c r="I181" s="302" t="s">
        <v>113</v>
      </c>
      <c r="J181" s="873" t="s">
        <v>115</v>
      </c>
      <c r="K181" s="891"/>
      <c r="L181" s="322"/>
      <c r="M181" s="302" t="s">
        <v>113</v>
      </c>
      <c r="N181" s="876" t="s">
        <v>115</v>
      </c>
      <c r="O181" s="886"/>
      <c r="P181" s="322"/>
      <c r="Q181" s="322"/>
      <c r="R181" s="328" t="s">
        <v>113</v>
      </c>
      <c r="S181" s="871" t="s">
        <v>115</v>
      </c>
      <c r="T181" s="872"/>
      <c r="U181" s="322"/>
      <c r="V181" s="322"/>
      <c r="W181" s="848"/>
      <c r="X181" s="849"/>
      <c r="Y181" s="850"/>
      <c r="Z181" s="849"/>
      <c r="AA181" s="849"/>
      <c r="AB181" s="849"/>
      <c r="AC181" s="854"/>
      <c r="AD181" s="849"/>
      <c r="AE181" s="849"/>
      <c r="AF181" s="854"/>
      <c r="AG181" s="849"/>
      <c r="AH181" s="856"/>
      <c r="AI181" s="859"/>
      <c r="AJ181" s="859"/>
      <c r="AK181" s="859"/>
      <c r="AL181" s="863"/>
      <c r="AM181" s="864"/>
      <c r="AN181" s="864"/>
      <c r="AO181" s="291"/>
    </row>
    <row r="182" spans="1:41" ht="60.75" customHeight="1" thickBot="1" x14ac:dyDescent="0.3">
      <c r="A182" s="291"/>
      <c r="B182" s="291"/>
      <c r="C182" s="291"/>
      <c r="D182" s="301" t="s">
        <v>130</v>
      </c>
      <c r="E182" s="309">
        <f>'Working Paper 3'!$C$6</f>
        <v>5.0504809882102659E-2</v>
      </c>
      <c r="F182" s="295">
        <f t="shared" ref="F182:F189" si="74">E193/10000</f>
        <v>5.3400000000000003E-2</v>
      </c>
      <c r="G182" s="293"/>
      <c r="H182" s="324"/>
      <c r="I182" s="298">
        <f>'Working Paper 3'!$E$6</f>
        <v>154.93914051185246</v>
      </c>
      <c r="J182" s="299">
        <f>I193</f>
        <v>178</v>
      </c>
      <c r="K182" s="294"/>
      <c r="L182" s="317"/>
      <c r="M182" s="298">
        <f>'Working Paper 3'!$G$6</f>
        <v>169.71789116032431</v>
      </c>
      <c r="N182" s="300">
        <f>M193</f>
        <v>170</v>
      </c>
      <c r="O182" s="294"/>
      <c r="P182" s="317"/>
      <c r="Q182" s="329" t="s">
        <v>116</v>
      </c>
      <c r="R182" s="334">
        <v>9.99</v>
      </c>
      <c r="S182" s="352">
        <f>R193/100</f>
        <v>5</v>
      </c>
      <c r="T182" s="330"/>
      <c r="U182" s="317"/>
      <c r="V182" s="825" t="s">
        <v>113</v>
      </c>
      <c r="W182" s="827">
        <f>'Working Paper 3'!$F$15</f>
        <v>2607524.6385163465</v>
      </c>
      <c r="X182" s="828"/>
      <c r="Y182" s="829"/>
      <c r="Z182" s="830">
        <f>'Working Paper 3'!$H$15</f>
        <v>1400759.8363022131</v>
      </c>
      <c r="AA182" s="828"/>
      <c r="AB182" s="829"/>
      <c r="AC182" s="830">
        <f>'Working Paper 3'!$J$15</f>
        <v>1206764.8022141333</v>
      </c>
      <c r="AD182" s="828"/>
      <c r="AE182" s="829"/>
      <c r="AF182" s="831">
        <f>'Working Paper 3'!$J$15/'Working Paper 3'!$F$15</f>
        <v>0.46280092022477287</v>
      </c>
      <c r="AG182" s="828"/>
      <c r="AH182" s="832"/>
      <c r="AI182" s="827">
        <f>S202</f>
        <v>255844.39081180008</v>
      </c>
      <c r="AJ182" s="828"/>
      <c r="AK182" s="828"/>
      <c r="AL182" s="833">
        <f>AC182-AI182</f>
        <v>950920.41140233329</v>
      </c>
      <c r="AM182" s="828"/>
      <c r="AN182" s="832"/>
      <c r="AO182" s="291"/>
    </row>
    <row r="183" spans="1:41" ht="54.95" customHeight="1" thickBot="1" x14ac:dyDescent="0.3">
      <c r="A183" s="291"/>
      <c r="B183" s="291"/>
      <c r="C183" s="291"/>
      <c r="D183" s="301" t="s">
        <v>3</v>
      </c>
      <c r="E183" s="309">
        <f>'Working Paper 3'!$C$7</f>
        <v>0.3206982301443993</v>
      </c>
      <c r="F183" s="295">
        <f t="shared" si="74"/>
        <v>0.31890000000000002</v>
      </c>
      <c r="G183" s="294"/>
      <c r="H183" s="317"/>
      <c r="I183" s="298">
        <f>'Working Paper 3'!$E$7</f>
        <v>142.99254815956868</v>
      </c>
      <c r="J183" s="299">
        <f t="shared" ref="J183:J189" si="75">I194</f>
        <v>65</v>
      </c>
      <c r="K183" s="294"/>
      <c r="L183" s="317"/>
      <c r="M183" s="298">
        <f>'Working Paper 3'!$G$7</f>
        <v>28.660658557912612</v>
      </c>
      <c r="N183" s="300">
        <f t="shared" ref="N183:N189" si="76">M194</f>
        <v>28</v>
      </c>
      <c r="O183" s="294"/>
      <c r="P183" s="317"/>
      <c r="Q183" s="329" t="s">
        <v>118</v>
      </c>
      <c r="R183" s="334">
        <v>2.89</v>
      </c>
      <c r="S183" s="352">
        <f>R194/100</f>
        <v>1</v>
      </c>
      <c r="T183" s="330"/>
      <c r="U183" s="317"/>
      <c r="V183" s="826"/>
      <c r="W183" s="834">
        <f>I191</f>
        <v>145.09737289553766</v>
      </c>
      <c r="X183" s="835"/>
      <c r="Y183" s="836"/>
      <c r="Z183" s="837">
        <f>M191</f>
        <v>77.946175197285811</v>
      </c>
      <c r="AA183" s="835"/>
      <c r="AB183" s="836"/>
      <c r="AC183" s="837">
        <f>W183-Z183</f>
        <v>67.151197698251849</v>
      </c>
      <c r="AD183" s="838"/>
      <c r="AE183" s="839"/>
      <c r="AF183" s="840"/>
      <c r="AG183" s="841"/>
      <c r="AH183" s="842"/>
      <c r="AI183" s="843">
        <f>R185</f>
        <v>14.236624432424785</v>
      </c>
      <c r="AJ183" s="835"/>
      <c r="AK183" s="836"/>
      <c r="AL183" s="837">
        <f>AC183-AI183</f>
        <v>52.914573265827066</v>
      </c>
      <c r="AM183" s="835"/>
      <c r="AN183" s="844"/>
      <c r="AO183" s="291"/>
    </row>
    <row r="184" spans="1:41" ht="54.95" customHeight="1" thickBot="1" x14ac:dyDescent="0.3">
      <c r="A184" s="291"/>
      <c r="B184" s="291"/>
      <c r="C184" s="291"/>
      <c r="D184" s="301" t="s">
        <v>4</v>
      </c>
      <c r="E184" s="309">
        <f>'Working Paper 3'!$C$8</f>
        <v>4.0553505985047866E-2</v>
      </c>
      <c r="F184" s="295">
        <f t="shared" si="74"/>
        <v>4.0099999999999997E-2</v>
      </c>
      <c r="G184" s="326"/>
      <c r="H184" s="317"/>
      <c r="I184" s="298">
        <f>'Working Paper 3'!$E$8</f>
        <v>143.45851781578313</v>
      </c>
      <c r="J184" s="299">
        <f t="shared" si="75"/>
        <v>159</v>
      </c>
      <c r="K184" s="294"/>
      <c r="L184" s="317"/>
      <c r="M184" s="298">
        <f>'Working Paper 3'!$G$8</f>
        <v>60.236068170372583</v>
      </c>
      <c r="N184" s="300">
        <f t="shared" si="76"/>
        <v>60</v>
      </c>
      <c r="O184" s="294"/>
      <c r="P184" s="317"/>
      <c r="Q184" s="331" t="s">
        <v>119</v>
      </c>
      <c r="R184" s="334">
        <v>4.6900000000000004</v>
      </c>
      <c r="S184" s="352">
        <f>R195/100</f>
        <v>2</v>
      </c>
      <c r="T184" s="330"/>
      <c r="U184" s="317"/>
      <c r="V184" s="810" t="s">
        <v>141</v>
      </c>
      <c r="W184" s="812">
        <f>K202*S188</f>
        <v>1585406.6774533545</v>
      </c>
      <c r="X184" s="788"/>
      <c r="Y184" s="789"/>
      <c r="Z184" s="813">
        <f>O202*S188</f>
        <v>1005458.2628867562</v>
      </c>
      <c r="AA184" s="788"/>
      <c r="AB184" s="789"/>
      <c r="AC184" s="813">
        <f>W184-Z184</f>
        <v>579948.41456659825</v>
      </c>
      <c r="AD184" s="788"/>
      <c r="AE184" s="789"/>
      <c r="AF184" s="814">
        <f>AC184/K202</f>
        <v>0.36580419573996742</v>
      </c>
      <c r="AG184" s="788"/>
      <c r="AH184" s="797"/>
      <c r="AI184" s="812">
        <f>T202*S188</f>
        <v>116491.46992000005</v>
      </c>
      <c r="AJ184" s="788"/>
      <c r="AK184" s="788"/>
      <c r="AL184" s="815">
        <f>AC184-AI184</f>
        <v>463456.94464659819</v>
      </c>
      <c r="AM184" s="788"/>
      <c r="AN184" s="797"/>
      <c r="AO184" s="291"/>
    </row>
    <row r="185" spans="1:41" ht="54.95" customHeight="1" thickBot="1" x14ac:dyDescent="0.3">
      <c r="A185" s="291"/>
      <c r="B185" s="291"/>
      <c r="C185" s="291"/>
      <c r="D185" s="301" t="s">
        <v>5</v>
      </c>
      <c r="E185" s="309">
        <f>'Working Paper 3'!$C$9</f>
        <v>0.22558468242770457</v>
      </c>
      <c r="F185" s="295">
        <f t="shared" si="74"/>
        <v>0.22470000000000001</v>
      </c>
      <c r="G185" s="294"/>
      <c r="H185" s="317"/>
      <c r="I185" s="298">
        <f>'Working Paper 3'!$E$9</f>
        <v>143.21774507854948</v>
      </c>
      <c r="J185" s="299">
        <f t="shared" si="75"/>
        <v>65</v>
      </c>
      <c r="K185" s="294"/>
      <c r="L185" s="317"/>
      <c r="M185" s="298">
        <f>'Working Paper 3'!$G$9</f>
        <v>65.927949272184037</v>
      </c>
      <c r="N185" s="300">
        <f t="shared" si="76"/>
        <v>66</v>
      </c>
      <c r="O185" s="294"/>
      <c r="P185" s="317"/>
      <c r="Q185" s="340"/>
      <c r="R185" s="332">
        <f>S202/A202*10000</f>
        <v>14.236624432424785</v>
      </c>
      <c r="S185" s="339">
        <f>T202/A202*10000</f>
        <v>6.4822422003072449</v>
      </c>
      <c r="T185" s="336"/>
      <c r="U185" s="317"/>
      <c r="V185" s="811"/>
      <c r="W185" s="816">
        <f>J191*$S$68</f>
        <v>108.87709999999998</v>
      </c>
      <c r="X185" s="817"/>
      <c r="Y185" s="818"/>
      <c r="Z185" s="819">
        <f>N191*S188</f>
        <v>69.049399999999977</v>
      </c>
      <c r="AA185" s="817"/>
      <c r="AB185" s="818"/>
      <c r="AC185" s="819">
        <f>W185-Z185</f>
        <v>39.827700000000007</v>
      </c>
      <c r="AD185" s="817"/>
      <c r="AE185" s="817"/>
      <c r="AF185" s="820"/>
      <c r="AG185" s="821"/>
      <c r="AH185" s="822"/>
      <c r="AI185" s="823">
        <f>S185*S188</f>
        <v>6.4822422003072449</v>
      </c>
      <c r="AJ185" s="817"/>
      <c r="AK185" s="817"/>
      <c r="AL185" s="819">
        <f>AC185-AI185</f>
        <v>33.34545779969276</v>
      </c>
      <c r="AM185" s="817"/>
      <c r="AN185" s="824"/>
      <c r="AO185" s="291"/>
    </row>
    <row r="186" spans="1:41" ht="54.95" customHeight="1" thickBot="1" x14ac:dyDescent="0.3">
      <c r="A186" s="291"/>
      <c r="B186" s="291"/>
      <c r="C186" s="291"/>
      <c r="D186" s="301" t="s">
        <v>131</v>
      </c>
      <c r="E186" s="309">
        <f>'Working Paper 3'!$C$10</f>
        <v>0.25452682626864803</v>
      </c>
      <c r="F186" s="295">
        <f t="shared" si="74"/>
        <v>0.25480000000000003</v>
      </c>
      <c r="G186" s="294"/>
      <c r="H186" s="317"/>
      <c r="I186" s="298">
        <f>'Working Paper 3'!$E$10</f>
        <v>148.69146331982427</v>
      </c>
      <c r="J186" s="299">
        <f t="shared" si="75"/>
        <v>159</v>
      </c>
      <c r="K186" s="294"/>
      <c r="L186" s="317"/>
      <c r="M186" s="298">
        <f>'Working Paper 3'!$G$10</f>
        <v>100.86833162399658</v>
      </c>
      <c r="N186" s="300">
        <f t="shared" si="76"/>
        <v>70</v>
      </c>
      <c r="O186" s="294"/>
      <c r="P186" s="317"/>
      <c r="Q186" s="340"/>
      <c r="T186" s="336"/>
      <c r="U186" s="317"/>
      <c r="V186" s="424" t="s">
        <v>124</v>
      </c>
      <c r="W186" s="787">
        <f t="shared" ref="W186:W187" si="77">W182-W184</f>
        <v>1022117.961062992</v>
      </c>
      <c r="X186" s="788"/>
      <c r="Y186" s="789"/>
      <c r="Z186" s="790">
        <f t="shared" ref="Z186:Z187" si="78">Z182-Z184</f>
        <v>395301.57341545692</v>
      </c>
      <c r="AA186" s="791"/>
      <c r="AB186" s="792"/>
      <c r="AC186" s="793">
        <f t="shared" ref="AC186:AC187" si="79">AC182-AC184</f>
        <v>626816.38764753507</v>
      </c>
      <c r="AD186" s="788"/>
      <c r="AE186" s="788"/>
      <c r="AF186" s="794"/>
      <c r="AG186" s="788"/>
      <c r="AH186" s="789"/>
      <c r="AI186" s="795">
        <f t="shared" ref="AI186:AI187" si="80">AI182-AI184</f>
        <v>139352.92089180002</v>
      </c>
      <c r="AJ186" s="788"/>
      <c r="AK186" s="789"/>
      <c r="AL186" s="796">
        <f t="shared" ref="AL186:AL187" si="81">AL182-AL184</f>
        <v>487463.46675573511</v>
      </c>
      <c r="AM186" s="788"/>
      <c r="AN186" s="797"/>
      <c r="AO186" s="291"/>
    </row>
    <row r="187" spans="1:41" ht="54.95" customHeight="1" thickBot="1" x14ac:dyDescent="0.3">
      <c r="A187" s="291"/>
      <c r="B187" s="291"/>
      <c r="C187" s="291"/>
      <c r="D187" s="301" t="s">
        <v>7</v>
      </c>
      <c r="E187" s="309">
        <f>'Working Paper 3'!$C$11</f>
        <v>6.0059880831170691E-2</v>
      </c>
      <c r="F187" s="295">
        <f t="shared" si="74"/>
        <v>5.9200000000000003E-2</v>
      </c>
      <c r="G187" s="294"/>
      <c r="H187" s="317"/>
      <c r="I187" s="298">
        <f>'Working Paper 3'!$E$11</f>
        <v>142.98844600659757</v>
      </c>
      <c r="J187" s="299">
        <f t="shared" si="75"/>
        <v>65</v>
      </c>
      <c r="K187" s="294"/>
      <c r="L187" s="317"/>
      <c r="M187" s="298">
        <f>'Working Paper 3'!$G$11</f>
        <v>54.90928046317822</v>
      </c>
      <c r="N187" s="300">
        <f t="shared" si="76"/>
        <v>55</v>
      </c>
      <c r="O187" s="294"/>
      <c r="P187" s="317"/>
      <c r="Q187" s="340"/>
      <c r="R187" s="887" t="s">
        <v>123</v>
      </c>
      <c r="S187" s="888"/>
      <c r="T187" s="889"/>
      <c r="U187" s="317"/>
      <c r="V187" s="425" t="s">
        <v>126</v>
      </c>
      <c r="W187" s="798">
        <f t="shared" si="77"/>
        <v>36.220272895537676</v>
      </c>
      <c r="X187" s="799"/>
      <c r="Y187" s="800"/>
      <c r="Z187" s="801">
        <f t="shared" si="78"/>
        <v>8.8967751972858338</v>
      </c>
      <c r="AA187" s="799"/>
      <c r="AB187" s="800"/>
      <c r="AC187" s="801">
        <f t="shared" si="79"/>
        <v>27.323497698251842</v>
      </c>
      <c r="AD187" s="799"/>
      <c r="AE187" s="799"/>
      <c r="AF187" s="802"/>
      <c r="AG187" s="803"/>
      <c r="AH187" s="804"/>
      <c r="AI187" s="805">
        <f t="shared" si="80"/>
        <v>7.75438223211754</v>
      </c>
      <c r="AJ187" s="806"/>
      <c r="AK187" s="807"/>
      <c r="AL187" s="808">
        <f t="shared" si="81"/>
        <v>19.569115466134306</v>
      </c>
      <c r="AM187" s="806"/>
      <c r="AN187" s="809"/>
      <c r="AO187" s="291"/>
    </row>
    <row r="188" spans="1:41" ht="54.95" customHeight="1" thickBot="1" x14ac:dyDescent="0.3">
      <c r="A188" s="291"/>
      <c r="B188" s="291"/>
      <c r="C188" s="291"/>
      <c r="D188" s="301" t="s">
        <v>132</v>
      </c>
      <c r="E188" s="309">
        <f>'Working Paper 3'!$C$12</f>
        <v>2.4773150306096305E-2</v>
      </c>
      <c r="F188" s="295">
        <f t="shared" si="74"/>
        <v>2.4899999999999999E-2</v>
      </c>
      <c r="G188" s="294"/>
      <c r="H188" s="317"/>
      <c r="I188" s="298">
        <f>'Working Paper 3'!$E$12</f>
        <v>145.45695079148425</v>
      </c>
      <c r="J188" s="299">
        <f t="shared" si="75"/>
        <v>272</v>
      </c>
      <c r="K188" s="294"/>
      <c r="L188" s="317"/>
      <c r="M188" s="298">
        <f>'Working Paper 3'!$G$12</f>
        <v>292.619148787516</v>
      </c>
      <c r="N188" s="300">
        <f t="shared" si="76"/>
        <v>260</v>
      </c>
      <c r="O188" s="294"/>
      <c r="P188" s="317"/>
      <c r="Q188" s="340"/>
      <c r="R188" s="384">
        <v>1</v>
      </c>
      <c r="S188" s="384">
        <f>R191/100</f>
        <v>1</v>
      </c>
      <c r="T188" s="383"/>
      <c r="U188" s="317"/>
      <c r="V188" s="387"/>
      <c r="W188" s="423"/>
      <c r="X188" s="423"/>
      <c r="Y188" s="423"/>
      <c r="Z188" s="423"/>
      <c r="AA188" s="423"/>
      <c r="AB188" s="423"/>
      <c r="AC188" s="423"/>
      <c r="AD188" s="423"/>
      <c r="AE188" s="423"/>
      <c r="AF188" s="423"/>
      <c r="AG188" s="423"/>
      <c r="AH188" s="423"/>
      <c r="AI188" s="423"/>
      <c r="AJ188" s="423"/>
      <c r="AK188" s="423"/>
      <c r="AL188" s="423"/>
      <c r="AM188" s="423"/>
      <c r="AN188" s="423"/>
      <c r="AO188" s="291"/>
    </row>
    <row r="189" spans="1:41" ht="54.95" customHeight="1" thickBot="1" x14ac:dyDescent="0.3">
      <c r="A189" s="291"/>
      <c r="B189" s="291"/>
      <c r="C189" s="291"/>
      <c r="D189" s="301" t="s">
        <v>133</v>
      </c>
      <c r="E189" s="309">
        <f>'Working Paper 3'!$C$13</f>
        <v>2.3298914154830527E-2</v>
      </c>
      <c r="F189" s="295">
        <f t="shared" si="74"/>
        <v>2.4E-2</v>
      </c>
      <c r="G189" s="294"/>
      <c r="H189" s="317"/>
      <c r="I189" s="298">
        <f>'Working Paper 3'!$E$13</f>
        <v>139.5775929132339</v>
      </c>
      <c r="J189" s="299">
        <f t="shared" si="75"/>
        <v>272</v>
      </c>
      <c r="K189" s="294"/>
      <c r="L189" s="317"/>
      <c r="M189" s="298">
        <f>'Working Paper 3'!$G$13</f>
        <v>285.31047780447233</v>
      </c>
      <c r="N189" s="300">
        <f t="shared" si="76"/>
        <v>260</v>
      </c>
      <c r="O189" s="294"/>
      <c r="P189" s="317"/>
      <c r="Q189" s="341"/>
      <c r="R189" s="337"/>
      <c r="S189" s="318"/>
      <c r="T189" s="338"/>
      <c r="U189" s="317"/>
      <c r="V189" s="387"/>
      <c r="W189" s="423"/>
      <c r="X189" s="423"/>
      <c r="Y189" s="423"/>
      <c r="Z189" s="423"/>
      <c r="AA189" s="423"/>
      <c r="AB189" s="423"/>
      <c r="AC189" s="423"/>
      <c r="AD189" s="423"/>
      <c r="AE189" s="423"/>
      <c r="AF189" s="423"/>
      <c r="AG189" s="423"/>
      <c r="AH189" s="423"/>
      <c r="AI189" s="423"/>
      <c r="AJ189" s="423"/>
      <c r="AK189" s="423"/>
      <c r="AL189" s="423"/>
      <c r="AM189" s="423"/>
      <c r="AN189" s="423"/>
      <c r="AO189" s="291"/>
    </row>
    <row r="190" spans="1:41" ht="21.95" customHeight="1" thickBot="1" x14ac:dyDescent="0.3">
      <c r="A190" s="291"/>
      <c r="B190" s="291"/>
      <c r="C190" s="291"/>
      <c r="D190" s="291"/>
      <c r="E190" s="291"/>
      <c r="F190" s="291"/>
      <c r="G190" s="291"/>
      <c r="H190" s="317"/>
      <c r="I190" s="291"/>
      <c r="J190" s="291"/>
      <c r="K190" s="291"/>
      <c r="L190" s="317"/>
      <c r="M190" s="291"/>
      <c r="N190" s="291"/>
      <c r="O190" s="291"/>
      <c r="P190" s="317"/>
      <c r="Q190" s="317"/>
      <c r="R190" s="317"/>
      <c r="S190" s="317"/>
      <c r="T190" s="317"/>
      <c r="U190" s="317"/>
      <c r="AO190" s="291"/>
    </row>
    <row r="191" spans="1:41" ht="21.95" customHeight="1" thickBot="1" x14ac:dyDescent="0.3">
      <c r="A191" s="291"/>
      <c r="B191" s="291"/>
      <c r="C191" s="291"/>
      <c r="D191" s="291"/>
      <c r="E191" s="315">
        <f>SUM(E182:E190)</f>
        <v>0.99999999999999978</v>
      </c>
      <c r="F191" s="316">
        <f>SUM(F182:F190)</f>
        <v>1</v>
      </c>
      <c r="G191" s="291"/>
      <c r="H191" s="317"/>
      <c r="I191" s="356">
        <f>J202/A202*10000</f>
        <v>145.09737289553766</v>
      </c>
      <c r="J191" s="314">
        <f>I202</f>
        <v>108.87709999999998</v>
      </c>
      <c r="K191" s="291"/>
      <c r="L191" s="317"/>
      <c r="M191" s="311">
        <f>N202/A202*10000</f>
        <v>77.946175197285811</v>
      </c>
      <c r="N191" s="312">
        <f>M202</f>
        <v>69.049399999999977</v>
      </c>
      <c r="O191" s="291"/>
      <c r="P191" s="317"/>
      <c r="Q191" s="291"/>
      <c r="R191" s="410">
        <v>100</v>
      </c>
      <c r="S191" s="411">
        <f>S188*1</f>
        <v>1</v>
      </c>
      <c r="T191" s="410"/>
      <c r="U191" s="317"/>
      <c r="AO191" s="291"/>
    </row>
    <row r="192" spans="1:41" ht="21.95" customHeight="1" thickBot="1" x14ac:dyDescent="0.3">
      <c r="A192" s="291"/>
      <c r="B192" s="291"/>
      <c r="C192" s="291"/>
      <c r="D192" s="291"/>
      <c r="E192" s="291"/>
      <c r="F192" s="291"/>
      <c r="G192" s="291"/>
      <c r="H192" s="317"/>
      <c r="I192" s="291"/>
      <c r="J192" s="291"/>
      <c r="K192" s="291"/>
      <c r="L192" s="317"/>
      <c r="M192" s="291"/>
      <c r="N192" s="291"/>
      <c r="O192" s="291"/>
      <c r="P192" s="317"/>
      <c r="Q192" s="317"/>
      <c r="R192" s="317"/>
      <c r="S192" s="317"/>
      <c r="T192" s="317"/>
      <c r="U192" s="317"/>
      <c r="AO192" s="291"/>
    </row>
    <row r="193" spans="1:41" ht="21.95" customHeight="1" thickBot="1" x14ac:dyDescent="0.3">
      <c r="A193" s="305">
        <f>E182*'Working Paper 3'!$D$15</f>
        <v>9076148.8993999995</v>
      </c>
      <c r="B193" s="305"/>
      <c r="C193" s="305"/>
      <c r="D193" s="291" t="s">
        <v>130</v>
      </c>
      <c r="E193" s="457">
        <v>534</v>
      </c>
      <c r="F193" s="458">
        <f>F182*$A$25</f>
        <v>7775805.6171600027</v>
      </c>
      <c r="G193" s="278"/>
      <c r="H193" s="449"/>
      <c r="I193" s="450">
        <v>178</v>
      </c>
      <c r="J193" s="448">
        <f t="shared" ref="J193:J200" si="82">I182*A193/10000</f>
        <v>140625.07096306313</v>
      </c>
      <c r="K193" s="459">
        <f t="shared" ref="K193:K200" si="83">J182*F193/10000</f>
        <v>138409.33998544805</v>
      </c>
      <c r="L193" s="449"/>
      <c r="M193" s="450">
        <v>170</v>
      </c>
      <c r="N193" s="448">
        <f t="shared" ref="N193:N200" si="84">M182*A193/10000</f>
        <v>154038.48510632664</v>
      </c>
      <c r="O193" s="459">
        <f t="shared" ref="O193:O200" si="85">N182*F193/10000</f>
        <v>132188.69549172005</v>
      </c>
      <c r="P193" s="449"/>
      <c r="Q193" s="460" t="s">
        <v>116</v>
      </c>
      <c r="R193" s="359">
        <v>500</v>
      </c>
      <c r="S193" s="461">
        <f>R182*$A$25/10000</f>
        <v>145468.72306260004</v>
      </c>
      <c r="T193" s="362">
        <f>R193*F202/1000000</f>
        <v>72807.168700000024</v>
      </c>
      <c r="U193" s="317"/>
      <c r="AO193" s="291"/>
    </row>
    <row r="194" spans="1:41" ht="21.95" customHeight="1" thickBot="1" x14ac:dyDescent="0.3">
      <c r="A194" s="305">
        <f>E183*'Working Paper 3'!$D$15</f>
        <v>57632231.372800022</v>
      </c>
      <c r="B194" s="305"/>
      <c r="C194" s="305"/>
      <c r="D194" s="291" t="s">
        <v>3</v>
      </c>
      <c r="E194" s="457">
        <v>3189</v>
      </c>
      <c r="F194" s="458">
        <f>F183*$A$25</f>
        <v>46436412.196860015</v>
      </c>
      <c r="G194" s="278"/>
      <c r="H194" s="449"/>
      <c r="I194" s="450">
        <v>65</v>
      </c>
      <c r="J194" s="448">
        <f t="shared" si="82"/>
        <v>824097.96201185125</v>
      </c>
      <c r="K194" s="459">
        <f t="shared" si="83"/>
        <v>301836.67927959008</v>
      </c>
      <c r="L194" s="449"/>
      <c r="M194" s="450">
        <v>28</v>
      </c>
      <c r="N194" s="448">
        <f t="shared" si="84"/>
        <v>165177.77053064405</v>
      </c>
      <c r="O194" s="459">
        <f t="shared" si="85"/>
        <v>130021.95415120805</v>
      </c>
      <c r="P194" s="449"/>
      <c r="Q194" s="460" t="s">
        <v>118</v>
      </c>
      <c r="R194" s="359">
        <v>100</v>
      </c>
      <c r="S194" s="461">
        <f t="shared" ref="S194:S195" si="86">R183*$A$25/10000</f>
        <v>42082.543508600014</v>
      </c>
      <c r="T194" s="362">
        <f>R194*F202/1000000</f>
        <v>14561.433740000006</v>
      </c>
    </row>
    <row r="195" spans="1:41" ht="21.95" customHeight="1" thickBot="1" x14ac:dyDescent="0.3">
      <c r="A195" s="305">
        <f>E184*'Working Paper 3'!$D$15</f>
        <v>7287813.9641000004</v>
      </c>
      <c r="B195" s="305"/>
      <c r="C195" s="305"/>
      <c r="D195" s="291" t="s">
        <v>4</v>
      </c>
      <c r="E195" s="457">
        <v>401</v>
      </c>
      <c r="F195" s="458">
        <f t="shared" ref="F195:F200" si="87">F184*$A$25</f>
        <v>5839134.9297400005</v>
      </c>
      <c r="G195" s="278"/>
      <c r="H195" s="449"/>
      <c r="I195" s="450">
        <v>159</v>
      </c>
      <c r="J195" s="448">
        <f t="shared" si="82"/>
        <v>104549.8989406953</v>
      </c>
      <c r="K195" s="459">
        <f t="shared" si="83"/>
        <v>92842.245382866007</v>
      </c>
      <c r="L195" s="449"/>
      <c r="M195" s="450">
        <v>60</v>
      </c>
      <c r="N195" s="448">
        <f t="shared" si="84"/>
        <v>43898.925875452092</v>
      </c>
      <c r="O195" s="459">
        <f t="shared" si="85"/>
        <v>35034.809578440007</v>
      </c>
      <c r="P195" s="449"/>
      <c r="Q195" s="462" t="s">
        <v>119</v>
      </c>
      <c r="R195" s="359">
        <v>200</v>
      </c>
      <c r="S195" s="461">
        <f t="shared" si="86"/>
        <v>68293.124240600024</v>
      </c>
      <c r="T195" s="362">
        <f>R195*F202/1000000</f>
        <v>29122.867480000012</v>
      </c>
    </row>
    <row r="196" spans="1:41" ht="21.95" customHeight="1" x14ac:dyDescent="0.25">
      <c r="A196" s="305">
        <f>E185*'Working Paper 3'!$D$15</f>
        <v>40539508.453100003</v>
      </c>
      <c r="B196" s="305"/>
      <c r="C196" s="305"/>
      <c r="D196" s="291" t="s">
        <v>5</v>
      </c>
      <c r="E196" s="457">
        <v>2247</v>
      </c>
      <c r="F196" s="458">
        <f t="shared" si="87"/>
        <v>32719541.61378001</v>
      </c>
      <c r="G196" s="278"/>
      <c r="H196" s="449"/>
      <c r="I196" s="450">
        <v>65</v>
      </c>
      <c r="J196" s="448">
        <f t="shared" si="82"/>
        <v>580597.69872457779</v>
      </c>
      <c r="K196" s="459">
        <f t="shared" si="83"/>
        <v>212677.02048957007</v>
      </c>
      <c r="L196" s="449"/>
      <c r="M196" s="450">
        <v>66</v>
      </c>
      <c r="N196" s="448">
        <f t="shared" si="84"/>
        <v>267268.66568152525</v>
      </c>
      <c r="O196" s="459">
        <f t="shared" si="85"/>
        <v>215948.97465094805</v>
      </c>
      <c r="P196" s="449"/>
      <c r="Q196" s="449"/>
      <c r="R196" s="449"/>
      <c r="S196" s="449"/>
      <c r="T196" s="451"/>
    </row>
    <row r="197" spans="1:41" ht="21.95" customHeight="1" x14ac:dyDescent="0.25">
      <c r="A197" s="305">
        <f>E186*'Working Paper 3'!$D$15</f>
        <v>45740660.731100008</v>
      </c>
      <c r="B197" s="305"/>
      <c r="C197" s="305"/>
      <c r="D197" s="291" t="s">
        <v>131</v>
      </c>
      <c r="E197" s="457">
        <v>2548</v>
      </c>
      <c r="F197" s="458">
        <f t="shared" si="87"/>
        <v>37102533.169520013</v>
      </c>
      <c r="G197" s="278"/>
      <c r="H197" s="449"/>
      <c r="I197" s="450">
        <v>159</v>
      </c>
      <c r="J197" s="448">
        <f t="shared" si="82"/>
        <v>680124.57773228828</v>
      </c>
      <c r="K197" s="459">
        <f t="shared" si="83"/>
        <v>589930.2773953682</v>
      </c>
      <c r="L197" s="449"/>
      <c r="M197" s="450">
        <v>70</v>
      </c>
      <c r="N197" s="448">
        <f t="shared" si="84"/>
        <v>461378.41353253135</v>
      </c>
      <c r="O197" s="459">
        <f t="shared" si="85"/>
        <v>259717.73218664006</v>
      </c>
      <c r="P197" s="449"/>
      <c r="Q197" s="449"/>
      <c r="R197" s="449"/>
      <c r="S197" s="449"/>
      <c r="T197" s="451"/>
    </row>
    <row r="198" spans="1:41" ht="21.95" customHeight="1" x14ac:dyDescent="0.25">
      <c r="A198" s="305">
        <f>E187*'Working Paper 3'!$D$15</f>
        <v>10793277.364599999</v>
      </c>
      <c r="B198" s="305"/>
      <c r="C198" s="305"/>
      <c r="D198" s="291" t="s">
        <v>7</v>
      </c>
      <c r="E198" s="457">
        <v>592</v>
      </c>
      <c r="F198" s="458">
        <f t="shared" si="87"/>
        <v>8620368.7740800027</v>
      </c>
      <c r="G198" s="278"/>
      <c r="H198" s="449"/>
      <c r="I198" s="450">
        <v>65</v>
      </c>
      <c r="J198" s="448">
        <f t="shared" si="82"/>
        <v>154331.39576823387</v>
      </c>
      <c r="K198" s="459">
        <f t="shared" si="83"/>
        <v>56032.39703152002</v>
      </c>
      <c r="L198" s="449"/>
      <c r="M198" s="450">
        <v>55</v>
      </c>
      <c r="N198" s="448">
        <f t="shared" si="84"/>
        <v>59265.10939296944</v>
      </c>
      <c r="O198" s="459">
        <f t="shared" si="85"/>
        <v>47412.028257440012</v>
      </c>
      <c r="P198" s="449"/>
      <c r="Q198" s="449"/>
      <c r="R198" s="449"/>
      <c r="S198" s="449"/>
      <c r="T198" s="451"/>
      <c r="V198" s="320"/>
      <c r="W198" s="297"/>
      <c r="X198" s="297"/>
      <c r="Y198" s="297"/>
    </row>
    <row r="199" spans="1:41" ht="21.95" customHeight="1" x14ac:dyDescent="0.25">
      <c r="A199" s="305">
        <f>E188*'Working Paper 3'!$D$15</f>
        <v>4451948.2681000009</v>
      </c>
      <c r="B199" s="305"/>
      <c r="C199" s="305"/>
      <c r="D199" s="291" t="s">
        <v>132</v>
      </c>
      <c r="E199" s="457">
        <v>249</v>
      </c>
      <c r="F199" s="458">
        <f t="shared" si="87"/>
        <v>3625797.0012600007</v>
      </c>
      <c r="G199" s="278"/>
      <c r="H199" s="449"/>
      <c r="I199" s="450">
        <v>272</v>
      </c>
      <c r="J199" s="448">
        <f t="shared" si="82"/>
        <v>64756.682015925537</v>
      </c>
      <c r="K199" s="459">
        <f t="shared" si="83"/>
        <v>98621.67843427202</v>
      </c>
      <c r="L199" s="449"/>
      <c r="M199" s="450">
        <v>260</v>
      </c>
      <c r="N199" s="448">
        <f t="shared" si="84"/>
        <v>130272.53126574784</v>
      </c>
      <c r="O199" s="459">
        <f t="shared" si="85"/>
        <v>94270.722032760023</v>
      </c>
      <c r="P199" s="449"/>
      <c r="Q199" s="449"/>
      <c r="R199" s="449"/>
      <c r="S199" s="449"/>
      <c r="T199" s="451"/>
    </row>
    <row r="200" spans="1:41" ht="21.95" customHeight="1" x14ac:dyDescent="0.25">
      <c r="A200" s="305">
        <f>E189*'Working Paper 3'!$D$15</f>
        <v>4187015.3468000004</v>
      </c>
      <c r="B200" s="305"/>
      <c r="C200" s="305"/>
      <c r="D200" s="291" t="s">
        <v>133</v>
      </c>
      <c r="E200" s="457">
        <v>240</v>
      </c>
      <c r="F200" s="458">
        <f t="shared" si="87"/>
        <v>3494744.0976000009</v>
      </c>
      <c r="G200" s="278"/>
      <c r="H200" s="449"/>
      <c r="I200" s="450">
        <v>272</v>
      </c>
      <c r="J200" s="448">
        <f t="shared" si="82"/>
        <v>58441.352359711338</v>
      </c>
      <c r="K200" s="459">
        <f t="shared" si="83"/>
        <v>95057.039454720027</v>
      </c>
      <c r="L200" s="449"/>
      <c r="M200" s="450">
        <v>260</v>
      </c>
      <c r="N200" s="448">
        <f t="shared" si="84"/>
        <v>119459.93491701665</v>
      </c>
      <c r="O200" s="459">
        <f t="shared" si="85"/>
        <v>90863.346537600024</v>
      </c>
      <c r="P200" s="449"/>
      <c r="Q200" s="449"/>
      <c r="R200" s="449"/>
      <c r="S200" s="449"/>
      <c r="T200" s="451"/>
    </row>
    <row r="201" spans="1:41" ht="21.95" customHeight="1" x14ac:dyDescent="0.25">
      <c r="E201" s="278"/>
      <c r="F201" s="278"/>
      <c r="G201" s="278"/>
      <c r="H201" s="449"/>
      <c r="I201" s="450"/>
      <c r="J201" s="278"/>
      <c r="K201" s="278"/>
      <c r="L201" s="449"/>
      <c r="M201" s="278"/>
      <c r="N201" s="278"/>
      <c r="O201" s="278"/>
      <c r="P201" s="449"/>
      <c r="Q201" s="449"/>
      <c r="R201" s="449"/>
      <c r="S201" s="449"/>
      <c r="T201" s="449"/>
    </row>
    <row r="202" spans="1:41" ht="21.95" customHeight="1" x14ac:dyDescent="0.25">
      <c r="A202" s="429">
        <f>SUM(A193:A201)</f>
        <v>179708604.40000004</v>
      </c>
      <c r="B202" s="429"/>
      <c r="C202" s="429"/>
      <c r="D202" s="98"/>
      <c r="E202" s="463">
        <f>SUM(E193:E201)</f>
        <v>10000</v>
      </c>
      <c r="F202" s="452">
        <f>SUM(F193:F200)</f>
        <v>145614337.40000007</v>
      </c>
      <c r="G202" s="453"/>
      <c r="H202" s="453"/>
      <c r="I202" s="454">
        <f>K202/F202*10000</f>
        <v>108.87709999999998</v>
      </c>
      <c r="J202" s="455">
        <f>SUM(J193:J201)</f>
        <v>2607524.6385163465</v>
      </c>
      <c r="K202" s="455">
        <f>SUM(K193:K201)</f>
        <v>1585406.6774533545</v>
      </c>
      <c r="L202" s="453"/>
      <c r="M202" s="454">
        <f>O202/F202*10000</f>
        <v>69.049399999999977</v>
      </c>
      <c r="N202" s="455">
        <f>SUM(N193:N201)</f>
        <v>1400759.8363022131</v>
      </c>
      <c r="O202" s="455">
        <f>SUM(O193:O201)</f>
        <v>1005458.2628867562</v>
      </c>
      <c r="P202" s="454"/>
      <c r="Q202" s="454"/>
      <c r="R202" s="454">
        <f>S202/A202*10000</f>
        <v>14.236624432424785</v>
      </c>
      <c r="S202" s="456">
        <f>SUM(S193:S201)</f>
        <v>255844.39081180008</v>
      </c>
      <c r="T202" s="456">
        <f>SUM(T193:T200)</f>
        <v>116491.46992000005</v>
      </c>
      <c r="U202" s="320"/>
    </row>
    <row r="203" spans="1:41" ht="21.95" customHeight="1" x14ac:dyDescent="0.25">
      <c r="N203" s="149">
        <f>K202-O202</f>
        <v>579948.41456659825</v>
      </c>
    </row>
  </sheetData>
  <mergeCells count="348">
    <mergeCell ref="AC3:AE4"/>
    <mergeCell ref="AF3:AH4"/>
    <mergeCell ref="AI3:AK4"/>
    <mergeCell ref="AL3:AN4"/>
    <mergeCell ref="F4:G4"/>
    <mergeCell ref="J4:K4"/>
    <mergeCell ref="N4:O4"/>
    <mergeCell ref="S4:T4"/>
    <mergeCell ref="E3:G3"/>
    <mergeCell ref="I3:K3"/>
    <mergeCell ref="M3:O3"/>
    <mergeCell ref="R3:T3"/>
    <mergeCell ref="W3:Y4"/>
    <mergeCell ref="Z3:AB4"/>
    <mergeCell ref="AL5:AN5"/>
    <mergeCell ref="W6:Y6"/>
    <mergeCell ref="Z6:AB6"/>
    <mergeCell ref="AC6:AE6"/>
    <mergeCell ref="AF6:AH6"/>
    <mergeCell ref="AI6:AK6"/>
    <mergeCell ref="AL6:AN6"/>
    <mergeCell ref="V5:V6"/>
    <mergeCell ref="W5:Y5"/>
    <mergeCell ref="Z5:AB5"/>
    <mergeCell ref="AC5:AE5"/>
    <mergeCell ref="AF5:AH5"/>
    <mergeCell ref="AI5:AK5"/>
    <mergeCell ref="R9:T9"/>
    <mergeCell ref="W9:Y9"/>
    <mergeCell ref="Z9:AB9"/>
    <mergeCell ref="AC9:AE9"/>
    <mergeCell ref="AF9:AH9"/>
    <mergeCell ref="AI9:AK9"/>
    <mergeCell ref="AL7:AN7"/>
    <mergeCell ref="W8:Y8"/>
    <mergeCell ref="Z8:AB8"/>
    <mergeCell ref="AC8:AE8"/>
    <mergeCell ref="AF8:AH8"/>
    <mergeCell ref="AI8:AK8"/>
    <mergeCell ref="AL8:AN8"/>
    <mergeCell ref="V7:V8"/>
    <mergeCell ref="W7:Y7"/>
    <mergeCell ref="Z7:AB7"/>
    <mergeCell ref="AC7:AE7"/>
    <mergeCell ref="AF7:AH7"/>
    <mergeCell ref="AI7:AK7"/>
    <mergeCell ref="W11:Y12"/>
    <mergeCell ref="Z11:AB12"/>
    <mergeCell ref="AC11:AE12"/>
    <mergeCell ref="AF11:AH12"/>
    <mergeCell ref="AI11:AK12"/>
    <mergeCell ref="AL11:AN12"/>
    <mergeCell ref="AL9:AN9"/>
    <mergeCell ref="W10:Y10"/>
    <mergeCell ref="Z10:AB10"/>
    <mergeCell ref="AC10:AE10"/>
    <mergeCell ref="AF10:AH10"/>
    <mergeCell ref="AI10:AK10"/>
    <mergeCell ref="AL10:AN10"/>
    <mergeCell ref="AC30:AE31"/>
    <mergeCell ref="AF30:AH31"/>
    <mergeCell ref="AI30:AK31"/>
    <mergeCell ref="AL30:AN31"/>
    <mergeCell ref="F31:G31"/>
    <mergeCell ref="J31:K31"/>
    <mergeCell ref="N31:O31"/>
    <mergeCell ref="S31:T31"/>
    <mergeCell ref="E30:G30"/>
    <mergeCell ref="I30:K30"/>
    <mergeCell ref="M30:O30"/>
    <mergeCell ref="R30:T30"/>
    <mergeCell ref="W30:Y31"/>
    <mergeCell ref="Z30:AB31"/>
    <mergeCell ref="AL32:AN32"/>
    <mergeCell ref="W33:Y33"/>
    <mergeCell ref="Z33:AB33"/>
    <mergeCell ref="AC33:AE33"/>
    <mergeCell ref="AF33:AH33"/>
    <mergeCell ref="AI33:AK33"/>
    <mergeCell ref="AL33:AN33"/>
    <mergeCell ref="V32:V33"/>
    <mergeCell ref="W32:Y32"/>
    <mergeCell ref="Z32:AB32"/>
    <mergeCell ref="AC32:AE32"/>
    <mergeCell ref="AF32:AH32"/>
    <mergeCell ref="AI32:AK32"/>
    <mergeCell ref="AL36:AN36"/>
    <mergeCell ref="AL34:AN34"/>
    <mergeCell ref="W35:Y35"/>
    <mergeCell ref="Z35:AB35"/>
    <mergeCell ref="AC35:AE35"/>
    <mergeCell ref="AF35:AH35"/>
    <mergeCell ref="AI35:AK35"/>
    <mergeCell ref="AL35:AN35"/>
    <mergeCell ref="V34:V35"/>
    <mergeCell ref="W34:Y34"/>
    <mergeCell ref="Z34:AB34"/>
    <mergeCell ref="AC34:AE34"/>
    <mergeCell ref="AF34:AH34"/>
    <mergeCell ref="AI34:AK34"/>
    <mergeCell ref="R37:T37"/>
    <mergeCell ref="W37:Y37"/>
    <mergeCell ref="Z37:AB37"/>
    <mergeCell ref="AC37:AE37"/>
    <mergeCell ref="AF37:AH37"/>
    <mergeCell ref="AI37:AK37"/>
    <mergeCell ref="W36:Y36"/>
    <mergeCell ref="Z36:AB36"/>
    <mergeCell ref="AC36:AE36"/>
    <mergeCell ref="AF36:AH36"/>
    <mergeCell ref="AI36:AK36"/>
    <mergeCell ref="AF39:AH39"/>
    <mergeCell ref="AI39:AK39"/>
    <mergeCell ref="AL39:AN39"/>
    <mergeCell ref="AL37:AN37"/>
    <mergeCell ref="W38:Y38"/>
    <mergeCell ref="Z38:AB38"/>
    <mergeCell ref="AC38:AE38"/>
    <mergeCell ref="AF38:AH38"/>
    <mergeCell ref="AI38:AK38"/>
    <mergeCell ref="AL38:AN38"/>
    <mergeCell ref="G58:S58"/>
    <mergeCell ref="E60:G60"/>
    <mergeCell ref="I60:K60"/>
    <mergeCell ref="M60:O60"/>
    <mergeCell ref="R60:T60"/>
    <mergeCell ref="W60:Y61"/>
    <mergeCell ref="W39:Y39"/>
    <mergeCell ref="Z39:AB39"/>
    <mergeCell ref="AC39:AE39"/>
    <mergeCell ref="Z60:AB61"/>
    <mergeCell ref="AC60:AE61"/>
    <mergeCell ref="AF60:AH61"/>
    <mergeCell ref="AI60:AK61"/>
    <mergeCell ref="AL60:AN61"/>
    <mergeCell ref="F61:G61"/>
    <mergeCell ref="J61:K61"/>
    <mergeCell ref="N61:O61"/>
    <mergeCell ref="S61:T61"/>
    <mergeCell ref="V64:V65"/>
    <mergeCell ref="W64:Y64"/>
    <mergeCell ref="Z64:AB64"/>
    <mergeCell ref="AC64:AE64"/>
    <mergeCell ref="AF64:AH64"/>
    <mergeCell ref="AI64:AK64"/>
    <mergeCell ref="AL62:AN62"/>
    <mergeCell ref="W63:Y63"/>
    <mergeCell ref="Z63:AB63"/>
    <mergeCell ref="AC63:AE63"/>
    <mergeCell ref="AF63:AH63"/>
    <mergeCell ref="AI63:AK63"/>
    <mergeCell ref="AL63:AN63"/>
    <mergeCell ref="V62:V63"/>
    <mergeCell ref="W62:Y62"/>
    <mergeCell ref="Z62:AB62"/>
    <mergeCell ref="AC62:AE62"/>
    <mergeCell ref="AF62:AH62"/>
    <mergeCell ref="AI62:AK62"/>
    <mergeCell ref="W66:Y66"/>
    <mergeCell ref="Z66:AB66"/>
    <mergeCell ref="AC66:AE66"/>
    <mergeCell ref="AF66:AH66"/>
    <mergeCell ref="AI66:AK66"/>
    <mergeCell ref="AL66:AN66"/>
    <mergeCell ref="AL64:AN64"/>
    <mergeCell ref="W65:Y65"/>
    <mergeCell ref="Z65:AB65"/>
    <mergeCell ref="AC65:AE65"/>
    <mergeCell ref="AF65:AH65"/>
    <mergeCell ref="AI65:AK65"/>
    <mergeCell ref="AL65:AN65"/>
    <mergeCell ref="R97:T97"/>
    <mergeCell ref="E120:G120"/>
    <mergeCell ref="I120:K120"/>
    <mergeCell ref="M120:O120"/>
    <mergeCell ref="R120:T120"/>
    <mergeCell ref="W120:Y121"/>
    <mergeCell ref="AL67:AN67"/>
    <mergeCell ref="E90:G90"/>
    <mergeCell ref="I90:K90"/>
    <mergeCell ref="M90:O90"/>
    <mergeCell ref="R90:T90"/>
    <mergeCell ref="F91:G91"/>
    <mergeCell ref="J91:K91"/>
    <mergeCell ref="N91:O91"/>
    <mergeCell ref="S91:T91"/>
    <mergeCell ref="R67:T67"/>
    <mergeCell ref="W67:Y67"/>
    <mergeCell ref="Z67:AB67"/>
    <mergeCell ref="AC67:AE67"/>
    <mergeCell ref="AF67:AH67"/>
    <mergeCell ref="AI67:AK67"/>
    <mergeCell ref="Z120:AB121"/>
    <mergeCell ref="AC120:AE121"/>
    <mergeCell ref="AF120:AH121"/>
    <mergeCell ref="AI120:AK121"/>
    <mergeCell ref="AL120:AN121"/>
    <mergeCell ref="F121:G121"/>
    <mergeCell ref="J121:K121"/>
    <mergeCell ref="N121:O121"/>
    <mergeCell ref="S121:T121"/>
    <mergeCell ref="V124:V125"/>
    <mergeCell ref="W124:Y124"/>
    <mergeCell ref="Z124:AB124"/>
    <mergeCell ref="AC124:AE124"/>
    <mergeCell ref="AF124:AH124"/>
    <mergeCell ref="AI124:AK124"/>
    <mergeCell ref="AL122:AN122"/>
    <mergeCell ref="W123:Y123"/>
    <mergeCell ref="Z123:AB123"/>
    <mergeCell ref="AC123:AE123"/>
    <mergeCell ref="AF123:AH123"/>
    <mergeCell ref="AI123:AK123"/>
    <mergeCell ref="AL123:AN123"/>
    <mergeCell ref="V122:V123"/>
    <mergeCell ref="W122:Y122"/>
    <mergeCell ref="Z122:AB122"/>
    <mergeCell ref="AC122:AE122"/>
    <mergeCell ref="AF122:AH122"/>
    <mergeCell ref="AI122:AK122"/>
    <mergeCell ref="W126:Y126"/>
    <mergeCell ref="Z126:AB126"/>
    <mergeCell ref="AC126:AE126"/>
    <mergeCell ref="AF126:AH126"/>
    <mergeCell ref="AI126:AK126"/>
    <mergeCell ref="AL126:AN126"/>
    <mergeCell ref="AL124:AN124"/>
    <mergeCell ref="W125:Y125"/>
    <mergeCell ref="Z125:AB125"/>
    <mergeCell ref="AC125:AE125"/>
    <mergeCell ref="AF125:AH125"/>
    <mergeCell ref="AI125:AK125"/>
    <mergeCell ref="AL125:AN125"/>
    <mergeCell ref="AI151:AK152"/>
    <mergeCell ref="AL151:AN152"/>
    <mergeCell ref="F152:G152"/>
    <mergeCell ref="J152:K152"/>
    <mergeCell ref="N152:O152"/>
    <mergeCell ref="S152:T152"/>
    <mergeCell ref="AL127:AN127"/>
    <mergeCell ref="G149:O149"/>
    <mergeCell ref="E151:G151"/>
    <mergeCell ref="I151:K151"/>
    <mergeCell ref="M151:O151"/>
    <mergeCell ref="R151:T151"/>
    <mergeCell ref="W151:Y152"/>
    <mergeCell ref="Z151:AB152"/>
    <mergeCell ref="AC151:AE152"/>
    <mergeCell ref="AF151:AH152"/>
    <mergeCell ref="R127:T127"/>
    <mergeCell ref="W127:Y127"/>
    <mergeCell ref="Z127:AB127"/>
    <mergeCell ref="AC127:AE127"/>
    <mergeCell ref="AF127:AH127"/>
    <mergeCell ref="AI127:AK127"/>
    <mergeCell ref="V155:V156"/>
    <mergeCell ref="W155:Y155"/>
    <mergeCell ref="Z155:AB155"/>
    <mergeCell ref="AC155:AE155"/>
    <mergeCell ref="AF155:AH155"/>
    <mergeCell ref="AI155:AK155"/>
    <mergeCell ref="AL153:AN153"/>
    <mergeCell ref="W154:Y154"/>
    <mergeCell ref="Z154:AB154"/>
    <mergeCell ref="AC154:AE154"/>
    <mergeCell ref="AF154:AH154"/>
    <mergeCell ref="AI154:AK154"/>
    <mergeCell ref="AL154:AN154"/>
    <mergeCell ref="V153:V154"/>
    <mergeCell ref="W153:Y153"/>
    <mergeCell ref="Z153:AB153"/>
    <mergeCell ref="AC153:AE153"/>
    <mergeCell ref="AF153:AH153"/>
    <mergeCell ref="AI153:AK153"/>
    <mergeCell ref="W157:Y157"/>
    <mergeCell ref="Z157:AB157"/>
    <mergeCell ref="AC157:AE157"/>
    <mergeCell ref="AF157:AH157"/>
    <mergeCell ref="AI157:AK157"/>
    <mergeCell ref="AL157:AN157"/>
    <mergeCell ref="AL155:AN155"/>
    <mergeCell ref="W156:Y156"/>
    <mergeCell ref="Z156:AB156"/>
    <mergeCell ref="AC156:AE156"/>
    <mergeCell ref="AF156:AH156"/>
    <mergeCell ref="AI156:AK156"/>
    <mergeCell ref="AL156:AN156"/>
    <mergeCell ref="AI180:AK181"/>
    <mergeCell ref="AL180:AN181"/>
    <mergeCell ref="F181:G181"/>
    <mergeCell ref="J181:K181"/>
    <mergeCell ref="N181:O181"/>
    <mergeCell ref="S181:T181"/>
    <mergeCell ref="AL158:AN158"/>
    <mergeCell ref="G178:S178"/>
    <mergeCell ref="E180:G180"/>
    <mergeCell ref="I180:K180"/>
    <mergeCell ref="M180:O180"/>
    <mergeCell ref="R180:T180"/>
    <mergeCell ref="W180:Y181"/>
    <mergeCell ref="Z180:AB181"/>
    <mergeCell ref="AC180:AE181"/>
    <mergeCell ref="AF180:AH181"/>
    <mergeCell ref="R158:T158"/>
    <mergeCell ref="W158:Y158"/>
    <mergeCell ref="Z158:AB158"/>
    <mergeCell ref="AC158:AE158"/>
    <mergeCell ref="AF158:AH158"/>
    <mergeCell ref="AI158:AK158"/>
    <mergeCell ref="AL182:AN182"/>
    <mergeCell ref="W183:Y183"/>
    <mergeCell ref="Z183:AB183"/>
    <mergeCell ref="AC183:AE183"/>
    <mergeCell ref="AF183:AH183"/>
    <mergeCell ref="AI183:AK183"/>
    <mergeCell ref="AL183:AN183"/>
    <mergeCell ref="V182:V183"/>
    <mergeCell ref="W182:Y182"/>
    <mergeCell ref="Z182:AB182"/>
    <mergeCell ref="AC182:AE182"/>
    <mergeCell ref="AF182:AH182"/>
    <mergeCell ref="AI182:AK182"/>
    <mergeCell ref="AL184:AN184"/>
    <mergeCell ref="W185:Y185"/>
    <mergeCell ref="Z185:AB185"/>
    <mergeCell ref="AC185:AE185"/>
    <mergeCell ref="AF185:AH185"/>
    <mergeCell ref="AI185:AK185"/>
    <mergeCell ref="AL185:AN185"/>
    <mergeCell ref="V184:V185"/>
    <mergeCell ref="W184:Y184"/>
    <mergeCell ref="Z184:AB184"/>
    <mergeCell ref="AC184:AE184"/>
    <mergeCell ref="AF184:AH184"/>
    <mergeCell ref="AI184:AK184"/>
    <mergeCell ref="AL187:AN187"/>
    <mergeCell ref="R187:T187"/>
    <mergeCell ref="W187:Y187"/>
    <mergeCell ref="Z187:AB187"/>
    <mergeCell ref="AC187:AE187"/>
    <mergeCell ref="AF187:AH187"/>
    <mergeCell ref="AI187:AK187"/>
    <mergeCell ref="W186:Y186"/>
    <mergeCell ref="Z186:AB186"/>
    <mergeCell ref="AC186:AE186"/>
    <mergeCell ref="AF186:AH186"/>
    <mergeCell ref="AI186:AK186"/>
    <mergeCell ref="AL186:AN186"/>
  </mergeCells>
  <conditionalFormatting sqref="W9:W11 AF9:AF11 AC11">
    <cfRule type="cellIs" dxfId="111" priority="115" operator="lessThan">
      <formula>0</formula>
    </cfRule>
    <cfRule type="cellIs" dxfId="110" priority="116" operator="greaterThan">
      <formula>0</formula>
    </cfRule>
  </conditionalFormatting>
  <conditionalFormatting sqref="W36:W39 AF36:AF39">
    <cfRule type="cellIs" dxfId="109" priority="81" operator="greaterThan">
      <formula>0</formula>
    </cfRule>
    <cfRule type="cellIs" dxfId="108" priority="80" operator="lessThan">
      <formula>0</formula>
    </cfRule>
  </conditionalFormatting>
  <conditionalFormatting sqref="W66:W68 AF66:AF68">
    <cfRule type="cellIs" dxfId="107" priority="67" operator="greaterThan">
      <formula>0</formula>
    </cfRule>
    <cfRule type="cellIs" dxfId="106" priority="66" operator="lessThan">
      <formula>0</formula>
    </cfRule>
  </conditionalFormatting>
  <conditionalFormatting sqref="W96">
    <cfRule type="cellIs" dxfId="105" priority="102" operator="lessThan">
      <formula>0</formula>
    </cfRule>
    <cfRule type="cellIs" dxfId="104" priority="103" operator="greaterThan">
      <formula>0</formula>
    </cfRule>
  </conditionalFormatting>
  <conditionalFormatting sqref="W98 AC98 AF98">
    <cfRule type="cellIs" dxfId="103" priority="101" operator="greaterThan">
      <formula>0</formula>
    </cfRule>
    <cfRule type="cellIs" dxfId="102" priority="100" operator="lessThan">
      <formula>0</formula>
    </cfRule>
  </conditionalFormatting>
  <conditionalFormatting sqref="W126:W127 AF126:AF127">
    <cfRule type="cellIs" dxfId="101" priority="50" operator="lessThan">
      <formula>0</formula>
    </cfRule>
    <cfRule type="cellIs" dxfId="100" priority="51" operator="greaterThan">
      <formula>0</formula>
    </cfRule>
  </conditionalFormatting>
  <conditionalFormatting sqref="W157:W158 AF157:AF158">
    <cfRule type="cellIs" dxfId="99" priority="35" operator="greaterThan">
      <formula>0</formula>
    </cfRule>
    <cfRule type="cellIs" dxfId="98" priority="34" operator="lessThan">
      <formula>0</formula>
    </cfRule>
  </conditionalFormatting>
  <conditionalFormatting sqref="W186:W188 AF186:AF188">
    <cfRule type="cellIs" dxfId="97" priority="13" operator="lessThan">
      <formula>0</formula>
    </cfRule>
    <cfRule type="cellIs" dxfId="96" priority="14" operator="greaterThan">
      <formula>0</formula>
    </cfRule>
  </conditionalFormatting>
  <conditionalFormatting sqref="Z9:Z11">
    <cfRule type="cellIs" dxfId="95" priority="112" operator="greaterThan">
      <formula>0</formula>
    </cfRule>
    <cfRule type="cellIs" dxfId="94" priority="111" operator="lessThan">
      <formula>0</formula>
    </cfRule>
  </conditionalFormatting>
  <conditionalFormatting sqref="Z36:Z39">
    <cfRule type="cellIs" dxfId="93" priority="77" operator="greaterThan">
      <formula>0</formula>
    </cfRule>
    <cfRule type="cellIs" dxfId="92" priority="76" operator="lessThan">
      <formula>0</formula>
    </cfRule>
  </conditionalFormatting>
  <conditionalFormatting sqref="Z66:Z68">
    <cfRule type="cellIs" dxfId="91" priority="63" operator="greaterThan">
      <formula>0</formula>
    </cfRule>
    <cfRule type="cellIs" dxfId="90" priority="62" operator="lessThan">
      <formula>0</formula>
    </cfRule>
  </conditionalFormatting>
  <conditionalFormatting sqref="Z98">
    <cfRule type="cellIs" dxfId="89" priority="99" operator="greaterThan">
      <formula>0</formula>
    </cfRule>
    <cfRule type="cellIs" dxfId="88" priority="98" operator="lessThan">
      <formula>0</formula>
    </cfRule>
  </conditionalFormatting>
  <conditionalFormatting sqref="Z126:Z127">
    <cfRule type="cellIs" dxfId="87" priority="47" operator="greaterThan">
      <formula>0</formula>
    </cfRule>
    <cfRule type="cellIs" dxfId="86" priority="46" operator="lessThan">
      <formula>0</formula>
    </cfRule>
  </conditionalFormatting>
  <conditionalFormatting sqref="Z157:Z158">
    <cfRule type="cellIs" dxfId="85" priority="31" operator="greaterThan">
      <formula>0</formula>
    </cfRule>
    <cfRule type="cellIs" dxfId="84" priority="30" operator="lessThan">
      <formula>0</formula>
    </cfRule>
  </conditionalFormatting>
  <conditionalFormatting sqref="Z186:Z188">
    <cfRule type="cellIs" dxfId="83" priority="10" operator="greaterThan">
      <formula>0</formula>
    </cfRule>
    <cfRule type="cellIs" dxfId="82" priority="9" operator="lessThan">
      <formula>0</formula>
    </cfRule>
  </conditionalFormatting>
  <conditionalFormatting sqref="Z11:AB12">
    <cfRule type="cellIs" dxfId="81" priority="109" operator="greaterThan">
      <formula>0</formula>
    </cfRule>
  </conditionalFormatting>
  <conditionalFormatting sqref="Z68:AB69">
    <cfRule type="cellIs" dxfId="80" priority="104" operator="greaterThan">
      <formula>0</formula>
    </cfRule>
  </conditionalFormatting>
  <conditionalFormatting sqref="Z98:AB98 AI36:AI39 Z36:Z39 AI66:AI68 Z66:Z67 Z9:Z10 AI9:AI11 AI98">
    <cfRule type="cellIs" dxfId="79" priority="110" operator="greaterThan">
      <formula>0</formula>
    </cfRule>
  </conditionalFormatting>
  <conditionalFormatting sqref="Z99:AB99">
    <cfRule type="cellIs" dxfId="78" priority="97" operator="greaterThan">
      <formula>0</formula>
    </cfRule>
  </conditionalFormatting>
  <conditionalFormatting sqref="Z188:AB189">
    <cfRule type="cellIs" dxfId="77" priority="16" operator="greaterThan">
      <formula>0</formula>
    </cfRule>
  </conditionalFormatting>
  <conditionalFormatting sqref="Z96:AN97">
    <cfRule type="cellIs" dxfId="76" priority="96" operator="greaterThan">
      <formula>0</formula>
    </cfRule>
    <cfRule type="cellIs" dxfId="75" priority="95" operator="lessThan">
      <formula>0</formula>
    </cfRule>
  </conditionalFormatting>
  <conditionalFormatting sqref="AC68">
    <cfRule type="cellIs" dxfId="74" priority="108" operator="greaterThan">
      <formula>0</formula>
    </cfRule>
    <cfRule type="cellIs" dxfId="73" priority="107" operator="lessThan">
      <formula>0</formula>
    </cfRule>
  </conditionalFormatting>
  <conditionalFormatting sqref="AC188">
    <cfRule type="cellIs" dxfId="72" priority="20" operator="greaterThan">
      <formula>0</formula>
    </cfRule>
    <cfRule type="cellIs" dxfId="71" priority="19" operator="lessThan">
      <formula>0</formula>
    </cfRule>
  </conditionalFormatting>
  <conditionalFormatting sqref="AC9:AE9">
    <cfRule type="cellIs" dxfId="70" priority="87" operator="lessThan">
      <formula>-1821</formula>
    </cfRule>
  </conditionalFormatting>
  <conditionalFormatting sqref="AC9:AE10">
    <cfRule type="cellIs" dxfId="69" priority="86" operator="lessThan">
      <formula>0</formula>
    </cfRule>
  </conditionalFormatting>
  <conditionalFormatting sqref="AC36:AE36 AC38:AE38">
    <cfRule type="cellIs" dxfId="68" priority="73" operator="lessThan">
      <formula>-1821</formula>
    </cfRule>
  </conditionalFormatting>
  <conditionalFormatting sqref="AC36:AE39">
    <cfRule type="cellIs" dxfId="67" priority="72" operator="lessThan">
      <formula>0</formula>
    </cfRule>
  </conditionalFormatting>
  <conditionalFormatting sqref="AC66:AE66">
    <cfRule type="cellIs" dxfId="66" priority="59" operator="lessThan">
      <formula>-1821</formula>
    </cfRule>
  </conditionalFormatting>
  <conditionalFormatting sqref="AC66:AE67">
    <cfRule type="cellIs" dxfId="65" priority="58" operator="lessThan">
      <formula>0</formula>
    </cfRule>
  </conditionalFormatting>
  <conditionalFormatting sqref="AC126:AE126">
    <cfRule type="cellIs" dxfId="64" priority="43" operator="lessThan">
      <formula>-1821</formula>
    </cfRule>
  </conditionalFormatting>
  <conditionalFormatting sqref="AC126:AE127">
    <cfRule type="cellIs" dxfId="63" priority="42" operator="lessThan">
      <formula>0</formula>
    </cfRule>
  </conditionalFormatting>
  <conditionalFormatting sqref="AC157:AE157">
    <cfRule type="cellIs" dxfId="62" priority="27" operator="lessThan">
      <formula>-1821</formula>
    </cfRule>
  </conditionalFormatting>
  <conditionalFormatting sqref="AC157:AE158">
    <cfRule type="cellIs" dxfId="61" priority="26" operator="lessThan">
      <formula>0</formula>
    </cfRule>
  </conditionalFormatting>
  <conditionalFormatting sqref="AC186:AE186">
    <cfRule type="cellIs" dxfId="60" priority="6" operator="lessThan">
      <formula>-1821</formula>
    </cfRule>
  </conditionalFormatting>
  <conditionalFormatting sqref="AC186:AE187">
    <cfRule type="cellIs" dxfId="59" priority="5" operator="lessThan">
      <formula>0</formula>
    </cfRule>
  </conditionalFormatting>
  <conditionalFormatting sqref="AI9:AI10">
    <cfRule type="cellIs" dxfId="58" priority="114" operator="greaterThan">
      <formula>0</formula>
    </cfRule>
    <cfRule type="cellIs" dxfId="57" priority="113" operator="lessThan">
      <formula>0</formula>
    </cfRule>
  </conditionalFormatting>
  <conditionalFormatting sqref="AI36:AI39">
    <cfRule type="cellIs" dxfId="56" priority="79" operator="greaterThan">
      <formula>0</formula>
    </cfRule>
    <cfRule type="cellIs" dxfId="55" priority="78" operator="lessThan">
      <formula>0</formula>
    </cfRule>
  </conditionalFormatting>
  <conditionalFormatting sqref="AI66:AI67">
    <cfRule type="cellIs" dxfId="54" priority="65" operator="greaterThan">
      <formula>0</formula>
    </cfRule>
    <cfRule type="cellIs" dxfId="53" priority="64" operator="lessThan">
      <formula>0</formula>
    </cfRule>
  </conditionalFormatting>
  <conditionalFormatting sqref="AI96 Z96:AB97">
    <cfRule type="cellIs" dxfId="52" priority="94" operator="greaterThan">
      <formula>0</formula>
    </cfRule>
  </conditionalFormatting>
  <conditionalFormatting sqref="AI126:AI127 Z126:Z127">
    <cfRule type="cellIs" dxfId="51" priority="53" operator="greaterThan">
      <formula>0</formula>
    </cfRule>
  </conditionalFormatting>
  <conditionalFormatting sqref="AI126:AI127">
    <cfRule type="cellIs" dxfId="50" priority="48" operator="lessThan">
      <formula>0</formula>
    </cfRule>
    <cfRule type="cellIs" dxfId="49" priority="49" operator="greaterThan">
      <formula>0</formula>
    </cfRule>
  </conditionalFormatting>
  <conditionalFormatting sqref="AI157:AI158 Z157:Z158">
    <cfRule type="cellIs" dxfId="48" priority="37" operator="greaterThan">
      <formula>0</formula>
    </cfRule>
  </conditionalFormatting>
  <conditionalFormatting sqref="AI157:AI158">
    <cfRule type="cellIs" dxfId="47" priority="33" operator="greaterThan">
      <formula>0</formula>
    </cfRule>
    <cfRule type="cellIs" dxfId="46" priority="32" operator="lessThan">
      <formula>0</formula>
    </cfRule>
  </conditionalFormatting>
  <conditionalFormatting sqref="AI186:AI187">
    <cfRule type="cellIs" dxfId="45" priority="11" operator="lessThan">
      <formula>0</formula>
    </cfRule>
    <cfRule type="cellIs" dxfId="44" priority="12" operator="greaterThan">
      <formula>0</formula>
    </cfRule>
  </conditionalFormatting>
  <conditionalFormatting sqref="AI186:AI188 Z186:Z187">
    <cfRule type="cellIs" dxfId="43" priority="21" operator="greaterThan">
      <formula>0</formula>
    </cfRule>
  </conditionalFormatting>
  <conditionalFormatting sqref="AI9:AK10">
    <cfRule type="cellIs" dxfId="42" priority="82" operator="lessThan">
      <formula>0</formula>
    </cfRule>
  </conditionalFormatting>
  <conditionalFormatting sqref="AI36:AK39">
    <cfRule type="cellIs" dxfId="41" priority="68" operator="lessThan">
      <formula>0</formula>
    </cfRule>
  </conditionalFormatting>
  <conditionalFormatting sqref="AI66:AK67">
    <cfRule type="cellIs" dxfId="40" priority="54" operator="lessThan">
      <formula>0</formula>
    </cfRule>
  </conditionalFormatting>
  <conditionalFormatting sqref="AI126:AK127">
    <cfRule type="cellIs" dxfId="39" priority="38" operator="lessThan">
      <formula>0</formula>
    </cfRule>
  </conditionalFormatting>
  <conditionalFormatting sqref="AI157:AK158">
    <cfRule type="cellIs" dxfId="38" priority="22" operator="lessThan">
      <formula>0</formula>
    </cfRule>
  </conditionalFormatting>
  <conditionalFormatting sqref="AI186:AK187">
    <cfRule type="cellIs" dxfId="37" priority="1" operator="lessThan">
      <formula>0</formula>
    </cfRule>
  </conditionalFormatting>
  <conditionalFormatting sqref="AI9:AN10">
    <cfRule type="cellIs" dxfId="36" priority="85" operator="lessThan">
      <formula>0</formula>
    </cfRule>
  </conditionalFormatting>
  <conditionalFormatting sqref="AI36:AN39">
    <cfRule type="cellIs" dxfId="35" priority="71" operator="lessThan">
      <formula>0</formula>
    </cfRule>
  </conditionalFormatting>
  <conditionalFormatting sqref="AI66:AN67">
    <cfRule type="cellIs" dxfId="34" priority="57" operator="lessThan">
      <formula>0</formula>
    </cfRule>
  </conditionalFormatting>
  <conditionalFormatting sqref="AI126:AN127">
    <cfRule type="cellIs" dxfId="33" priority="41" operator="lessThan">
      <formula>0</formula>
    </cfRule>
  </conditionalFormatting>
  <conditionalFormatting sqref="AI157:AN158">
    <cfRule type="cellIs" dxfId="32" priority="25" operator="lessThan">
      <formula>0</formula>
    </cfRule>
  </conditionalFormatting>
  <conditionalFormatting sqref="AI186:AN187">
    <cfRule type="cellIs" dxfId="31" priority="4" operator="lessThan">
      <formula>0</formula>
    </cfRule>
  </conditionalFormatting>
  <conditionalFormatting sqref="AL9:AL10">
    <cfRule type="cellIs" dxfId="30" priority="92" operator="lessThan">
      <formula>0</formula>
    </cfRule>
    <cfRule type="cellIs" dxfId="29" priority="93" operator="greaterThan">
      <formula>0</formula>
    </cfRule>
  </conditionalFormatting>
  <conditionalFormatting sqref="AL36:AL39 AL66:AL68 AL9:AL11 AL98">
    <cfRule type="cellIs" dxfId="28" priority="91" operator="greaterThan">
      <formula>0</formula>
    </cfRule>
  </conditionalFormatting>
  <conditionalFormatting sqref="AL36:AL39">
    <cfRule type="cellIs" dxfId="27" priority="75" operator="greaterThan">
      <formula>0</formula>
    </cfRule>
    <cfRule type="cellIs" dxfId="26" priority="74" operator="lessThan">
      <formula>0</formula>
    </cfRule>
  </conditionalFormatting>
  <conditionalFormatting sqref="AL66:AL67">
    <cfRule type="cellIs" dxfId="25" priority="61" operator="greaterThan">
      <formula>0</formula>
    </cfRule>
    <cfRule type="cellIs" dxfId="24" priority="60" operator="lessThan">
      <formula>0</formula>
    </cfRule>
  </conditionalFormatting>
  <conditionalFormatting sqref="AL96">
    <cfRule type="cellIs" dxfId="23" priority="89" operator="lessThan">
      <formula>0</formula>
    </cfRule>
    <cfRule type="cellIs" dxfId="22" priority="90" operator="greaterThan">
      <formula>0</formula>
    </cfRule>
    <cfRule type="cellIs" dxfId="21" priority="88" operator="greaterThan">
      <formula>0</formula>
    </cfRule>
  </conditionalFormatting>
  <conditionalFormatting sqref="AL126:AL127">
    <cfRule type="cellIs" dxfId="20" priority="52" operator="greaterThan">
      <formula>0</formula>
    </cfRule>
    <cfRule type="cellIs" dxfId="19" priority="44" operator="lessThan">
      <formula>0</formula>
    </cfRule>
    <cfRule type="cellIs" dxfId="18" priority="45" operator="greaterThan">
      <formula>0</formula>
    </cfRule>
  </conditionalFormatting>
  <conditionalFormatting sqref="AL157:AL158">
    <cfRule type="cellIs" dxfId="17" priority="29" operator="greaterThan">
      <formula>0</formula>
    </cfRule>
    <cfRule type="cellIs" dxfId="16" priority="36" operator="greaterThan">
      <formula>0</formula>
    </cfRule>
    <cfRule type="cellIs" dxfId="15" priority="28" operator="lessThan">
      <formula>0</formula>
    </cfRule>
  </conditionalFormatting>
  <conditionalFormatting sqref="AL186:AL187">
    <cfRule type="cellIs" dxfId="14" priority="8" operator="greaterThan">
      <formula>0</formula>
    </cfRule>
    <cfRule type="cellIs" dxfId="13" priority="7" operator="lessThan">
      <formula>0</formula>
    </cfRule>
  </conditionalFormatting>
  <conditionalFormatting sqref="AL186:AL188">
    <cfRule type="cellIs" dxfId="12" priority="15" operator="greaterThan">
      <formula>0</formula>
    </cfRule>
  </conditionalFormatting>
  <conditionalFormatting sqref="AL9:AN9">
    <cfRule type="cellIs" dxfId="11" priority="84" operator="lessThan">
      <formula>-1688</formula>
    </cfRule>
  </conditionalFormatting>
  <conditionalFormatting sqref="AL10:AN10">
    <cfRule type="cellIs" dxfId="10" priority="83" operator="lessThan">
      <formula>0</formula>
    </cfRule>
  </conditionalFormatting>
  <conditionalFormatting sqref="AL36:AN36 AL38:AN38">
    <cfRule type="cellIs" dxfId="9" priority="70" operator="lessThan">
      <formula>-1688</formula>
    </cfRule>
  </conditionalFormatting>
  <conditionalFormatting sqref="AL37:AN37 AL39:AN39">
    <cfRule type="cellIs" dxfId="8" priority="69" operator="lessThan">
      <formula>0</formula>
    </cfRule>
  </conditionalFormatting>
  <conditionalFormatting sqref="AL66:AN66">
    <cfRule type="cellIs" dxfId="7" priority="56" operator="lessThan">
      <formula>-1688</formula>
    </cfRule>
  </conditionalFormatting>
  <conditionalFormatting sqref="AL67:AN67">
    <cfRule type="cellIs" dxfId="6" priority="55" operator="lessThan">
      <formula>0</formula>
    </cfRule>
  </conditionalFormatting>
  <conditionalFormatting sqref="AL126:AN126">
    <cfRule type="cellIs" dxfId="5" priority="40" operator="lessThan">
      <formula>-1688</formula>
    </cfRule>
  </conditionalFormatting>
  <conditionalFormatting sqref="AL127:AN127">
    <cfRule type="cellIs" dxfId="4" priority="39" operator="lessThan">
      <formula>0</formula>
    </cfRule>
  </conditionalFormatting>
  <conditionalFormatting sqref="AL157:AN157">
    <cfRule type="cellIs" dxfId="3" priority="24" operator="lessThan">
      <formula>-1688</formula>
    </cfRule>
  </conditionalFormatting>
  <conditionalFormatting sqref="AL158:AN158">
    <cfRule type="cellIs" dxfId="2" priority="23" operator="lessThan">
      <formula>0</formula>
    </cfRule>
  </conditionalFormatting>
  <conditionalFormatting sqref="AL186:AN186">
    <cfRule type="cellIs" dxfId="1" priority="3" operator="lessThan">
      <formula>-1688</formula>
    </cfRule>
  </conditionalFormatting>
  <conditionalFormatting sqref="AL187:AN187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96"/>
  <sheetViews>
    <sheetView showGridLines="0" workbookViewId="0">
      <selection activeCell="K20" sqref="K20"/>
    </sheetView>
  </sheetViews>
  <sheetFormatPr defaultRowHeight="15" x14ac:dyDescent="0.25"/>
  <cols>
    <col min="1" max="1" width="19.7109375" customWidth="1"/>
    <col min="2" max="2" width="6.85546875" hidden="1" customWidth="1"/>
    <col min="3" max="10" width="14.140625" customWidth="1"/>
    <col min="11" max="11" width="14" bestFit="1" customWidth="1"/>
    <col min="12" max="12" width="14.140625" customWidth="1"/>
    <col min="13" max="13" width="13.28515625" bestFit="1" customWidth="1"/>
  </cols>
  <sheetData>
    <row r="1" spans="1:12" ht="23.45" customHeight="1" x14ac:dyDescent="0.35">
      <c r="A1" s="782" t="s">
        <v>38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</row>
    <row r="2" spans="1:12" ht="29.1" customHeight="1" x14ac:dyDescent="0.25">
      <c r="A2" s="93" t="s">
        <v>39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40</v>
      </c>
      <c r="K2" s="23" t="s">
        <v>10</v>
      </c>
      <c r="L2" s="21" t="s">
        <v>11</v>
      </c>
    </row>
    <row r="3" spans="1:12" x14ac:dyDescent="0.25">
      <c r="A3" s="18" t="s">
        <v>12</v>
      </c>
      <c r="B3" s="17" t="s">
        <v>41</v>
      </c>
      <c r="C3" s="20" t="s">
        <v>39</v>
      </c>
      <c r="D3" s="24" t="s">
        <v>39</v>
      </c>
      <c r="E3" s="26" t="s">
        <v>39</v>
      </c>
      <c r="F3" s="24" t="s">
        <v>39</v>
      </c>
      <c r="G3" s="26" t="s">
        <v>39</v>
      </c>
      <c r="H3" s="24" t="s">
        <v>39</v>
      </c>
      <c r="I3" s="26" t="s">
        <v>39</v>
      </c>
      <c r="J3" s="24" t="s">
        <v>39</v>
      </c>
      <c r="K3" s="24" t="s">
        <v>39</v>
      </c>
      <c r="L3" s="22" t="s">
        <v>15</v>
      </c>
    </row>
    <row r="4" spans="1:12" x14ac:dyDescent="0.25">
      <c r="A4" s="728" t="s">
        <v>16</v>
      </c>
      <c r="B4" s="4">
        <v>461.55999999999995</v>
      </c>
      <c r="C4" s="11">
        <v>3513336.72</v>
      </c>
      <c r="D4" s="6">
        <v>22346622.780000009</v>
      </c>
      <c r="E4" s="11">
        <v>2616131.8100000015</v>
      </c>
      <c r="F4" s="6">
        <v>15284097.470000001</v>
      </c>
      <c r="G4" s="11">
        <v>16780190.190000013</v>
      </c>
      <c r="H4" s="6">
        <v>3679803.4800000009</v>
      </c>
      <c r="I4" s="11">
        <v>1832306.2899999998</v>
      </c>
      <c r="J4" s="6">
        <v>1795722.3000000005</v>
      </c>
      <c r="K4" s="15">
        <f>SUM(C4:J4)</f>
        <v>67848211.040000021</v>
      </c>
      <c r="L4" s="729">
        <f>K4/$K$24</f>
        <v>0.46594454634076832</v>
      </c>
    </row>
    <row r="5" spans="1:12" x14ac:dyDescent="0.25">
      <c r="A5" s="730" t="s">
        <v>42</v>
      </c>
      <c r="C5" s="12">
        <f>C4/$K$4</f>
        <v>5.1782304443203475E-2</v>
      </c>
      <c r="D5" s="5">
        <f t="shared" ref="D5:J5" si="0">D4/$K$4</f>
        <v>0.32936200435447771</v>
      </c>
      <c r="E5" s="12">
        <f t="shared" si="0"/>
        <v>3.8558596754417841E-2</v>
      </c>
      <c r="F5" s="5">
        <f t="shared" si="0"/>
        <v>0.22526898256741415</v>
      </c>
      <c r="G5" s="12">
        <f t="shared" si="0"/>
        <v>0.24731956720431766</v>
      </c>
      <c r="H5" s="5">
        <f t="shared" si="0"/>
        <v>5.4235821749678365E-2</v>
      </c>
      <c r="I5" s="12">
        <f t="shared" si="0"/>
        <v>2.700596319215787E-2</v>
      </c>
      <c r="J5" s="5">
        <f t="shared" si="0"/>
        <v>2.6466759734333004E-2</v>
      </c>
      <c r="K5" s="12">
        <f>K4/$K$4</f>
        <v>1</v>
      </c>
      <c r="L5" s="731"/>
    </row>
    <row r="6" spans="1:12" x14ac:dyDescent="0.25">
      <c r="A6" s="732" t="s">
        <v>19</v>
      </c>
      <c r="B6" s="4"/>
      <c r="C6" s="13">
        <v>28971.789999999994</v>
      </c>
      <c r="D6" s="6">
        <v>992912.44000000029</v>
      </c>
      <c r="E6" s="13">
        <v>99801.569999999992</v>
      </c>
      <c r="F6" s="6">
        <v>577670.54000000015</v>
      </c>
      <c r="G6" s="13">
        <v>345338.64000000013</v>
      </c>
      <c r="H6" s="6">
        <v>128398</v>
      </c>
      <c r="I6" s="13">
        <v>8759.07</v>
      </c>
      <c r="J6" s="6">
        <v>15389.529999999999</v>
      </c>
      <c r="K6" s="15">
        <f>SUM(C6:J6)</f>
        <v>2197241.58</v>
      </c>
      <c r="L6" s="733">
        <f>K6/$K$24</f>
        <v>1.5089458004877893E-2</v>
      </c>
    </row>
    <row r="7" spans="1:12" x14ac:dyDescent="0.25">
      <c r="A7" s="730" t="s">
        <v>42</v>
      </c>
      <c r="C7" s="12">
        <f>C6/$K$6</f>
        <v>1.3185527828942684E-2</v>
      </c>
      <c r="D7" s="5">
        <f t="shared" ref="D7:K7" si="1">D6/$K$6</f>
        <v>0.45189042890768538</v>
      </c>
      <c r="E7" s="12">
        <f t="shared" si="1"/>
        <v>4.5421300465286113E-2</v>
      </c>
      <c r="F7" s="5">
        <f t="shared" si="1"/>
        <v>0.26290715834714912</v>
      </c>
      <c r="G7" s="12">
        <f t="shared" si="1"/>
        <v>0.15716917208530165</v>
      </c>
      <c r="H7" s="5">
        <f t="shared" si="1"/>
        <v>5.8435995918118384E-2</v>
      </c>
      <c r="I7" s="12">
        <f t="shared" si="1"/>
        <v>3.9863937036909705E-3</v>
      </c>
      <c r="J7" s="5">
        <f t="shared" si="1"/>
        <v>7.0040227438259196E-3</v>
      </c>
      <c r="K7" s="12">
        <f t="shared" si="1"/>
        <v>1</v>
      </c>
      <c r="L7" s="731"/>
    </row>
    <row r="8" spans="1:12" x14ac:dyDescent="0.25">
      <c r="A8" s="732" t="s">
        <v>20</v>
      </c>
      <c r="B8" s="4">
        <v>33.090000000000003</v>
      </c>
      <c r="C8" s="13">
        <v>3451836.4899999993</v>
      </c>
      <c r="D8" s="6">
        <v>14232255.489999998</v>
      </c>
      <c r="E8" s="13">
        <v>2063144.4300000002</v>
      </c>
      <c r="F8" s="6">
        <v>10380845.669999996</v>
      </c>
      <c r="G8" s="13">
        <v>14191344.989999996</v>
      </c>
      <c r="H8" s="6">
        <v>3283670.7599999988</v>
      </c>
      <c r="I8" s="13">
        <v>1251747</v>
      </c>
      <c r="J8" s="6">
        <v>1056702.6200000001</v>
      </c>
      <c r="K8" s="15">
        <f>SUM(C8:J8)</f>
        <v>49911547.449999981</v>
      </c>
      <c r="L8" s="733">
        <f>K8/$K$24</f>
        <v>0.34276531359161927</v>
      </c>
    </row>
    <row r="9" spans="1:12" x14ac:dyDescent="0.25">
      <c r="A9" s="730" t="s">
        <v>42</v>
      </c>
      <c r="C9" s="12">
        <f>C8/$K$8</f>
        <v>6.9159075732082936E-2</v>
      </c>
      <c r="D9" s="5">
        <f t="shared" ref="D9:K9" si="2">D8/$K$8</f>
        <v>0.28514955390348257</v>
      </c>
      <c r="E9" s="12">
        <f t="shared" si="2"/>
        <v>4.1336014117109909E-2</v>
      </c>
      <c r="F9" s="5">
        <f t="shared" si="2"/>
        <v>0.20798484920547181</v>
      </c>
      <c r="G9" s="12">
        <f t="shared" si="2"/>
        <v>0.28432989388310381</v>
      </c>
      <c r="H9" s="5">
        <f t="shared" si="2"/>
        <v>6.5789800712740681E-2</v>
      </c>
      <c r="I9" s="12">
        <f t="shared" si="2"/>
        <v>2.507930657237117E-2</v>
      </c>
      <c r="J9" s="5">
        <f t="shared" si="2"/>
        <v>2.1171505873637274E-2</v>
      </c>
      <c r="K9" s="12">
        <f t="shared" si="2"/>
        <v>1</v>
      </c>
      <c r="L9" s="731"/>
    </row>
    <row r="10" spans="1:12" x14ac:dyDescent="0.25">
      <c r="A10" s="732" t="s">
        <v>21</v>
      </c>
      <c r="B10" s="4">
        <v>4.05</v>
      </c>
      <c r="C10" s="13">
        <v>204984.90000000002</v>
      </c>
      <c r="D10" s="6">
        <v>2129764.1300000013</v>
      </c>
      <c r="E10" s="13">
        <v>270174.44999999995</v>
      </c>
      <c r="F10" s="6">
        <v>1703842.1900000004</v>
      </c>
      <c r="G10" s="13">
        <v>1710872.9400000004</v>
      </c>
      <c r="H10" s="6">
        <v>351036.35000000009</v>
      </c>
      <c r="I10" s="13">
        <v>143753.76000000015</v>
      </c>
      <c r="J10" s="6">
        <v>145986.39999999991</v>
      </c>
      <c r="K10" s="15">
        <f>SUM(C10:J10)</f>
        <v>6660415.1200000029</v>
      </c>
      <c r="L10" s="733">
        <f>K10/$K$24</f>
        <v>4.5740102118536186E-2</v>
      </c>
    </row>
    <row r="11" spans="1:12" x14ac:dyDescent="0.25">
      <c r="A11" s="730" t="s">
        <v>42</v>
      </c>
      <c r="C11" s="12">
        <f>C10/$K$10</f>
        <v>3.0776595198168361E-2</v>
      </c>
      <c r="D11" s="5">
        <f t="shared" ref="D11:K11" si="3">D10/$K$10</f>
        <v>0.31976447287868154</v>
      </c>
      <c r="E11" s="12">
        <f t="shared" si="3"/>
        <v>4.0564205853883747E-2</v>
      </c>
      <c r="F11" s="5">
        <f t="shared" si="3"/>
        <v>0.25581621555144146</v>
      </c>
      <c r="G11" s="12">
        <f t="shared" si="3"/>
        <v>0.25687181792356506</v>
      </c>
      <c r="H11" s="5">
        <f t="shared" si="3"/>
        <v>5.2704875548357705E-2</v>
      </c>
      <c r="I11" s="12">
        <f t="shared" si="3"/>
        <v>2.1583303354220974E-2</v>
      </c>
      <c r="J11" s="5">
        <f t="shared" si="3"/>
        <v>2.1918513691681105E-2</v>
      </c>
      <c r="K11" s="12">
        <f t="shared" si="3"/>
        <v>1</v>
      </c>
      <c r="L11" s="731"/>
    </row>
    <row r="12" spans="1:12" x14ac:dyDescent="0.25">
      <c r="A12" s="732" t="s">
        <v>22</v>
      </c>
      <c r="B12" s="4"/>
      <c r="C12" s="13">
        <v>10150.43</v>
      </c>
      <c r="D12" s="6">
        <v>163384.25000000003</v>
      </c>
      <c r="E12" s="13">
        <v>22548.799999999996</v>
      </c>
      <c r="F12" s="6">
        <v>79880.649999999994</v>
      </c>
      <c r="G12" s="13">
        <v>124934.34000000003</v>
      </c>
      <c r="H12" s="6">
        <v>24332.050000000003</v>
      </c>
      <c r="I12" s="13">
        <v>2978.54</v>
      </c>
      <c r="J12" s="6">
        <v>3211.2799999999997</v>
      </c>
      <c r="K12" s="15">
        <f>SUM(C12:J12)</f>
        <v>431420.34</v>
      </c>
      <c r="L12" s="733">
        <f>K12/$K$24</f>
        <v>2.9627598358484288E-3</v>
      </c>
    </row>
    <row r="13" spans="1:12" x14ac:dyDescent="0.25">
      <c r="A13" s="730" t="s">
        <v>42</v>
      </c>
      <c r="C13" s="12">
        <f>C12/$K$12</f>
        <v>2.3527935655514063E-2</v>
      </c>
      <c r="D13" s="5">
        <f t="shared" ref="D13:K13" si="4">D12/$K$12</f>
        <v>0.37871244086451744</v>
      </c>
      <c r="E13" s="12">
        <f t="shared" si="4"/>
        <v>5.2266427679325447E-2</v>
      </c>
      <c r="F13" s="5">
        <f t="shared" si="4"/>
        <v>0.18515735720759013</v>
      </c>
      <c r="G13" s="12">
        <f t="shared" si="4"/>
        <v>0.28958843247863564</v>
      </c>
      <c r="H13" s="5">
        <f t="shared" si="4"/>
        <v>5.6399867470319089E-2</v>
      </c>
      <c r="I13" s="12">
        <f t="shared" si="4"/>
        <v>6.9040323875318435E-3</v>
      </c>
      <c r="J13" s="5">
        <f t="shared" si="4"/>
        <v>7.4435062565663904E-3</v>
      </c>
      <c r="K13" s="12">
        <f t="shared" si="4"/>
        <v>1</v>
      </c>
      <c r="L13" s="731"/>
    </row>
    <row r="14" spans="1:12" x14ac:dyDescent="0.25">
      <c r="A14" s="732" t="s">
        <v>23</v>
      </c>
      <c r="B14" s="4"/>
      <c r="C14" s="13">
        <v>158854.65000000002</v>
      </c>
      <c r="D14" s="6">
        <v>2604721.9599999995</v>
      </c>
      <c r="E14" s="13">
        <v>270902.85000000003</v>
      </c>
      <c r="F14" s="6">
        <v>1362981.5900000005</v>
      </c>
      <c r="G14" s="13">
        <v>1382177.67</v>
      </c>
      <c r="H14" s="6">
        <v>368459.10000000033</v>
      </c>
      <c r="I14" s="13">
        <v>72423.789999999994</v>
      </c>
      <c r="J14" s="6">
        <v>80688.459999999977</v>
      </c>
      <c r="K14" s="15">
        <f>SUM(C14:J14)</f>
        <v>6301210.0700000003</v>
      </c>
      <c r="L14" s="733">
        <f>K14/$K$24</f>
        <v>4.3273277547923837E-2</v>
      </c>
    </row>
    <row r="15" spans="1:12" x14ac:dyDescent="0.25">
      <c r="A15" s="730" t="s">
        <v>42</v>
      </c>
      <c r="C15" s="12">
        <f>C14/$K$14</f>
        <v>2.5210181573902046E-2</v>
      </c>
      <c r="D15" s="5">
        <f t="shared" ref="D15:K15" si="5">D14/$K$14</f>
        <v>0.41336853256187339</v>
      </c>
      <c r="E15" s="12">
        <f t="shared" si="5"/>
        <v>4.299219467222111E-2</v>
      </c>
      <c r="F15" s="5">
        <f t="shared" si="5"/>
        <v>0.21630473748036788</v>
      </c>
      <c r="G15" s="12">
        <f t="shared" si="5"/>
        <v>0.21935114916744869</v>
      </c>
      <c r="H15" s="5">
        <f t="shared" si="5"/>
        <v>5.847433999292144E-2</v>
      </c>
      <c r="I15" s="12">
        <f t="shared" si="5"/>
        <v>1.1493632047725079E-2</v>
      </c>
      <c r="J15" s="5">
        <f t="shared" si="5"/>
        <v>1.2805232503540383E-2</v>
      </c>
      <c r="K15" s="12">
        <f t="shared" si="5"/>
        <v>1</v>
      </c>
      <c r="L15" s="731"/>
    </row>
    <row r="16" spans="1:12" x14ac:dyDescent="0.25">
      <c r="A16" s="732" t="s">
        <v>24</v>
      </c>
      <c r="B16" s="4"/>
      <c r="C16" s="13">
        <v>74247.37999999999</v>
      </c>
      <c r="D16" s="6">
        <v>740799.37999999989</v>
      </c>
      <c r="E16" s="13">
        <v>84684.25999999998</v>
      </c>
      <c r="F16" s="6">
        <v>442880.75</v>
      </c>
      <c r="G16" s="13">
        <v>535515.33999999973</v>
      </c>
      <c r="H16" s="6">
        <v>126869.26000000002</v>
      </c>
      <c r="I16" s="13">
        <v>39136.29</v>
      </c>
      <c r="J16" s="6">
        <v>42223.59</v>
      </c>
      <c r="K16" s="15">
        <f>SUM(C16:J16)</f>
        <v>2086356.25</v>
      </c>
      <c r="L16" s="733">
        <f>K16/$K$24</f>
        <v>1.4327957974284067E-2</v>
      </c>
    </row>
    <row r="17" spans="1:13" x14ac:dyDescent="0.25">
      <c r="A17" s="730" t="s">
        <v>42</v>
      </c>
      <c r="C17" s="12">
        <f>C16/$K$16</f>
        <v>3.5587105509905126E-2</v>
      </c>
      <c r="D17" s="5">
        <f t="shared" ref="D17:K17" si="6">D16/$K$16</f>
        <v>0.35506849800938833</v>
      </c>
      <c r="E17" s="12">
        <f t="shared" si="6"/>
        <v>4.0589549363873011E-2</v>
      </c>
      <c r="F17" s="5">
        <f t="shared" si="6"/>
        <v>0.21227474933870955</v>
      </c>
      <c r="G17" s="12">
        <f t="shared" si="6"/>
        <v>0.25667492787964652</v>
      </c>
      <c r="H17" s="5">
        <f t="shared" si="6"/>
        <v>6.0809010925147622E-2</v>
      </c>
      <c r="I17" s="12">
        <f t="shared" si="6"/>
        <v>1.8758201050276049E-2</v>
      </c>
      <c r="J17" s="5">
        <f t="shared" si="6"/>
        <v>2.0237957923053648E-2</v>
      </c>
      <c r="K17" s="12">
        <f t="shared" si="6"/>
        <v>1</v>
      </c>
      <c r="L17" s="731"/>
    </row>
    <row r="18" spans="1:13" x14ac:dyDescent="0.25">
      <c r="A18" s="732" t="s">
        <v>25</v>
      </c>
      <c r="B18" s="4">
        <v>-11.480000000000004</v>
      </c>
      <c r="C18" s="13">
        <v>206020.00000000009</v>
      </c>
      <c r="D18" s="6">
        <v>3049936.5900000003</v>
      </c>
      <c r="E18" s="13">
        <v>358214.68000000028</v>
      </c>
      <c r="F18" s="6">
        <v>2294382.3500000015</v>
      </c>
      <c r="G18" s="13">
        <v>1813340.4600000007</v>
      </c>
      <c r="H18" s="6">
        <v>538449.53000000014</v>
      </c>
      <c r="I18" s="13">
        <v>111256.40999999999</v>
      </c>
      <c r="J18" s="6">
        <v>118027.94000000002</v>
      </c>
      <c r="K18" s="15">
        <f>SUM(C18:J18)</f>
        <v>8489627.9600000028</v>
      </c>
      <c r="L18" s="733">
        <f>K18/$K$24</f>
        <v>5.8302139257467182E-2</v>
      </c>
    </row>
    <row r="19" spans="1:13" x14ac:dyDescent="0.25">
      <c r="A19" s="730" t="s">
        <v>42</v>
      </c>
      <c r="C19" s="12">
        <f>C18/$K$18</f>
        <v>2.4267258938871099E-2</v>
      </c>
      <c r="D19" s="5">
        <f t="shared" ref="D19:K19" si="7">D18/$K$18</f>
        <v>0.35925444605702123</v>
      </c>
      <c r="E19" s="12">
        <f t="shared" si="7"/>
        <v>4.2194390812857266E-2</v>
      </c>
      <c r="F19" s="5">
        <f t="shared" si="7"/>
        <v>0.27025711383470341</v>
      </c>
      <c r="G19" s="12">
        <f t="shared" si="7"/>
        <v>0.21359480869406675</v>
      </c>
      <c r="H19" s="5">
        <f t="shared" si="7"/>
        <v>6.3424396515015247E-2</v>
      </c>
      <c r="I19" s="12">
        <f t="shared" si="7"/>
        <v>1.3104980633332718E-2</v>
      </c>
      <c r="J19" s="5">
        <f t="shared" si="7"/>
        <v>1.3902604514132322E-2</v>
      </c>
      <c r="K19" s="12">
        <f t="shared" si="7"/>
        <v>1</v>
      </c>
      <c r="L19" s="731"/>
    </row>
    <row r="20" spans="1:13" x14ac:dyDescent="0.25">
      <c r="A20" s="732" t="s">
        <v>26</v>
      </c>
      <c r="B20" s="4"/>
      <c r="C20" s="13">
        <v>4644.67</v>
      </c>
      <c r="D20" s="6">
        <v>175277.07000000004</v>
      </c>
      <c r="E20" s="13">
        <v>18714.93</v>
      </c>
      <c r="F20" s="6">
        <v>86946.41</v>
      </c>
      <c r="G20" s="13">
        <v>78192.75999999998</v>
      </c>
      <c r="H20" s="6">
        <v>22509.51</v>
      </c>
      <c r="I20" s="13">
        <v>1067.22</v>
      </c>
      <c r="J20" s="6">
        <v>538.85</v>
      </c>
      <c r="K20" s="15">
        <f>SUM(C20:J20)</f>
        <v>387891.42000000004</v>
      </c>
      <c r="L20" s="733">
        <f>K20/$K$24</f>
        <v>2.6638269300103328E-3</v>
      </c>
    </row>
    <row r="21" spans="1:13" x14ac:dyDescent="0.25">
      <c r="A21" s="730" t="s">
        <v>42</v>
      </c>
      <c r="C21" s="12">
        <f>C20/$K$20</f>
        <v>1.1974149879365724E-2</v>
      </c>
      <c r="D21" s="5">
        <f t="shared" ref="D21:K21" si="8">D20/$K$20</f>
        <v>0.45187147991053789</v>
      </c>
      <c r="E21" s="12">
        <f t="shared" si="8"/>
        <v>4.8247857609224766E-2</v>
      </c>
      <c r="F21" s="5">
        <f t="shared" si="8"/>
        <v>0.22415141330014465</v>
      </c>
      <c r="G21" s="12">
        <f t="shared" si="8"/>
        <v>0.20158414434637398</v>
      </c>
      <c r="H21" s="5">
        <f t="shared" si="8"/>
        <v>5.8030440580510899E-2</v>
      </c>
      <c r="I21" s="12">
        <f t="shared" si="8"/>
        <v>2.7513369591933741E-3</v>
      </c>
      <c r="J21" s="5">
        <f t="shared" si="8"/>
        <v>1.3891774146486662E-3</v>
      </c>
      <c r="K21" s="12">
        <f t="shared" si="8"/>
        <v>1</v>
      </c>
      <c r="L21" s="731"/>
    </row>
    <row r="22" spans="1:13" x14ac:dyDescent="0.25">
      <c r="A22" s="732" t="s">
        <v>27</v>
      </c>
      <c r="B22" s="4"/>
      <c r="C22" s="14">
        <f>C38</f>
        <v>120700.87000000001</v>
      </c>
      <c r="D22" s="10">
        <f t="shared" ref="D22:J22" si="9">D38</f>
        <v>0</v>
      </c>
      <c r="E22" s="14">
        <f t="shared" si="9"/>
        <v>41308.69</v>
      </c>
      <c r="F22" s="10">
        <f t="shared" si="9"/>
        <v>508165.40999999992</v>
      </c>
      <c r="G22" s="14">
        <f t="shared" si="9"/>
        <v>142675.57</v>
      </c>
      <c r="H22" s="10">
        <f t="shared" si="9"/>
        <v>94535.090000000011</v>
      </c>
      <c r="I22" s="14">
        <f t="shared" si="9"/>
        <v>160029.21</v>
      </c>
      <c r="J22" s="10">
        <f t="shared" si="9"/>
        <v>233001.33000000005</v>
      </c>
      <c r="K22" s="15">
        <f>SUM(C22:J22)</f>
        <v>1300416.1700000002</v>
      </c>
      <c r="L22" s="733">
        <f>K22/$K$24</f>
        <v>8.9305497241132462E-3</v>
      </c>
    </row>
    <row r="23" spans="1:13" x14ac:dyDescent="0.25">
      <c r="A23" s="730" t="s">
        <v>42</v>
      </c>
      <c r="C23" s="12">
        <f>C22/$K$22</f>
        <v>9.2817109464272504E-2</v>
      </c>
      <c r="D23" s="5">
        <f t="shared" ref="D23:K23" si="10">D22/$K$22</f>
        <v>0</v>
      </c>
      <c r="E23" s="12">
        <f t="shared" si="10"/>
        <v>3.1765746191851796E-2</v>
      </c>
      <c r="F23" s="5">
        <f t="shared" si="10"/>
        <v>0.39077137129108436</v>
      </c>
      <c r="G23" s="12">
        <f t="shared" si="10"/>
        <v>0.10971531521328283</v>
      </c>
      <c r="H23" s="5">
        <f t="shared" si="10"/>
        <v>7.2696027764711665E-2</v>
      </c>
      <c r="I23" s="12">
        <f t="shared" si="10"/>
        <v>0.12305999701618596</v>
      </c>
      <c r="J23" s="5">
        <f t="shared" si="10"/>
        <v>0.17917443305861078</v>
      </c>
      <c r="K23" s="12">
        <f t="shared" si="10"/>
        <v>1</v>
      </c>
      <c r="L23" s="731"/>
    </row>
    <row r="24" spans="1:13" x14ac:dyDescent="0.25">
      <c r="A24" s="28" t="s">
        <v>10</v>
      </c>
      <c r="B24" s="29">
        <v>804.56999999999994</v>
      </c>
      <c r="C24" s="30">
        <f>SUM(C4,C6,C8,C10,C12,C14,C16,C18,C20,C22)</f>
        <v>7773747.9000000004</v>
      </c>
      <c r="D24" s="30">
        <f t="shared" ref="D24:J24" si="11">SUM(D4,D6,D8,D10,D12,D14,D16,D18,D20,D22)</f>
        <v>46435674.090000018</v>
      </c>
      <c r="E24" s="30">
        <f t="shared" si="11"/>
        <v>5845626.4700000016</v>
      </c>
      <c r="F24" s="30">
        <f t="shared" si="11"/>
        <v>32721693.030000001</v>
      </c>
      <c r="G24" s="30">
        <f t="shared" si="11"/>
        <v>37104582.900000006</v>
      </c>
      <c r="H24" s="30">
        <f t="shared" si="11"/>
        <v>8618063.129999999</v>
      </c>
      <c r="I24" s="30">
        <f t="shared" si="11"/>
        <v>3623457.5800000005</v>
      </c>
      <c r="J24" s="30">
        <f t="shared" si="11"/>
        <v>3491492.3000000003</v>
      </c>
      <c r="K24" s="30">
        <f>SUM(K4:K23)</f>
        <v>145614347.39999998</v>
      </c>
      <c r="L24" s="32">
        <f>K24/$K$24</f>
        <v>1</v>
      </c>
      <c r="M24" s="71">
        <f>SUM(C24:J24)</f>
        <v>145614337.40000004</v>
      </c>
    </row>
    <row r="25" spans="1:13" x14ac:dyDescent="0.25">
      <c r="A25" s="129" t="s">
        <v>42</v>
      </c>
      <c r="B25" s="33"/>
      <c r="C25" s="34">
        <f>C24/$K$24</f>
        <v>5.3385865052470796E-2</v>
      </c>
      <c r="D25" s="35">
        <f t="shared" ref="D25:K25" si="12">D24/$K$24</f>
        <v>0.3188949091839286</v>
      </c>
      <c r="E25" s="34">
        <f t="shared" si="12"/>
        <v>4.0144577607741989E-2</v>
      </c>
      <c r="F25" s="35">
        <f t="shared" si="12"/>
        <v>0.22471475932322865</v>
      </c>
      <c r="G25" s="34">
        <f t="shared" si="12"/>
        <v>0.25481405893386583</v>
      </c>
      <c r="H25" s="35">
        <f t="shared" si="12"/>
        <v>5.9184162027154749E-2</v>
      </c>
      <c r="I25" s="34">
        <f t="shared" si="12"/>
        <v>2.4883932419423122E-2</v>
      </c>
      <c r="J25" s="35">
        <f t="shared" si="12"/>
        <v>2.3977666777635135E-2</v>
      </c>
      <c r="K25" s="34">
        <f t="shared" si="12"/>
        <v>1</v>
      </c>
      <c r="L25" s="36"/>
    </row>
    <row r="26" spans="1:13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1:13" ht="29.1" customHeight="1" x14ac:dyDescent="0.25">
      <c r="A27" s="37" t="s">
        <v>39</v>
      </c>
      <c r="B27" s="38"/>
      <c r="C27" s="38" t="s">
        <v>2</v>
      </c>
      <c r="D27" s="38" t="s">
        <v>3</v>
      </c>
      <c r="E27" s="39" t="s">
        <v>4</v>
      </c>
      <c r="F27" s="39" t="s">
        <v>5</v>
      </c>
      <c r="G27" s="39" t="s">
        <v>6</v>
      </c>
      <c r="H27" s="39" t="s">
        <v>7</v>
      </c>
      <c r="I27" s="39" t="s">
        <v>43</v>
      </c>
      <c r="J27" s="39" t="s">
        <v>44</v>
      </c>
      <c r="K27" s="40" t="s">
        <v>10</v>
      </c>
    </row>
    <row r="28" spans="1:13" x14ac:dyDescent="0.25">
      <c r="A28" s="41" t="s">
        <v>12</v>
      </c>
      <c r="B28" s="42" t="s">
        <v>41</v>
      </c>
      <c r="C28" s="43" t="s">
        <v>41</v>
      </c>
      <c r="D28" s="43" t="s">
        <v>41</v>
      </c>
      <c r="E28" s="43" t="s">
        <v>41</v>
      </c>
      <c r="F28" s="43" t="s">
        <v>41</v>
      </c>
      <c r="G28" s="43" t="s">
        <v>41</v>
      </c>
      <c r="H28" s="43" t="s">
        <v>41</v>
      </c>
      <c r="I28" s="43" t="s">
        <v>41</v>
      </c>
      <c r="J28" s="43" t="s">
        <v>41</v>
      </c>
      <c r="K28" s="44" t="s">
        <v>41</v>
      </c>
    </row>
    <row r="29" spans="1:13" x14ac:dyDescent="0.25">
      <c r="A29" s="734" t="s">
        <v>45</v>
      </c>
      <c r="B29" s="45"/>
      <c r="C29" s="45"/>
      <c r="D29" s="45"/>
      <c r="E29" s="45"/>
      <c r="F29" s="45"/>
      <c r="G29" s="45"/>
      <c r="H29" s="45"/>
      <c r="I29" s="45"/>
      <c r="J29" s="45"/>
      <c r="K29" s="46"/>
    </row>
    <row r="30" spans="1:13" x14ac:dyDescent="0.25">
      <c r="A30" s="8" t="s">
        <v>33</v>
      </c>
      <c r="B30" s="4">
        <v>287</v>
      </c>
      <c r="C30" s="6">
        <v>10887.050000000001</v>
      </c>
      <c r="D30" s="6"/>
      <c r="E30" s="6"/>
      <c r="F30" s="6"/>
      <c r="G30" s="6"/>
      <c r="H30" s="6"/>
      <c r="I30" s="6">
        <v>111834.90000000001</v>
      </c>
      <c r="J30" s="6">
        <v>191110.40000000002</v>
      </c>
      <c r="K30" s="53">
        <v>314119.35000000003</v>
      </c>
    </row>
    <row r="31" spans="1:13" x14ac:dyDescent="0.25">
      <c r="A31" s="9" t="s">
        <v>34</v>
      </c>
      <c r="C31" s="7">
        <v>602.70000000000005</v>
      </c>
      <c r="D31" s="7"/>
      <c r="E31" s="7">
        <v>1246.3500000000001</v>
      </c>
      <c r="F31" s="7">
        <v>27119.599999999999</v>
      </c>
      <c r="G31" s="7">
        <v>4290.1000000000004</v>
      </c>
      <c r="H31" s="7">
        <v>4427.8</v>
      </c>
      <c r="I31" s="7">
        <v>108.69999999999999</v>
      </c>
      <c r="J31" s="7">
        <v>13.5</v>
      </c>
      <c r="K31" s="47">
        <v>37808.749999999993</v>
      </c>
    </row>
    <row r="32" spans="1:13" x14ac:dyDescent="0.25">
      <c r="A32" s="8" t="s">
        <v>28</v>
      </c>
      <c r="B32" s="4"/>
      <c r="C32" s="6"/>
      <c r="D32" s="6"/>
      <c r="E32" s="6">
        <v>4.0999999999999996</v>
      </c>
      <c r="F32" s="6">
        <v>271.37</v>
      </c>
      <c r="G32" s="6">
        <v>129.76</v>
      </c>
      <c r="H32" s="6"/>
      <c r="I32" s="6">
        <v>69</v>
      </c>
      <c r="J32" s="6">
        <v>227.98000000000002</v>
      </c>
      <c r="K32" s="53">
        <v>702.21</v>
      </c>
    </row>
    <row r="33" spans="1:12" x14ac:dyDescent="0.25">
      <c r="A33" s="9" t="s">
        <v>29</v>
      </c>
      <c r="B33">
        <v>19.649999999999999</v>
      </c>
      <c r="C33" s="7">
        <v>52754.05000000001</v>
      </c>
      <c r="D33" s="7"/>
      <c r="E33" s="7">
        <v>19026.5</v>
      </c>
      <c r="F33" s="7">
        <v>270412.50999999995</v>
      </c>
      <c r="G33" s="7">
        <v>61381.830000000024</v>
      </c>
      <c r="H33" s="7">
        <v>51415.040000000015</v>
      </c>
      <c r="I33" s="7">
        <v>8795.5999999999985</v>
      </c>
      <c r="J33" s="7">
        <v>10878.170000000002</v>
      </c>
      <c r="K33" s="47">
        <v>474683.34999999992</v>
      </c>
    </row>
    <row r="34" spans="1:12" x14ac:dyDescent="0.25">
      <c r="A34" s="8" t="s">
        <v>30</v>
      </c>
      <c r="B34" s="4"/>
      <c r="C34" s="6"/>
      <c r="D34" s="6"/>
      <c r="E34" s="6"/>
      <c r="F34" s="6"/>
      <c r="G34" s="6"/>
      <c r="H34" s="6"/>
      <c r="I34" s="6"/>
      <c r="J34" s="6">
        <v>-5.29</v>
      </c>
      <c r="K34" s="53">
        <v>-5.29</v>
      </c>
    </row>
    <row r="35" spans="1:12" x14ac:dyDescent="0.25">
      <c r="A35" s="9" t="s">
        <v>31</v>
      </c>
      <c r="C35" s="7">
        <v>5908.7800000000007</v>
      </c>
      <c r="D35" s="7"/>
      <c r="E35" s="7">
        <v>2442.0299999999997</v>
      </c>
      <c r="F35" s="7">
        <v>17459.010000000002</v>
      </c>
      <c r="G35" s="7">
        <v>8972.1200000000008</v>
      </c>
      <c r="H35" s="7">
        <v>517.14</v>
      </c>
      <c r="I35" s="7">
        <v>31648.969999999987</v>
      </c>
      <c r="J35" s="7">
        <v>21297.720000000005</v>
      </c>
      <c r="K35" s="47">
        <v>88245.76999999999</v>
      </c>
    </row>
    <row r="36" spans="1:12" x14ac:dyDescent="0.25">
      <c r="A36" s="8" t="s">
        <v>32</v>
      </c>
      <c r="B36" s="4">
        <v>10.7</v>
      </c>
      <c r="C36" s="6">
        <v>50548.289999999994</v>
      </c>
      <c r="D36" s="6"/>
      <c r="E36" s="6">
        <v>18589.710000000003</v>
      </c>
      <c r="F36" s="6">
        <v>192902.92</v>
      </c>
      <c r="G36" s="6">
        <v>67901.759999999995</v>
      </c>
      <c r="H36" s="6">
        <v>38175.109999999993</v>
      </c>
      <c r="I36" s="6">
        <v>7572.0400000000009</v>
      </c>
      <c r="J36" s="6">
        <v>9478.85</v>
      </c>
      <c r="K36" s="53">
        <v>385179.38</v>
      </c>
    </row>
    <row r="37" spans="1:12" x14ac:dyDescent="0.25">
      <c r="A37" s="48"/>
      <c r="K37" s="1"/>
    </row>
    <row r="38" spans="1:12" s="2" customFormat="1" x14ac:dyDescent="0.25">
      <c r="A38" s="49" t="s">
        <v>10</v>
      </c>
      <c r="B38" s="50"/>
      <c r="C38" s="51">
        <f>SUM(C30:C36)</f>
        <v>120700.87000000001</v>
      </c>
      <c r="D38" s="51">
        <f t="shared" ref="D38:K38" si="13">SUM(D30:D36)</f>
        <v>0</v>
      </c>
      <c r="E38" s="51">
        <f t="shared" si="13"/>
        <v>41308.69</v>
      </c>
      <c r="F38" s="51">
        <f t="shared" si="13"/>
        <v>508165.40999999992</v>
      </c>
      <c r="G38" s="51">
        <f t="shared" si="13"/>
        <v>142675.57</v>
      </c>
      <c r="H38" s="51">
        <f t="shared" si="13"/>
        <v>94535.090000000011</v>
      </c>
      <c r="I38" s="51">
        <f t="shared" si="13"/>
        <v>160029.21</v>
      </c>
      <c r="J38" s="51">
        <f t="shared" si="13"/>
        <v>233001.33000000005</v>
      </c>
      <c r="K38" s="52">
        <f t="shared" si="13"/>
        <v>1300733.52</v>
      </c>
      <c r="L38" s="280"/>
    </row>
    <row r="41" spans="1:12" ht="21" x14ac:dyDescent="0.35">
      <c r="A41" s="782" t="s">
        <v>46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</row>
    <row r="43" spans="1:12" ht="27" x14ac:dyDescent="0.25">
      <c r="A43" s="489" t="s">
        <v>39</v>
      </c>
      <c r="B43" s="490"/>
      <c r="C43" s="491" t="s">
        <v>2</v>
      </c>
      <c r="D43" s="492" t="s">
        <v>3</v>
      </c>
      <c r="E43" s="493" t="s">
        <v>4</v>
      </c>
      <c r="F43" s="494" t="s">
        <v>5</v>
      </c>
      <c r="G43" s="493" t="s">
        <v>6</v>
      </c>
      <c r="H43" s="494" t="s">
        <v>7</v>
      </c>
      <c r="I43" s="493" t="s">
        <v>8</v>
      </c>
      <c r="J43" s="494" t="s">
        <v>40</v>
      </c>
      <c r="K43" s="492" t="s">
        <v>10</v>
      </c>
      <c r="L43" s="495" t="s">
        <v>11</v>
      </c>
    </row>
    <row r="44" spans="1:12" x14ac:dyDescent="0.25">
      <c r="A44" s="496" t="s">
        <v>12</v>
      </c>
      <c r="B44" s="497" t="s">
        <v>41</v>
      </c>
      <c r="C44" s="498" t="s">
        <v>39</v>
      </c>
      <c r="D44" s="499" t="s">
        <v>39</v>
      </c>
      <c r="E44" s="500" t="s">
        <v>39</v>
      </c>
      <c r="F44" s="499" t="s">
        <v>39</v>
      </c>
      <c r="G44" s="500" t="s">
        <v>39</v>
      </c>
      <c r="H44" s="499" t="s">
        <v>39</v>
      </c>
      <c r="I44" s="500" t="s">
        <v>39</v>
      </c>
      <c r="J44" s="499" t="s">
        <v>39</v>
      </c>
      <c r="K44" s="499" t="s">
        <v>39</v>
      </c>
      <c r="L44" s="501" t="s">
        <v>15</v>
      </c>
    </row>
    <row r="46" spans="1:12" x14ac:dyDescent="0.25">
      <c r="A46" s="502" t="s">
        <v>10</v>
      </c>
      <c r="B46" s="503">
        <v>804.56999999999994</v>
      </c>
      <c r="C46" s="504">
        <f>C47*$K$46</f>
        <v>1302400.9993999999</v>
      </c>
      <c r="D46" s="504">
        <f t="shared" ref="D46:J46" si="14">D47*$K$46</f>
        <v>11196557.2828</v>
      </c>
      <c r="E46" s="504">
        <f t="shared" si="14"/>
        <v>1442187.4941</v>
      </c>
      <c r="F46" s="504">
        <f t="shared" si="14"/>
        <v>7817815.4231000002</v>
      </c>
      <c r="G46" s="504">
        <f t="shared" si="14"/>
        <v>8636077.8311000001</v>
      </c>
      <c r="H46" s="504">
        <f t="shared" si="14"/>
        <v>2175214.2345999996</v>
      </c>
      <c r="I46" s="504">
        <f t="shared" si="14"/>
        <v>828490.68809999991</v>
      </c>
      <c r="J46" s="504">
        <f t="shared" si="14"/>
        <v>695523.04680000001</v>
      </c>
      <c r="K46" s="504">
        <v>34094267</v>
      </c>
      <c r="L46" s="505"/>
    </row>
    <row r="47" spans="1:12" x14ac:dyDescent="0.25">
      <c r="A47" s="506" t="s">
        <v>42</v>
      </c>
      <c r="B47" s="507"/>
      <c r="C47" s="508">
        <v>3.8199999999999998E-2</v>
      </c>
      <c r="D47" s="509">
        <v>0.32840000000000003</v>
      </c>
      <c r="E47" s="508">
        <v>4.2299999999999997E-2</v>
      </c>
      <c r="F47" s="509">
        <v>0.2293</v>
      </c>
      <c r="G47" s="508">
        <v>0.25330000000000003</v>
      </c>
      <c r="H47" s="509">
        <v>6.3799999999999996E-2</v>
      </c>
      <c r="I47" s="508">
        <v>2.4299999999999999E-2</v>
      </c>
      <c r="J47" s="509">
        <v>2.0400000000000001E-2</v>
      </c>
      <c r="K47" s="508">
        <f>SUM(C47:J47)</f>
        <v>1.0000000000000002</v>
      </c>
      <c r="L47" s="510"/>
    </row>
    <row r="48" spans="1:12" x14ac:dyDescent="0.25">
      <c r="D48" s="276"/>
    </row>
    <row r="50" spans="1:17" ht="21" x14ac:dyDescent="0.35">
      <c r="A50" s="782" t="s">
        <v>47</v>
      </c>
      <c r="B50" s="783"/>
      <c r="C50" s="783"/>
      <c r="D50" s="783"/>
      <c r="E50" s="783"/>
      <c r="F50" s="783"/>
      <c r="G50" s="783"/>
      <c r="H50" s="783"/>
      <c r="I50" s="783"/>
      <c r="J50" s="783"/>
      <c r="K50" s="783"/>
      <c r="L50" s="783"/>
    </row>
    <row r="52" spans="1:17" ht="21" x14ac:dyDescent="0.25">
      <c r="A52" s="555" t="s">
        <v>39</v>
      </c>
      <c r="B52" s="556"/>
      <c r="C52" s="557" t="s">
        <v>2</v>
      </c>
      <c r="D52" s="558" t="s">
        <v>3</v>
      </c>
      <c r="E52" s="559" t="s">
        <v>48</v>
      </c>
      <c r="F52" s="560" t="s">
        <v>49</v>
      </c>
      <c r="G52" s="559" t="s">
        <v>50</v>
      </c>
      <c r="H52" s="560" t="s">
        <v>51</v>
      </c>
      <c r="I52" s="559"/>
      <c r="J52" s="560"/>
      <c r="K52" s="558" t="s">
        <v>10</v>
      </c>
      <c r="L52" s="561" t="s">
        <v>11</v>
      </c>
    </row>
    <row r="53" spans="1:17" x14ac:dyDescent="0.25">
      <c r="A53" s="562" t="s">
        <v>12</v>
      </c>
      <c r="B53" s="563" t="s">
        <v>41</v>
      </c>
      <c r="C53" s="564" t="s">
        <v>39</v>
      </c>
      <c r="D53" s="565" t="s">
        <v>39</v>
      </c>
      <c r="E53" s="566" t="s">
        <v>39</v>
      </c>
      <c r="F53" s="565" t="s">
        <v>39</v>
      </c>
      <c r="G53" s="566" t="s">
        <v>39</v>
      </c>
      <c r="H53" s="565" t="s">
        <v>39</v>
      </c>
      <c r="I53" s="566"/>
      <c r="J53" s="565"/>
      <c r="K53" s="565" t="s">
        <v>39</v>
      </c>
      <c r="L53" s="567" t="s">
        <v>15</v>
      </c>
    </row>
    <row r="54" spans="1:17" x14ac:dyDescent="0.25">
      <c r="A54" s="568"/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</row>
    <row r="55" spans="1:17" x14ac:dyDescent="0.25">
      <c r="A55" s="569" t="s">
        <v>10</v>
      </c>
      <c r="B55" s="570">
        <v>804.56999999999994</v>
      </c>
      <c r="C55" s="571">
        <f>C56*$K$55</f>
        <v>557132.03</v>
      </c>
      <c r="D55" s="571">
        <f t="shared" ref="D55:H55" si="15">D56*$K$55</f>
        <v>13052807.560000001</v>
      </c>
      <c r="E55" s="571">
        <f t="shared" si="15"/>
        <v>7163126.0999999996</v>
      </c>
      <c r="F55" s="571">
        <f t="shared" si="15"/>
        <v>7083535.8099999996</v>
      </c>
      <c r="G55" s="571">
        <f t="shared" si="15"/>
        <v>5969271.75</v>
      </c>
      <c r="H55" s="571">
        <f t="shared" si="15"/>
        <v>5969271.75</v>
      </c>
      <c r="I55" s="571"/>
      <c r="J55" s="571"/>
      <c r="K55" s="571">
        <v>39795145</v>
      </c>
      <c r="L55" s="654">
        <f>SUM(C55:H55)</f>
        <v>39795145</v>
      </c>
    </row>
    <row r="56" spans="1:17" x14ac:dyDescent="0.25">
      <c r="A56" s="573" t="s">
        <v>42</v>
      </c>
      <c r="B56" s="574"/>
      <c r="C56" s="575">
        <v>1.4E-2</v>
      </c>
      <c r="D56" s="576">
        <v>0.32800000000000001</v>
      </c>
      <c r="E56" s="575">
        <v>0.18</v>
      </c>
      <c r="F56" s="576">
        <v>0.17799999999999999</v>
      </c>
      <c r="G56" s="575">
        <v>0.15</v>
      </c>
      <c r="H56" s="576">
        <v>0.15</v>
      </c>
      <c r="I56" s="575"/>
      <c r="J56" s="576"/>
      <c r="K56" s="575">
        <f>SUM(C56:J56)</f>
        <v>1</v>
      </c>
      <c r="L56" s="577"/>
    </row>
    <row r="57" spans="1:17" x14ac:dyDescent="0.25">
      <c r="Q57">
        <v>39</v>
      </c>
    </row>
    <row r="59" spans="1:17" ht="21" x14ac:dyDescent="0.35">
      <c r="A59" s="782" t="s">
        <v>38</v>
      </c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</row>
    <row r="60" spans="1:17" ht="27" x14ac:dyDescent="0.25">
      <c r="A60" s="93" t="s">
        <v>39</v>
      </c>
      <c r="B60" s="16"/>
      <c r="C60" s="19" t="s">
        <v>2</v>
      </c>
      <c r="D60" s="23" t="s">
        <v>3</v>
      </c>
      <c r="E60" s="25" t="s">
        <v>4</v>
      </c>
      <c r="F60" s="27" t="s">
        <v>5</v>
      </c>
      <c r="G60" s="25" t="s">
        <v>6</v>
      </c>
      <c r="H60" s="27" t="s">
        <v>7</v>
      </c>
      <c r="I60" s="25" t="s">
        <v>8</v>
      </c>
      <c r="J60" s="27" t="s">
        <v>40</v>
      </c>
      <c r="K60" s="23" t="s">
        <v>10</v>
      </c>
      <c r="L60" s="21" t="s">
        <v>11</v>
      </c>
    </row>
    <row r="61" spans="1:17" x14ac:dyDescent="0.25">
      <c r="A61" s="18" t="s">
        <v>12</v>
      </c>
      <c r="B61" s="17" t="s">
        <v>41</v>
      </c>
      <c r="C61" s="20" t="s">
        <v>39</v>
      </c>
      <c r="D61" s="24" t="s">
        <v>39</v>
      </c>
      <c r="E61" s="26" t="s">
        <v>39</v>
      </c>
      <c r="F61" s="24" t="s">
        <v>39</v>
      </c>
      <c r="G61" s="26" t="s">
        <v>39</v>
      </c>
      <c r="H61" s="24" t="s">
        <v>39</v>
      </c>
      <c r="I61" s="26" t="s">
        <v>39</v>
      </c>
      <c r="J61" s="24" t="s">
        <v>39</v>
      </c>
      <c r="K61" s="24" t="s">
        <v>39</v>
      </c>
      <c r="L61" s="22" t="s">
        <v>15</v>
      </c>
    </row>
    <row r="62" spans="1:17" x14ac:dyDescent="0.25">
      <c r="A62" s="728" t="s">
        <v>16</v>
      </c>
      <c r="B62" s="4">
        <v>461.55999999999995</v>
      </c>
      <c r="C62" s="11">
        <v>3513336.72</v>
      </c>
      <c r="D62" s="6">
        <v>22346622.780000009</v>
      </c>
      <c r="E62" s="11">
        <v>2616131.8100000015</v>
      </c>
      <c r="F62" s="6">
        <v>15284097.470000001</v>
      </c>
      <c r="G62" s="11">
        <v>16780190.190000013</v>
      </c>
      <c r="H62" s="6">
        <v>3679803.4800000009</v>
      </c>
      <c r="I62" s="11">
        <v>1832306.2899999998</v>
      </c>
      <c r="J62" s="6">
        <v>1795722.3000000005</v>
      </c>
      <c r="K62" s="15">
        <f>SUM(C62:J62)</f>
        <v>67848211.040000021</v>
      </c>
      <c r="L62" s="729">
        <f>K62/$K$24</f>
        <v>0.46594454634076832</v>
      </c>
    </row>
    <row r="63" spans="1:17" x14ac:dyDescent="0.25">
      <c r="A63" s="730" t="s">
        <v>42</v>
      </c>
      <c r="C63" s="12">
        <f>C62/$K$4</f>
        <v>5.1782304443203475E-2</v>
      </c>
      <c r="D63" s="5">
        <f t="shared" ref="D63:J63" si="16">D62/$K$4</f>
        <v>0.32936200435447771</v>
      </c>
      <c r="E63" s="12">
        <f t="shared" si="16"/>
        <v>3.8558596754417841E-2</v>
      </c>
      <c r="F63" s="5">
        <f t="shared" si="16"/>
        <v>0.22526898256741415</v>
      </c>
      <c r="G63" s="12">
        <f t="shared" si="16"/>
        <v>0.24731956720431766</v>
      </c>
      <c r="H63" s="5">
        <f t="shared" si="16"/>
        <v>5.4235821749678365E-2</v>
      </c>
      <c r="I63" s="12">
        <f t="shared" si="16"/>
        <v>2.700596319215787E-2</v>
      </c>
      <c r="J63" s="5">
        <f t="shared" si="16"/>
        <v>2.6466759734333004E-2</v>
      </c>
      <c r="K63" s="12">
        <f>K62/$K$4</f>
        <v>1</v>
      </c>
      <c r="L63" s="731"/>
    </row>
    <row r="64" spans="1:17" x14ac:dyDescent="0.25">
      <c r="A64" s="732" t="s">
        <v>19</v>
      </c>
      <c r="B64" s="4"/>
      <c r="C64" s="13">
        <v>28971.789999999994</v>
      </c>
      <c r="D64" s="6">
        <v>992912.44000000029</v>
      </c>
      <c r="E64" s="13">
        <v>99801.569999999992</v>
      </c>
      <c r="F64" s="6">
        <v>577670.54000000015</v>
      </c>
      <c r="G64" s="13">
        <v>345338.64000000013</v>
      </c>
      <c r="H64" s="6">
        <v>128398</v>
      </c>
      <c r="I64" s="13">
        <v>8759.07</v>
      </c>
      <c r="J64" s="6">
        <v>15389.529999999999</v>
      </c>
      <c r="K64" s="15">
        <f>SUM(C64:J64)</f>
        <v>2197241.58</v>
      </c>
      <c r="L64" s="733">
        <f>K64/$K$24</f>
        <v>1.5089458004877893E-2</v>
      </c>
    </row>
    <row r="65" spans="1:12" x14ac:dyDescent="0.25">
      <c r="A65" s="730" t="s">
        <v>42</v>
      </c>
      <c r="C65" s="12">
        <f>C64/$K$6</f>
        <v>1.3185527828942684E-2</v>
      </c>
      <c r="D65" s="5">
        <f t="shared" ref="D65:K65" si="17">D64/$K$6</f>
        <v>0.45189042890768538</v>
      </c>
      <c r="E65" s="12">
        <f t="shared" si="17"/>
        <v>4.5421300465286113E-2</v>
      </c>
      <c r="F65" s="5">
        <f t="shared" si="17"/>
        <v>0.26290715834714912</v>
      </c>
      <c r="G65" s="12">
        <f t="shared" si="17"/>
        <v>0.15716917208530165</v>
      </c>
      <c r="H65" s="5">
        <f t="shared" si="17"/>
        <v>5.8435995918118384E-2</v>
      </c>
      <c r="I65" s="12">
        <f t="shared" si="17"/>
        <v>3.9863937036909705E-3</v>
      </c>
      <c r="J65" s="5">
        <f t="shared" si="17"/>
        <v>7.0040227438259196E-3</v>
      </c>
      <c r="K65" s="12">
        <f t="shared" si="17"/>
        <v>1</v>
      </c>
      <c r="L65" s="731"/>
    </row>
    <row r="66" spans="1:12" x14ac:dyDescent="0.25">
      <c r="A66" s="732" t="s">
        <v>20</v>
      </c>
      <c r="B66" s="4">
        <v>33.090000000000003</v>
      </c>
      <c r="C66" s="13">
        <v>3451836.4899999993</v>
      </c>
      <c r="D66" s="6">
        <v>14232255.489999998</v>
      </c>
      <c r="E66" s="13">
        <v>2063144.4300000002</v>
      </c>
      <c r="F66" s="6">
        <v>10380845.669999996</v>
      </c>
      <c r="G66" s="13">
        <v>14191344.989999996</v>
      </c>
      <c r="H66" s="6">
        <v>3283670.7599999988</v>
      </c>
      <c r="I66" s="13">
        <v>1251747</v>
      </c>
      <c r="J66" s="6">
        <v>1056702.6200000001</v>
      </c>
      <c r="K66" s="15">
        <f>SUM(C66:J66)</f>
        <v>49911547.449999981</v>
      </c>
      <c r="L66" s="733">
        <f>K66/$K$24</f>
        <v>0.34276531359161927</v>
      </c>
    </row>
    <row r="67" spans="1:12" x14ac:dyDescent="0.25">
      <c r="A67" s="730" t="s">
        <v>42</v>
      </c>
      <c r="C67" s="12">
        <f>C66/$K$8</f>
        <v>6.9159075732082936E-2</v>
      </c>
      <c r="D67" s="5">
        <f t="shared" ref="D67:K67" si="18">D66/$K$8</f>
        <v>0.28514955390348257</v>
      </c>
      <c r="E67" s="12">
        <f t="shared" si="18"/>
        <v>4.1336014117109909E-2</v>
      </c>
      <c r="F67" s="5">
        <f t="shared" si="18"/>
        <v>0.20798484920547181</v>
      </c>
      <c r="G67" s="12">
        <f t="shared" si="18"/>
        <v>0.28432989388310381</v>
      </c>
      <c r="H67" s="5">
        <f t="shared" si="18"/>
        <v>6.5789800712740681E-2</v>
      </c>
      <c r="I67" s="12">
        <f t="shared" si="18"/>
        <v>2.507930657237117E-2</v>
      </c>
      <c r="J67" s="5">
        <f t="shared" si="18"/>
        <v>2.1171505873637274E-2</v>
      </c>
      <c r="K67" s="12">
        <f t="shared" si="18"/>
        <v>1</v>
      </c>
      <c r="L67" s="731"/>
    </row>
    <row r="68" spans="1:12" x14ac:dyDescent="0.25">
      <c r="A68" s="732" t="s">
        <v>21</v>
      </c>
      <c r="B68" s="4">
        <v>4.05</v>
      </c>
      <c r="C68" s="13">
        <v>204984.90000000002</v>
      </c>
      <c r="D68" s="6">
        <v>2129764.1300000013</v>
      </c>
      <c r="E68" s="13">
        <v>270174.44999999995</v>
      </c>
      <c r="F68" s="6">
        <v>1703842.1900000004</v>
      </c>
      <c r="G68" s="13">
        <v>1710872.9400000004</v>
      </c>
      <c r="H68" s="6">
        <v>351036.35000000009</v>
      </c>
      <c r="I68" s="13">
        <v>143753.76000000015</v>
      </c>
      <c r="J68" s="6">
        <v>145986.39999999991</v>
      </c>
      <c r="K68" s="15">
        <f>SUM(C68:J68)</f>
        <v>6660415.1200000029</v>
      </c>
      <c r="L68" s="733">
        <f>K68/$K$24</f>
        <v>4.5740102118536186E-2</v>
      </c>
    </row>
    <row r="69" spans="1:12" x14ac:dyDescent="0.25">
      <c r="A69" s="730" t="s">
        <v>42</v>
      </c>
      <c r="C69" s="12">
        <f>C68/$K$10</f>
        <v>3.0776595198168361E-2</v>
      </c>
      <c r="D69" s="5">
        <f t="shared" ref="D69:K69" si="19">D68/$K$10</f>
        <v>0.31976447287868154</v>
      </c>
      <c r="E69" s="12">
        <f t="shared" si="19"/>
        <v>4.0564205853883747E-2</v>
      </c>
      <c r="F69" s="5">
        <f t="shared" si="19"/>
        <v>0.25581621555144146</v>
      </c>
      <c r="G69" s="12">
        <f t="shared" si="19"/>
        <v>0.25687181792356506</v>
      </c>
      <c r="H69" s="5">
        <f t="shared" si="19"/>
        <v>5.2704875548357705E-2</v>
      </c>
      <c r="I69" s="12">
        <f t="shared" si="19"/>
        <v>2.1583303354220974E-2</v>
      </c>
      <c r="J69" s="5">
        <f t="shared" si="19"/>
        <v>2.1918513691681105E-2</v>
      </c>
      <c r="K69" s="12">
        <f t="shared" si="19"/>
        <v>1</v>
      </c>
      <c r="L69" s="731"/>
    </row>
    <row r="70" spans="1:12" x14ac:dyDescent="0.25">
      <c r="A70" s="732" t="s">
        <v>22</v>
      </c>
      <c r="B70" s="4"/>
      <c r="C70" s="13">
        <v>10150.43</v>
      </c>
      <c r="D70" s="6">
        <v>163384.25000000003</v>
      </c>
      <c r="E70" s="13">
        <v>22548.799999999996</v>
      </c>
      <c r="F70" s="6">
        <v>79880.649999999994</v>
      </c>
      <c r="G70" s="13">
        <v>124934.34000000003</v>
      </c>
      <c r="H70" s="6">
        <v>24332.050000000003</v>
      </c>
      <c r="I70" s="13">
        <v>2978.54</v>
      </c>
      <c r="J70" s="6">
        <v>3211.2799999999997</v>
      </c>
      <c r="K70" s="15">
        <f>SUM(C70:J70)</f>
        <v>431420.34</v>
      </c>
      <c r="L70" s="733">
        <f>K70/$K$24</f>
        <v>2.9627598358484288E-3</v>
      </c>
    </row>
    <row r="71" spans="1:12" x14ac:dyDescent="0.25">
      <c r="A71" s="730" t="s">
        <v>42</v>
      </c>
      <c r="C71" s="12">
        <f>C70/$K$12</f>
        <v>2.3527935655514063E-2</v>
      </c>
      <c r="D71" s="5">
        <f t="shared" ref="D71:K71" si="20">D70/$K$12</f>
        <v>0.37871244086451744</v>
      </c>
      <c r="E71" s="12">
        <f t="shared" si="20"/>
        <v>5.2266427679325447E-2</v>
      </c>
      <c r="F71" s="5">
        <f t="shared" si="20"/>
        <v>0.18515735720759013</v>
      </c>
      <c r="G71" s="12">
        <f t="shared" si="20"/>
        <v>0.28958843247863564</v>
      </c>
      <c r="H71" s="5">
        <f t="shared" si="20"/>
        <v>5.6399867470319089E-2</v>
      </c>
      <c r="I71" s="12">
        <f t="shared" si="20"/>
        <v>6.9040323875318435E-3</v>
      </c>
      <c r="J71" s="5">
        <f t="shared" si="20"/>
        <v>7.4435062565663904E-3</v>
      </c>
      <c r="K71" s="12">
        <f t="shared" si="20"/>
        <v>1</v>
      </c>
      <c r="L71" s="731"/>
    </row>
    <row r="72" spans="1:12" x14ac:dyDescent="0.25">
      <c r="A72" s="732" t="s">
        <v>23</v>
      </c>
      <c r="B72" s="4"/>
      <c r="C72" s="13">
        <v>158854.65000000002</v>
      </c>
      <c r="D72" s="6">
        <v>2604721.9599999995</v>
      </c>
      <c r="E72" s="13">
        <v>270902.85000000003</v>
      </c>
      <c r="F72" s="6">
        <v>1362981.5900000005</v>
      </c>
      <c r="G72" s="13">
        <v>1382177.67</v>
      </c>
      <c r="H72" s="6">
        <v>368459.10000000033</v>
      </c>
      <c r="I72" s="13">
        <v>72423.789999999994</v>
      </c>
      <c r="J72" s="6">
        <v>80688.459999999977</v>
      </c>
      <c r="K72" s="15">
        <f>SUM(C72:J72)</f>
        <v>6301210.0700000003</v>
      </c>
      <c r="L72" s="733">
        <f>K72/$K$24</f>
        <v>4.3273277547923837E-2</v>
      </c>
    </row>
    <row r="73" spans="1:12" x14ac:dyDescent="0.25">
      <c r="A73" s="730" t="s">
        <v>42</v>
      </c>
      <c r="C73" s="12">
        <f>C72/$K$14</f>
        <v>2.5210181573902046E-2</v>
      </c>
      <c r="D73" s="5">
        <f t="shared" ref="D73:K73" si="21">D72/$K$14</f>
        <v>0.41336853256187339</v>
      </c>
      <c r="E73" s="12">
        <f t="shared" si="21"/>
        <v>4.299219467222111E-2</v>
      </c>
      <c r="F73" s="5">
        <f t="shared" si="21"/>
        <v>0.21630473748036788</v>
      </c>
      <c r="G73" s="12">
        <f t="shared" si="21"/>
        <v>0.21935114916744869</v>
      </c>
      <c r="H73" s="5">
        <f t="shared" si="21"/>
        <v>5.847433999292144E-2</v>
      </c>
      <c r="I73" s="12">
        <f t="shared" si="21"/>
        <v>1.1493632047725079E-2</v>
      </c>
      <c r="J73" s="5">
        <f t="shared" si="21"/>
        <v>1.2805232503540383E-2</v>
      </c>
      <c r="K73" s="12">
        <f t="shared" si="21"/>
        <v>1</v>
      </c>
      <c r="L73" s="731"/>
    </row>
    <row r="74" spans="1:12" x14ac:dyDescent="0.25">
      <c r="A74" s="732" t="s">
        <v>24</v>
      </c>
      <c r="B74" s="4"/>
      <c r="C74" s="13">
        <v>74247.37999999999</v>
      </c>
      <c r="D74" s="6">
        <v>740799.37999999989</v>
      </c>
      <c r="E74" s="13">
        <v>84684.25999999998</v>
      </c>
      <c r="F74" s="6">
        <v>442880.75</v>
      </c>
      <c r="G74" s="13">
        <v>535515.33999999973</v>
      </c>
      <c r="H74" s="6">
        <v>126869.26000000002</v>
      </c>
      <c r="I74" s="13">
        <v>39136.29</v>
      </c>
      <c r="J74" s="6">
        <v>42223.59</v>
      </c>
      <c r="K74" s="15">
        <f>SUM(C74:J74)</f>
        <v>2086356.25</v>
      </c>
      <c r="L74" s="733">
        <f>K74/$K$24</f>
        <v>1.4327957974284067E-2</v>
      </c>
    </row>
    <row r="75" spans="1:12" x14ac:dyDescent="0.25">
      <c r="A75" s="730" t="s">
        <v>42</v>
      </c>
      <c r="C75" s="12">
        <f>C74/$K$16</f>
        <v>3.5587105509905126E-2</v>
      </c>
      <c r="D75" s="5">
        <f t="shared" ref="D75:K75" si="22">D74/$K$16</f>
        <v>0.35506849800938833</v>
      </c>
      <c r="E75" s="12">
        <f t="shared" si="22"/>
        <v>4.0589549363873011E-2</v>
      </c>
      <c r="F75" s="5">
        <f t="shared" si="22"/>
        <v>0.21227474933870955</v>
      </c>
      <c r="G75" s="12">
        <f t="shared" si="22"/>
        <v>0.25667492787964652</v>
      </c>
      <c r="H75" s="5">
        <f t="shared" si="22"/>
        <v>6.0809010925147622E-2</v>
      </c>
      <c r="I75" s="12">
        <f t="shared" si="22"/>
        <v>1.8758201050276049E-2</v>
      </c>
      <c r="J75" s="5">
        <f t="shared" si="22"/>
        <v>2.0237957923053648E-2</v>
      </c>
      <c r="K75" s="12">
        <f t="shared" si="22"/>
        <v>1</v>
      </c>
      <c r="L75" s="731"/>
    </row>
    <row r="76" spans="1:12" x14ac:dyDescent="0.25">
      <c r="A76" s="732" t="s">
        <v>25</v>
      </c>
      <c r="B76" s="4">
        <v>-11.480000000000004</v>
      </c>
      <c r="C76" s="13">
        <v>206020.00000000009</v>
      </c>
      <c r="D76" s="6">
        <v>3049936.5900000003</v>
      </c>
      <c r="E76" s="13">
        <v>358214.68000000028</v>
      </c>
      <c r="F76" s="6">
        <v>2294382.3500000015</v>
      </c>
      <c r="G76" s="13">
        <v>1813340.4600000007</v>
      </c>
      <c r="H76" s="6">
        <v>538449.53000000014</v>
      </c>
      <c r="I76" s="13">
        <v>111256.40999999999</v>
      </c>
      <c r="J76" s="6">
        <v>118027.94000000002</v>
      </c>
      <c r="K76" s="15">
        <f>SUM(C76:J76)</f>
        <v>8489627.9600000028</v>
      </c>
      <c r="L76" s="733">
        <f>K76/$K$24</f>
        <v>5.8302139257467182E-2</v>
      </c>
    </row>
    <row r="77" spans="1:12" x14ac:dyDescent="0.25">
      <c r="A77" s="730" t="s">
        <v>42</v>
      </c>
      <c r="C77" s="12">
        <f>C76/$K$18</f>
        <v>2.4267258938871099E-2</v>
      </c>
      <c r="D77" s="5">
        <f t="shared" ref="D77:K77" si="23">D76/$K$18</f>
        <v>0.35925444605702123</v>
      </c>
      <c r="E77" s="12">
        <f t="shared" si="23"/>
        <v>4.2194390812857266E-2</v>
      </c>
      <c r="F77" s="5">
        <f t="shared" si="23"/>
        <v>0.27025711383470341</v>
      </c>
      <c r="G77" s="12">
        <f t="shared" si="23"/>
        <v>0.21359480869406675</v>
      </c>
      <c r="H77" s="5">
        <f t="shared" si="23"/>
        <v>6.3424396515015247E-2</v>
      </c>
      <c r="I77" s="12">
        <f t="shared" si="23"/>
        <v>1.3104980633332718E-2</v>
      </c>
      <c r="J77" s="5">
        <f t="shared" si="23"/>
        <v>1.3902604514132322E-2</v>
      </c>
      <c r="K77" s="12">
        <f t="shared" si="23"/>
        <v>1</v>
      </c>
      <c r="L77" s="731"/>
    </row>
    <row r="78" spans="1:12" x14ac:dyDescent="0.25">
      <c r="A78" s="732" t="s">
        <v>26</v>
      </c>
      <c r="B78" s="4"/>
      <c r="C78" s="13">
        <v>4644.67</v>
      </c>
      <c r="D78" s="6">
        <v>175277.07000000004</v>
      </c>
      <c r="E78" s="13">
        <v>18714.93</v>
      </c>
      <c r="F78" s="6">
        <v>86946.41</v>
      </c>
      <c r="G78" s="13">
        <v>78192.75999999998</v>
      </c>
      <c r="H78" s="6">
        <v>22509.51</v>
      </c>
      <c r="I78" s="13">
        <v>1067.22</v>
      </c>
      <c r="J78" s="6">
        <v>538.85</v>
      </c>
      <c r="K78" s="15">
        <f>SUM(C78:J78)</f>
        <v>387891.42000000004</v>
      </c>
      <c r="L78" s="733">
        <f>K78/$K$24</f>
        <v>2.6638269300103328E-3</v>
      </c>
    </row>
    <row r="79" spans="1:12" x14ac:dyDescent="0.25">
      <c r="A79" s="730" t="s">
        <v>42</v>
      </c>
      <c r="C79" s="12">
        <f>C78/$K$20</f>
        <v>1.1974149879365724E-2</v>
      </c>
      <c r="D79" s="5">
        <f t="shared" ref="D79:K79" si="24">D78/$K$20</f>
        <v>0.45187147991053789</v>
      </c>
      <c r="E79" s="12">
        <f t="shared" si="24"/>
        <v>4.8247857609224766E-2</v>
      </c>
      <c r="F79" s="5">
        <f t="shared" si="24"/>
        <v>0.22415141330014465</v>
      </c>
      <c r="G79" s="12">
        <f t="shared" si="24"/>
        <v>0.20158414434637398</v>
      </c>
      <c r="H79" s="5">
        <f t="shared" si="24"/>
        <v>5.8030440580510899E-2</v>
      </c>
      <c r="I79" s="12">
        <f t="shared" si="24"/>
        <v>2.7513369591933741E-3</v>
      </c>
      <c r="J79" s="5">
        <f t="shared" si="24"/>
        <v>1.3891774146486662E-3</v>
      </c>
      <c r="K79" s="12">
        <f t="shared" si="24"/>
        <v>1</v>
      </c>
      <c r="L79" s="731"/>
    </row>
    <row r="80" spans="1:12" x14ac:dyDescent="0.25">
      <c r="A80" s="732" t="s">
        <v>27</v>
      </c>
      <c r="B80" s="4"/>
      <c r="C80" s="14">
        <f>C96</f>
        <v>120700.87000000001</v>
      </c>
      <c r="D80" s="10">
        <f t="shared" ref="D80:J80" si="25">D96</f>
        <v>0</v>
      </c>
      <c r="E80" s="14">
        <f t="shared" si="25"/>
        <v>41308.69</v>
      </c>
      <c r="F80" s="10">
        <f t="shared" si="25"/>
        <v>508165.40999999992</v>
      </c>
      <c r="G80" s="14">
        <f t="shared" si="25"/>
        <v>142675.57</v>
      </c>
      <c r="H80" s="10">
        <f t="shared" si="25"/>
        <v>94535.090000000011</v>
      </c>
      <c r="I80" s="14">
        <f t="shared" si="25"/>
        <v>160029.21</v>
      </c>
      <c r="J80" s="10">
        <f t="shared" si="25"/>
        <v>233001.33000000005</v>
      </c>
      <c r="K80" s="15">
        <f>SUM(C80:J80)</f>
        <v>1300416.1700000002</v>
      </c>
      <c r="L80" s="733">
        <f>K80/$K$24</f>
        <v>8.9305497241132462E-3</v>
      </c>
    </row>
    <row r="81" spans="1:12" x14ac:dyDescent="0.25">
      <c r="A81" s="730" t="s">
        <v>42</v>
      </c>
      <c r="C81" s="12">
        <f>C80/$K$22</f>
        <v>9.2817109464272504E-2</v>
      </c>
      <c r="D81" s="5">
        <f t="shared" ref="D81:K81" si="26">D80/$K$22</f>
        <v>0</v>
      </c>
      <c r="E81" s="12">
        <f t="shared" si="26"/>
        <v>3.1765746191851796E-2</v>
      </c>
      <c r="F81" s="5">
        <f t="shared" si="26"/>
        <v>0.39077137129108436</v>
      </c>
      <c r="G81" s="12">
        <f t="shared" si="26"/>
        <v>0.10971531521328283</v>
      </c>
      <c r="H81" s="5">
        <f t="shared" si="26"/>
        <v>7.2696027764711665E-2</v>
      </c>
      <c r="I81" s="12">
        <f t="shared" si="26"/>
        <v>0.12305999701618596</v>
      </c>
      <c r="J81" s="5">
        <f t="shared" si="26"/>
        <v>0.17917443305861078</v>
      </c>
      <c r="K81" s="12">
        <f t="shared" si="26"/>
        <v>1</v>
      </c>
      <c r="L81" s="731"/>
    </row>
    <row r="82" spans="1:12" x14ac:dyDescent="0.25">
      <c r="A82" s="28" t="s">
        <v>10</v>
      </c>
      <c r="B82" s="29">
        <v>804.56999999999994</v>
      </c>
      <c r="C82" s="30">
        <f>SUM(C62,C64,C66,C68,C70,C72,C74,C76,C78,C80)</f>
        <v>7773747.9000000004</v>
      </c>
      <c r="D82" s="30">
        <f t="shared" ref="D82:J82" si="27">SUM(D62,D64,D66,D68,D70,D72,D74,D76,D78,D80)</f>
        <v>46435674.090000018</v>
      </c>
      <c r="E82" s="30">
        <f t="shared" si="27"/>
        <v>5845626.4700000016</v>
      </c>
      <c r="F82" s="30">
        <f t="shared" si="27"/>
        <v>32721693.030000001</v>
      </c>
      <c r="G82" s="30">
        <f t="shared" si="27"/>
        <v>37104582.900000006</v>
      </c>
      <c r="H82" s="30">
        <f t="shared" si="27"/>
        <v>8618063.129999999</v>
      </c>
      <c r="I82" s="30">
        <f t="shared" si="27"/>
        <v>3623457.5800000005</v>
      </c>
      <c r="J82" s="30">
        <f t="shared" si="27"/>
        <v>3491492.3000000003</v>
      </c>
      <c r="K82" s="30">
        <f>SUM(K62:K81)</f>
        <v>145614347.39999998</v>
      </c>
      <c r="L82" s="32">
        <f>K82/$K$24</f>
        <v>1</v>
      </c>
    </row>
    <row r="83" spans="1:12" x14ac:dyDescent="0.25">
      <c r="A83" s="129" t="s">
        <v>42</v>
      </c>
      <c r="B83" s="33"/>
      <c r="C83" s="34">
        <f>C82/$K$24</f>
        <v>5.3385865052470796E-2</v>
      </c>
      <c r="D83" s="35">
        <f t="shared" ref="D83:K83" si="28">D82/$K$24</f>
        <v>0.3188949091839286</v>
      </c>
      <c r="E83" s="34">
        <f t="shared" si="28"/>
        <v>4.0144577607741989E-2</v>
      </c>
      <c r="F83" s="35">
        <f t="shared" si="28"/>
        <v>0.22471475932322865</v>
      </c>
      <c r="G83" s="34">
        <f t="shared" si="28"/>
        <v>0.25481405893386583</v>
      </c>
      <c r="H83" s="35">
        <f t="shared" si="28"/>
        <v>5.9184162027154749E-2</v>
      </c>
      <c r="I83" s="34">
        <f t="shared" si="28"/>
        <v>2.4883932419423122E-2</v>
      </c>
      <c r="J83" s="35">
        <f t="shared" si="28"/>
        <v>2.3977666777635135E-2</v>
      </c>
      <c r="K83" s="34">
        <f t="shared" si="28"/>
        <v>1</v>
      </c>
      <c r="L83" s="36"/>
    </row>
    <row r="84" spans="1:12" x14ac:dyDescent="0.25">
      <c r="C84" s="3"/>
      <c r="D84" s="3"/>
      <c r="E84" s="3"/>
      <c r="F84" s="3"/>
      <c r="G84" s="3"/>
      <c r="H84" s="3"/>
      <c r="I84" s="3"/>
      <c r="J84" s="3"/>
      <c r="K84" s="3"/>
    </row>
    <row r="85" spans="1:12" ht="40.5" x14ac:dyDescent="0.25">
      <c r="A85" s="37" t="s">
        <v>39</v>
      </c>
      <c r="B85" s="38"/>
      <c r="C85" s="38" t="s">
        <v>2</v>
      </c>
      <c r="D85" s="38" t="s">
        <v>3</v>
      </c>
      <c r="E85" s="39" t="s">
        <v>4</v>
      </c>
      <c r="F85" s="39" t="s">
        <v>5</v>
      </c>
      <c r="G85" s="39" t="s">
        <v>6</v>
      </c>
      <c r="H85" s="39" t="s">
        <v>7</v>
      </c>
      <c r="I85" s="39" t="s">
        <v>43</v>
      </c>
      <c r="J85" s="39" t="s">
        <v>44</v>
      </c>
      <c r="K85" s="40" t="s">
        <v>10</v>
      </c>
    </row>
    <row r="86" spans="1:12" x14ac:dyDescent="0.25">
      <c r="A86" s="41" t="s">
        <v>12</v>
      </c>
      <c r="B86" s="42" t="s">
        <v>41</v>
      </c>
      <c r="C86" s="43" t="s">
        <v>41</v>
      </c>
      <c r="D86" s="43" t="s">
        <v>41</v>
      </c>
      <c r="E86" s="43" t="s">
        <v>41</v>
      </c>
      <c r="F86" s="43" t="s">
        <v>41</v>
      </c>
      <c r="G86" s="43" t="s">
        <v>41</v>
      </c>
      <c r="H86" s="43" t="s">
        <v>41</v>
      </c>
      <c r="I86" s="43" t="s">
        <v>41</v>
      </c>
      <c r="J86" s="43" t="s">
        <v>41</v>
      </c>
      <c r="K86" s="44" t="s">
        <v>41</v>
      </c>
    </row>
    <row r="87" spans="1:12" x14ac:dyDescent="0.25">
      <c r="A87" s="734" t="s">
        <v>45</v>
      </c>
      <c r="B87" s="45"/>
      <c r="C87" s="45"/>
      <c r="D87" s="45"/>
      <c r="E87" s="45"/>
      <c r="F87" s="45"/>
      <c r="G87" s="45"/>
      <c r="H87" s="45"/>
      <c r="I87" s="45"/>
      <c r="J87" s="45"/>
      <c r="K87" s="46"/>
    </row>
    <row r="88" spans="1:12" x14ac:dyDescent="0.25">
      <c r="A88" s="8" t="s">
        <v>33</v>
      </c>
      <c r="B88" s="4">
        <v>287</v>
      </c>
      <c r="C88" s="6">
        <v>10887.050000000001</v>
      </c>
      <c r="D88" s="6"/>
      <c r="E88" s="6"/>
      <c r="F88" s="6"/>
      <c r="G88" s="6"/>
      <c r="H88" s="6"/>
      <c r="I88" s="6">
        <v>111834.90000000001</v>
      </c>
      <c r="J88" s="6">
        <v>191110.40000000002</v>
      </c>
      <c r="K88" s="53">
        <v>314119.35000000003</v>
      </c>
    </row>
    <row r="89" spans="1:12" x14ac:dyDescent="0.25">
      <c r="A89" s="9" t="s">
        <v>34</v>
      </c>
      <c r="C89" s="7">
        <v>602.70000000000005</v>
      </c>
      <c r="D89" s="7"/>
      <c r="E89" s="7">
        <v>1246.3500000000001</v>
      </c>
      <c r="F89" s="7">
        <v>27119.599999999999</v>
      </c>
      <c r="G89" s="7">
        <v>4290.1000000000004</v>
      </c>
      <c r="H89" s="7">
        <v>4427.8</v>
      </c>
      <c r="I89" s="7">
        <v>108.69999999999999</v>
      </c>
      <c r="J89" s="7">
        <v>13.5</v>
      </c>
      <c r="K89" s="47">
        <v>37808.749999999993</v>
      </c>
    </row>
    <row r="90" spans="1:12" x14ac:dyDescent="0.25">
      <c r="A90" s="8" t="s">
        <v>28</v>
      </c>
      <c r="B90" s="4"/>
      <c r="C90" s="6"/>
      <c r="D90" s="6"/>
      <c r="E90" s="6">
        <v>4.0999999999999996</v>
      </c>
      <c r="F90" s="6">
        <v>271.37</v>
      </c>
      <c r="G90" s="6">
        <v>129.76</v>
      </c>
      <c r="H90" s="6"/>
      <c r="I90" s="6">
        <v>69</v>
      </c>
      <c r="J90" s="6">
        <v>227.98000000000002</v>
      </c>
      <c r="K90" s="53">
        <v>702.21</v>
      </c>
    </row>
    <row r="91" spans="1:12" x14ac:dyDescent="0.25">
      <c r="A91" s="9" t="s">
        <v>29</v>
      </c>
      <c r="B91">
        <v>19.649999999999999</v>
      </c>
      <c r="C91" s="7">
        <v>52754.05000000001</v>
      </c>
      <c r="D91" s="7"/>
      <c r="E91" s="7">
        <v>19026.5</v>
      </c>
      <c r="F91" s="7">
        <v>270412.50999999995</v>
      </c>
      <c r="G91" s="7">
        <v>61381.830000000024</v>
      </c>
      <c r="H91" s="7">
        <v>51415.040000000015</v>
      </c>
      <c r="I91" s="7">
        <v>8795.5999999999985</v>
      </c>
      <c r="J91" s="7">
        <v>10878.170000000002</v>
      </c>
      <c r="K91" s="47">
        <v>474683.34999999992</v>
      </c>
    </row>
    <row r="92" spans="1:12" x14ac:dyDescent="0.25">
      <c r="A92" s="8" t="s">
        <v>30</v>
      </c>
      <c r="B92" s="4"/>
      <c r="C92" s="6"/>
      <c r="D92" s="6"/>
      <c r="E92" s="6"/>
      <c r="F92" s="6"/>
      <c r="G92" s="6"/>
      <c r="H92" s="6"/>
      <c r="I92" s="6"/>
      <c r="J92" s="6">
        <v>-5.29</v>
      </c>
      <c r="K92" s="53">
        <v>-5.29</v>
      </c>
    </row>
    <row r="93" spans="1:12" x14ac:dyDescent="0.25">
      <c r="A93" s="9" t="s">
        <v>31</v>
      </c>
      <c r="C93" s="7">
        <v>5908.7800000000007</v>
      </c>
      <c r="D93" s="7"/>
      <c r="E93" s="7">
        <v>2442.0299999999997</v>
      </c>
      <c r="F93" s="7">
        <v>17459.010000000002</v>
      </c>
      <c r="G93" s="7">
        <v>8972.1200000000008</v>
      </c>
      <c r="H93" s="7">
        <v>517.14</v>
      </c>
      <c r="I93" s="7">
        <v>31648.969999999987</v>
      </c>
      <c r="J93" s="7">
        <v>21297.720000000005</v>
      </c>
      <c r="K93" s="47">
        <v>88245.76999999999</v>
      </c>
    </row>
    <row r="94" spans="1:12" x14ac:dyDescent="0.25">
      <c r="A94" s="8" t="s">
        <v>32</v>
      </c>
      <c r="B94" s="4">
        <v>10.7</v>
      </c>
      <c r="C94" s="6">
        <v>50548.289999999994</v>
      </c>
      <c r="D94" s="6"/>
      <c r="E94" s="6">
        <v>18589.710000000003</v>
      </c>
      <c r="F94" s="6">
        <v>192902.92</v>
      </c>
      <c r="G94" s="6">
        <v>67901.759999999995</v>
      </c>
      <c r="H94" s="6">
        <v>38175.109999999993</v>
      </c>
      <c r="I94" s="6">
        <v>7572.0400000000009</v>
      </c>
      <c r="J94" s="6">
        <v>9478.85</v>
      </c>
      <c r="K94" s="53">
        <v>385179.38</v>
      </c>
    </row>
    <row r="95" spans="1:12" x14ac:dyDescent="0.25">
      <c r="A95" s="48"/>
      <c r="K95" s="1"/>
    </row>
    <row r="96" spans="1:12" x14ac:dyDescent="0.25">
      <c r="A96" s="49" t="s">
        <v>10</v>
      </c>
      <c r="B96" s="50"/>
      <c r="C96" s="51">
        <f>SUM(C88:C94)</f>
        <v>120700.87000000001</v>
      </c>
      <c r="D96" s="51">
        <f t="shared" ref="D96:K96" si="29">SUM(D88:D94)</f>
        <v>0</v>
      </c>
      <c r="E96" s="51">
        <f t="shared" si="29"/>
        <v>41308.69</v>
      </c>
      <c r="F96" s="51">
        <f t="shared" si="29"/>
        <v>508165.40999999992</v>
      </c>
      <c r="G96" s="51">
        <f t="shared" si="29"/>
        <v>142675.57</v>
      </c>
      <c r="H96" s="51">
        <f t="shared" si="29"/>
        <v>94535.090000000011</v>
      </c>
      <c r="I96" s="51">
        <f t="shared" si="29"/>
        <v>160029.21</v>
      </c>
      <c r="J96" s="51">
        <f t="shared" si="29"/>
        <v>233001.33000000005</v>
      </c>
      <c r="K96" s="52">
        <f t="shared" si="29"/>
        <v>1300733.52</v>
      </c>
      <c r="L96" s="280"/>
    </row>
  </sheetData>
  <mergeCells count="4">
    <mergeCell ref="A1:L1"/>
    <mergeCell ref="A41:L41"/>
    <mergeCell ref="A59:L59"/>
    <mergeCell ref="A50:L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71A-605A-4D5C-B5B6-EF4933E12D28}">
  <sheetPr codeName="Sheet3"/>
  <dimension ref="A1:N93"/>
  <sheetViews>
    <sheetView showGridLines="0" zoomScaleNormal="100" workbookViewId="0">
      <selection activeCell="A38" sqref="A38"/>
    </sheetView>
  </sheetViews>
  <sheetFormatPr defaultColWidth="8.7109375" defaultRowHeight="15" x14ac:dyDescent="0.25"/>
  <cols>
    <col min="1" max="1" width="19.7109375" style="54" customWidth="1"/>
    <col min="2" max="2" width="12.42578125" style="54" hidden="1" customWidth="1"/>
    <col min="3" max="3" width="15.42578125" style="54" customWidth="1"/>
    <col min="4" max="4" width="12.140625" style="54" bestFit="1" customWidth="1"/>
    <col min="5" max="8" width="15.42578125" style="54" customWidth="1"/>
    <col min="9" max="9" width="14.85546875" style="54" customWidth="1"/>
    <col min="10" max="10" width="13.42578125" style="54" customWidth="1"/>
    <col min="11" max="13" width="15.42578125" style="54" customWidth="1"/>
    <col min="14" max="16384" width="8.7109375" style="54"/>
  </cols>
  <sheetData>
    <row r="1" spans="1:14" ht="29.45" customHeight="1" x14ac:dyDescent="0.35">
      <c r="C1" s="782" t="s">
        <v>52</v>
      </c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</row>
    <row r="2" spans="1:14" ht="30" customHeight="1" x14ac:dyDescent="0.25">
      <c r="A2" s="92" t="s">
        <v>53</v>
      </c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4" x14ac:dyDescent="0.25">
      <c r="A3" s="68" t="s">
        <v>12</v>
      </c>
      <c r="B3" s="54" t="s">
        <v>54</v>
      </c>
      <c r="C3" s="57" t="s">
        <v>55</v>
      </c>
      <c r="D3" s="57" t="s">
        <v>55</v>
      </c>
      <c r="E3" s="57" t="s">
        <v>55</v>
      </c>
      <c r="F3" s="57" t="s">
        <v>55</v>
      </c>
      <c r="G3" s="57" t="s">
        <v>55</v>
      </c>
      <c r="H3" s="57" t="s">
        <v>55</v>
      </c>
      <c r="I3" s="57" t="s">
        <v>55</v>
      </c>
      <c r="J3" s="57" t="s">
        <v>55</v>
      </c>
      <c r="K3" s="57" t="s">
        <v>55</v>
      </c>
      <c r="L3" s="58" t="s">
        <v>15</v>
      </c>
    </row>
    <row r="4" spans="1:14" x14ac:dyDescent="0.25">
      <c r="A4" s="735" t="s">
        <v>16</v>
      </c>
      <c r="B4" s="59">
        <v>3.2727272727272729</v>
      </c>
      <c r="C4" s="736">
        <v>54878.336363636379</v>
      </c>
      <c r="D4" s="737">
        <v>313667.54545454535</v>
      </c>
      <c r="E4" s="736">
        <v>37106.963636363631</v>
      </c>
      <c r="F4" s="737">
        <v>216052.08181818179</v>
      </c>
      <c r="G4" s="736">
        <v>253741.6363636365</v>
      </c>
      <c r="H4" s="737">
        <v>52110.663636363621</v>
      </c>
      <c r="I4" s="736">
        <v>27299.318181818173</v>
      </c>
      <c r="J4" s="737">
        <v>25640.481818181815</v>
      </c>
      <c r="K4" s="122">
        <v>980500.3</v>
      </c>
      <c r="L4" s="738">
        <f>K4/$K$24</f>
        <v>0.46396234909371664</v>
      </c>
    </row>
    <row r="5" spans="1:14" x14ac:dyDescent="0.25">
      <c r="A5" s="60" t="s">
        <v>56</v>
      </c>
      <c r="C5" s="739">
        <f>C4/$K$4</f>
        <v>5.5969729293949604E-2</v>
      </c>
      <c r="D5" s="740">
        <f>D4/$K$4</f>
        <v>0.31990560885554581</v>
      </c>
      <c r="E5" s="739">
        <f t="shared" ref="E5:K5" si="0">E4/$K$4</f>
        <v>3.7844928386420312E-2</v>
      </c>
      <c r="F5" s="740">
        <f t="shared" si="0"/>
        <v>0.22034881765786485</v>
      </c>
      <c r="G5" s="739">
        <f t="shared" si="0"/>
        <v>0.25878792323024941</v>
      </c>
      <c r="H5" s="740">
        <f t="shared" si="0"/>
        <v>5.3147014474512262E-2</v>
      </c>
      <c r="I5" s="739">
        <f t="shared" si="0"/>
        <v>2.7842233380059315E-2</v>
      </c>
      <c r="J5" s="740">
        <f t="shared" si="0"/>
        <v>2.6150406907761083E-2</v>
      </c>
      <c r="K5" s="739">
        <f t="shared" si="0"/>
        <v>1</v>
      </c>
      <c r="L5" s="55"/>
    </row>
    <row r="6" spans="1:14" x14ac:dyDescent="0.25">
      <c r="A6" s="741" t="s">
        <v>19</v>
      </c>
      <c r="B6" s="61"/>
      <c r="C6" s="742">
        <v>427.90909090909099</v>
      </c>
      <c r="D6" s="743">
        <v>14657.545454545449</v>
      </c>
      <c r="E6" s="742">
        <v>1474.3545454545454</v>
      </c>
      <c r="F6" s="743">
        <v>8538.3454545454515</v>
      </c>
      <c r="G6" s="742">
        <v>5103.2000000000016</v>
      </c>
      <c r="H6" s="743">
        <v>1896.1727272727271</v>
      </c>
      <c r="I6" s="742">
        <v>139.3545454545455</v>
      </c>
      <c r="J6" s="743">
        <v>227.03636363636366</v>
      </c>
      <c r="K6" s="15">
        <v>32463.918181818171</v>
      </c>
      <c r="L6" s="744">
        <f>K6/$K$24</f>
        <v>1.536158198056908E-2</v>
      </c>
    </row>
    <row r="7" spans="1:14" x14ac:dyDescent="0.25">
      <c r="A7" s="60" t="s">
        <v>56</v>
      </c>
      <c r="C7" s="739">
        <f>C6/$K$6</f>
        <v>1.3181067316413671E-2</v>
      </c>
      <c r="D7" s="740">
        <f t="shared" ref="D7:K7" si="1">D6/$K$6</f>
        <v>0.45150266127625321</v>
      </c>
      <c r="E7" s="739">
        <f t="shared" si="1"/>
        <v>4.5415175617349736E-2</v>
      </c>
      <c r="F7" s="740">
        <f t="shared" si="1"/>
        <v>0.26301031830863408</v>
      </c>
      <c r="G7" s="739">
        <f t="shared" si="1"/>
        <v>0.15719605906529524</v>
      </c>
      <c r="H7" s="740">
        <f t="shared" si="1"/>
        <v>5.8408622047806377E-2</v>
      </c>
      <c r="I7" s="739">
        <f t="shared" si="1"/>
        <v>4.2925978519928864E-3</v>
      </c>
      <c r="J7" s="740">
        <f t="shared" si="1"/>
        <v>6.9934985162548322E-3</v>
      </c>
      <c r="K7" s="739">
        <f t="shared" si="1"/>
        <v>1</v>
      </c>
      <c r="L7" s="55"/>
    </row>
    <row r="8" spans="1:14" x14ac:dyDescent="0.25">
      <c r="A8" s="741" t="s">
        <v>20</v>
      </c>
      <c r="B8" s="61">
        <v>0.44545454545454544</v>
      </c>
      <c r="C8" s="742">
        <v>52869.518181818159</v>
      </c>
      <c r="D8" s="743">
        <v>205803.26363636358</v>
      </c>
      <c r="E8" s="742">
        <v>29898.272727272717</v>
      </c>
      <c r="F8" s="743">
        <v>149555.40000000002</v>
      </c>
      <c r="G8" s="742">
        <v>205522.40000000005</v>
      </c>
      <c r="H8" s="743">
        <v>47205.909090909074</v>
      </c>
      <c r="I8" s="742">
        <v>18329.754545454529</v>
      </c>
      <c r="J8" s="743">
        <v>15291.854545454538</v>
      </c>
      <c r="K8" s="15">
        <v>724476.81818181812</v>
      </c>
      <c r="L8" s="744">
        <f>K8/$K$24</f>
        <v>0.34281475123217992</v>
      </c>
    </row>
    <row r="9" spans="1:14" x14ac:dyDescent="0.25">
      <c r="A9" s="60" t="s">
        <v>56</v>
      </c>
      <c r="C9" s="739">
        <f>C8/$K$8</f>
        <v>7.2976135129488404E-2</v>
      </c>
      <c r="D9" s="740">
        <f t="shared" ref="D9:K9" si="2">D8/$K$8</f>
        <v>0.28407156512317033</v>
      </c>
      <c r="E9" s="739">
        <f t="shared" si="2"/>
        <v>4.1268777657105522E-2</v>
      </c>
      <c r="F9" s="740">
        <f t="shared" si="2"/>
        <v>0.20643227808907874</v>
      </c>
      <c r="G9" s="739">
        <f t="shared" si="2"/>
        <v>0.28368388724402382</v>
      </c>
      <c r="H9" s="740">
        <f t="shared" si="2"/>
        <v>6.5158619166558421E-2</v>
      </c>
      <c r="I9" s="739">
        <f t="shared" si="2"/>
        <v>2.530067779319118E-2</v>
      </c>
      <c r="J9" s="740">
        <f t="shared" si="2"/>
        <v>2.1107444933616666E-2</v>
      </c>
      <c r="K9" s="739">
        <f t="shared" si="2"/>
        <v>1</v>
      </c>
      <c r="L9" s="55"/>
    </row>
    <row r="10" spans="1:14" x14ac:dyDescent="0.25">
      <c r="A10" s="741" t="s">
        <v>21</v>
      </c>
      <c r="B10" s="61">
        <v>4.5454545454545456E-2</v>
      </c>
      <c r="C10" s="742">
        <v>3346.9545454545455</v>
      </c>
      <c r="D10" s="743">
        <v>33475.19999999999</v>
      </c>
      <c r="E10" s="742">
        <v>4094.1909090909126</v>
      </c>
      <c r="F10" s="743">
        <v>28557.309090909093</v>
      </c>
      <c r="G10" s="742">
        <v>26903.490909090906</v>
      </c>
      <c r="H10" s="743">
        <v>5678.2363636363643</v>
      </c>
      <c r="I10" s="742">
        <v>2190.763636363632</v>
      </c>
      <c r="J10" s="743">
        <v>2307.2636363636352</v>
      </c>
      <c r="K10" s="15">
        <v>106553.45454545454</v>
      </c>
      <c r="L10" s="744">
        <f>K10/$K$24</f>
        <v>5.0419965271769569E-2</v>
      </c>
    </row>
    <row r="11" spans="1:14" x14ac:dyDescent="0.25">
      <c r="A11" s="60" t="s">
        <v>56</v>
      </c>
      <c r="C11" s="739">
        <f>C10/$K$10</f>
        <v>3.1411037396509481E-2</v>
      </c>
      <c r="D11" s="740">
        <f t="shared" ref="D11:K11" si="3">D10/$K$10</f>
        <v>0.3141634416528451</v>
      </c>
      <c r="E11" s="739">
        <f t="shared" si="3"/>
        <v>3.8423821419552147E-2</v>
      </c>
      <c r="F11" s="740">
        <f t="shared" si="3"/>
        <v>0.26800922797605642</v>
      </c>
      <c r="G11" s="739">
        <f t="shared" si="3"/>
        <v>0.25248820907645159</v>
      </c>
      <c r="H11" s="740">
        <f t="shared" si="3"/>
        <v>5.3290026004873363E-2</v>
      </c>
      <c r="I11" s="739">
        <f t="shared" si="3"/>
        <v>2.0560230972418412E-2</v>
      </c>
      <c r="J11" s="740">
        <f t="shared" si="3"/>
        <v>2.165357891216358E-2</v>
      </c>
      <c r="K11" s="739">
        <f t="shared" si="3"/>
        <v>1</v>
      </c>
      <c r="L11" s="55"/>
    </row>
    <row r="12" spans="1:14" x14ac:dyDescent="0.25">
      <c r="A12" s="741" t="s">
        <v>22</v>
      </c>
      <c r="B12" s="61"/>
      <c r="C12" s="742">
        <v>134.00909090909087</v>
      </c>
      <c r="D12" s="743">
        <v>2159.4818181818182</v>
      </c>
      <c r="E12" s="742">
        <v>302.66363636363627</v>
      </c>
      <c r="F12" s="743">
        <v>1091.8727272727274</v>
      </c>
      <c r="G12" s="742">
        <v>1707.7363636363632</v>
      </c>
      <c r="H12" s="743">
        <v>325.10000000000008</v>
      </c>
      <c r="I12" s="742">
        <v>42.427272727272722</v>
      </c>
      <c r="J12" s="743">
        <v>43.418181818181807</v>
      </c>
      <c r="K12" s="15">
        <v>5806.7090909090912</v>
      </c>
      <c r="L12" s="744">
        <f>K12/$K$24</f>
        <v>2.7476731932892032E-3</v>
      </c>
    </row>
    <row r="13" spans="1:14" x14ac:dyDescent="0.25">
      <c r="A13" s="60" t="s">
        <v>56</v>
      </c>
      <c r="C13" s="739">
        <f>C12/$K$12</f>
        <v>2.3078320062372985E-2</v>
      </c>
      <c r="D13" s="740">
        <f t="shared" ref="D13:K13" si="4">D12/$K$12</f>
        <v>0.37189426650676805</v>
      </c>
      <c r="E13" s="739">
        <f t="shared" si="4"/>
        <v>5.2123092723464062E-2</v>
      </c>
      <c r="F13" s="740">
        <f t="shared" si="4"/>
        <v>0.18803640929457777</v>
      </c>
      <c r="G13" s="739">
        <f t="shared" si="4"/>
        <v>0.29409711023925295</v>
      </c>
      <c r="H13" s="740">
        <f t="shared" si="4"/>
        <v>5.5986961790280218E-2</v>
      </c>
      <c r="I13" s="739">
        <f t="shared" si="4"/>
        <v>7.3065951923950026E-3</v>
      </c>
      <c r="J13" s="740">
        <f t="shared" si="4"/>
        <v>7.4772441908889072E-3</v>
      </c>
      <c r="K13" s="739">
        <f t="shared" si="4"/>
        <v>1</v>
      </c>
      <c r="L13" s="55"/>
    </row>
    <row r="14" spans="1:14" x14ac:dyDescent="0.25">
      <c r="A14" s="741" t="s">
        <v>23</v>
      </c>
      <c r="B14" s="61"/>
      <c r="C14" s="742">
        <v>2323.318181818182</v>
      </c>
      <c r="D14" s="743">
        <v>36658.018181818174</v>
      </c>
      <c r="E14" s="742">
        <v>3841.1727272727271</v>
      </c>
      <c r="F14" s="743">
        <v>19450.454545454555</v>
      </c>
      <c r="G14" s="742">
        <v>20250.890909090904</v>
      </c>
      <c r="H14" s="743">
        <v>5264.8818181818142</v>
      </c>
      <c r="I14" s="742">
        <v>1045.6181818181819</v>
      </c>
      <c r="J14" s="743">
        <v>1162.1999999999996</v>
      </c>
      <c r="K14" s="15">
        <v>89996.554545454521</v>
      </c>
      <c r="L14" s="744">
        <f>K14/$K$24</f>
        <v>4.2585415687532047E-2</v>
      </c>
    </row>
    <row r="15" spans="1:14" x14ac:dyDescent="0.25">
      <c r="A15" s="60" t="s">
        <v>56</v>
      </c>
      <c r="C15" s="739">
        <f>C14/$K$14</f>
        <v>2.5815634760159009E-2</v>
      </c>
      <c r="D15" s="740">
        <f t="shared" ref="D15:K15" si="5">D14/$K$14</f>
        <v>0.40732690675733951</v>
      </c>
      <c r="E15" s="739">
        <f t="shared" si="5"/>
        <v>4.2681330931759923E-2</v>
      </c>
      <c r="F15" s="740">
        <f t="shared" si="5"/>
        <v>0.21612443547081264</v>
      </c>
      <c r="G15" s="739">
        <f t="shared" si="5"/>
        <v>0.22501851333500544</v>
      </c>
      <c r="H15" s="740">
        <f t="shared" si="5"/>
        <v>5.8500926449608498E-2</v>
      </c>
      <c r="I15" s="739">
        <f t="shared" si="5"/>
        <v>1.1618424584133074E-2</v>
      </c>
      <c r="J15" s="740">
        <f t="shared" si="5"/>
        <v>1.2913827711182074E-2</v>
      </c>
      <c r="K15" s="739">
        <f t="shared" si="5"/>
        <v>1</v>
      </c>
      <c r="L15" s="55"/>
    </row>
    <row r="16" spans="1:14" x14ac:dyDescent="0.25">
      <c r="A16" s="741" t="s">
        <v>24</v>
      </c>
      <c r="B16" s="61"/>
      <c r="C16" s="742">
        <v>1060.4272727272726</v>
      </c>
      <c r="D16" s="743">
        <v>10445.127272727272</v>
      </c>
      <c r="E16" s="742">
        <v>1230.9272727272726</v>
      </c>
      <c r="F16" s="743">
        <v>6442.0545454545454</v>
      </c>
      <c r="G16" s="742">
        <v>8646.6181818181813</v>
      </c>
      <c r="H16" s="743">
        <v>1821.3727272727274</v>
      </c>
      <c r="I16" s="742">
        <v>565.55454545454506</v>
      </c>
      <c r="J16" s="743">
        <v>585.65454545454543</v>
      </c>
      <c r="K16" s="15">
        <v>30797.736363636363</v>
      </c>
      <c r="L16" s="744">
        <f>K16/$K$24</f>
        <v>1.4573162404990294E-2</v>
      </c>
    </row>
    <row r="17" spans="1:12" x14ac:dyDescent="0.25">
      <c r="A17" s="60" t="s">
        <v>56</v>
      </c>
      <c r="C17" s="739">
        <f>C16/$K$16</f>
        <v>3.4431987474876399E-2</v>
      </c>
      <c r="D17" s="740">
        <f t="shared" ref="D17:K17" si="6">D16/$K$16</f>
        <v>0.33915243475686374</v>
      </c>
      <c r="E17" s="739">
        <f t="shared" si="6"/>
        <v>3.9968108636083348E-2</v>
      </c>
      <c r="F17" s="740">
        <f t="shared" si="6"/>
        <v>0.20917298821548574</v>
      </c>
      <c r="G17" s="739">
        <f t="shared" si="6"/>
        <v>0.28075499055272951</v>
      </c>
      <c r="H17" s="740">
        <f t="shared" si="6"/>
        <v>5.9139824621112953E-2</v>
      </c>
      <c r="I17" s="739">
        <f t="shared" si="6"/>
        <v>1.836351018714184E-2</v>
      </c>
      <c r="J17" s="740">
        <f t="shared" si="6"/>
        <v>1.9016155555706425E-2</v>
      </c>
      <c r="K17" s="739">
        <f t="shared" si="6"/>
        <v>1</v>
      </c>
      <c r="L17" s="55"/>
    </row>
    <row r="18" spans="1:12" x14ac:dyDescent="0.25">
      <c r="A18" s="741" t="s">
        <v>25</v>
      </c>
      <c r="B18" s="61">
        <v>-2.1636363636363636</v>
      </c>
      <c r="C18" s="742">
        <v>3100.6090909090922</v>
      </c>
      <c r="D18" s="743">
        <v>44542.145454545469</v>
      </c>
      <c r="E18" s="742">
        <v>5266.8090909090888</v>
      </c>
      <c r="F18" s="743">
        <v>33480.83636363635</v>
      </c>
      <c r="G18" s="742">
        <v>27416.699999999993</v>
      </c>
      <c r="H18" s="743">
        <v>7882.1545454545458</v>
      </c>
      <c r="I18" s="742">
        <v>1597.5636363636356</v>
      </c>
      <c r="J18" s="743">
        <v>1700.100000000001</v>
      </c>
      <c r="K18" s="15">
        <v>124984.75454545455</v>
      </c>
      <c r="L18" s="744">
        <f>K18/$K$24</f>
        <v>5.914146106820229E-2</v>
      </c>
    </row>
    <row r="19" spans="1:12" x14ac:dyDescent="0.25">
      <c r="A19" s="60" t="s">
        <v>56</v>
      </c>
      <c r="C19" s="739">
        <f>C18/$K$18</f>
        <v>2.4807898388770771E-2</v>
      </c>
      <c r="D19" s="740">
        <f t="shared" ref="D19:K19" si="7">D18/$K$18</f>
        <v>0.35638062911382001</v>
      </c>
      <c r="E19" s="739">
        <f t="shared" si="7"/>
        <v>4.2139612227614941E-2</v>
      </c>
      <c r="F19" s="740">
        <f t="shared" si="7"/>
        <v>0.26787936245024202</v>
      </c>
      <c r="G19" s="739">
        <f t="shared" si="7"/>
        <v>0.21936035398644615</v>
      </c>
      <c r="H19" s="740">
        <f t="shared" si="7"/>
        <v>6.3064927991581227E-2</v>
      </c>
      <c r="I19" s="739">
        <f t="shared" si="7"/>
        <v>1.2782068038407297E-2</v>
      </c>
      <c r="J19" s="740">
        <f t="shared" si="7"/>
        <v>1.360245900536379E-2</v>
      </c>
      <c r="K19" s="739">
        <f t="shared" si="7"/>
        <v>1</v>
      </c>
      <c r="L19" s="55"/>
    </row>
    <row r="20" spans="1:12" x14ac:dyDescent="0.25">
      <c r="A20" s="741" t="s">
        <v>26</v>
      </c>
      <c r="B20" s="61"/>
      <c r="C20" s="742">
        <v>68.572727272727263</v>
      </c>
      <c r="D20" s="743">
        <v>2587.2090909090907</v>
      </c>
      <c r="E20" s="742">
        <v>276.0545454545454</v>
      </c>
      <c r="F20" s="743">
        <v>1277.6181818181817</v>
      </c>
      <c r="G20" s="742">
        <v>1154.8999999999994</v>
      </c>
      <c r="H20" s="743">
        <v>331.32727272727266</v>
      </c>
      <c r="I20" s="742">
        <v>15.745454545454544</v>
      </c>
      <c r="J20" s="743">
        <v>7.9545454545454541</v>
      </c>
      <c r="K20" s="15">
        <v>5719.3818181818178</v>
      </c>
      <c r="L20" s="744">
        <f>K20/$K$24</f>
        <v>2.7063508534648363E-3</v>
      </c>
    </row>
    <row r="21" spans="1:12" x14ac:dyDescent="0.25">
      <c r="A21" s="60" t="s">
        <v>56</v>
      </c>
      <c r="C21" s="739">
        <f>C20/$K$20</f>
        <v>1.1989534787612138E-2</v>
      </c>
      <c r="D21" s="740">
        <f t="shared" ref="D21:K21" si="8">D20/$K$20</f>
        <v>0.45235816966868636</v>
      </c>
      <c r="E21" s="739">
        <f t="shared" si="8"/>
        <v>4.8266500511816274E-2</v>
      </c>
      <c r="F21" s="740">
        <f t="shared" si="8"/>
        <v>0.22338396393761564</v>
      </c>
      <c r="G21" s="739">
        <f t="shared" si="8"/>
        <v>0.20192741745770354</v>
      </c>
      <c r="H21" s="740">
        <f t="shared" si="8"/>
        <v>5.7930609156742932E-2</v>
      </c>
      <c r="I21" s="739">
        <f t="shared" si="8"/>
        <v>2.752999370561345E-3</v>
      </c>
      <c r="J21" s="740">
        <f t="shared" si="8"/>
        <v>1.3908051092616494E-3</v>
      </c>
      <c r="K21" s="739">
        <f t="shared" si="8"/>
        <v>1</v>
      </c>
      <c r="L21" s="745"/>
    </row>
    <row r="22" spans="1:12" x14ac:dyDescent="0.25">
      <c r="A22" s="746" t="s">
        <v>27</v>
      </c>
      <c r="B22" s="61"/>
      <c r="C22" s="742">
        <f t="shared" ref="C22:K22" si="9">C36</f>
        <v>2236.1272727272726</v>
      </c>
      <c r="D22" s="743">
        <f t="shared" si="9"/>
        <v>0</v>
      </c>
      <c r="E22" s="742">
        <f t="shared" si="9"/>
        <v>369.08181818181822</v>
      </c>
      <c r="F22" s="743">
        <f t="shared" si="9"/>
        <v>4186.7363636363643</v>
      </c>
      <c r="G22" s="742">
        <f t="shared" si="9"/>
        <v>1265.9000000000001</v>
      </c>
      <c r="H22" s="743">
        <f t="shared" si="9"/>
        <v>712.52727272727259</v>
      </c>
      <c r="I22" s="742">
        <f t="shared" si="9"/>
        <v>1479.6090909090904</v>
      </c>
      <c r="J22" s="743">
        <f t="shared" si="9"/>
        <v>1767.4454545454539</v>
      </c>
      <c r="K22" s="742">
        <f t="shared" si="9"/>
        <v>12019.054545454544</v>
      </c>
      <c r="L22" s="744">
        <f t="shared" ref="L22" si="10">K22/$K$24</f>
        <v>5.6872892142864236E-3</v>
      </c>
    </row>
    <row r="23" spans="1:12" x14ac:dyDescent="0.25">
      <c r="A23" s="60" t="s">
        <v>56</v>
      </c>
      <c r="C23" s="739">
        <f>C22/$K$22</f>
        <v>0.18604851690043689</v>
      </c>
      <c r="D23" s="740">
        <f t="shared" ref="D23:K23" si="11">D22/$K$22</f>
        <v>0</v>
      </c>
      <c r="E23" s="739">
        <f t="shared" si="11"/>
        <v>3.0708057508683186E-2</v>
      </c>
      <c r="F23" s="740">
        <f t="shared" si="11"/>
        <v>0.34834157277535072</v>
      </c>
      <c r="G23" s="739">
        <f t="shared" si="11"/>
        <v>0.10532442424755843</v>
      </c>
      <c r="H23" s="740">
        <f t="shared" si="11"/>
        <v>5.9283138289503934E-2</v>
      </c>
      <c r="I23" s="739">
        <f t="shared" si="11"/>
        <v>0.12310528131088813</v>
      </c>
      <c r="J23" s="740">
        <f t="shared" si="11"/>
        <v>0.14705361789159027</v>
      </c>
      <c r="K23" s="739">
        <f t="shared" si="11"/>
        <v>1</v>
      </c>
      <c r="L23" s="55"/>
    </row>
    <row r="24" spans="1:12" x14ac:dyDescent="0.25">
      <c r="A24" s="62" t="s">
        <v>10</v>
      </c>
      <c r="B24" s="63">
        <v>3.227272727272728</v>
      </c>
      <c r="C24" s="30">
        <v>120445.7818181818</v>
      </c>
      <c r="D24" s="31">
        <v>663995.53636363626</v>
      </c>
      <c r="E24" s="30">
        <v>83860.490909090862</v>
      </c>
      <c r="F24" s="31">
        <v>468632.70909090899</v>
      </c>
      <c r="G24" s="30">
        <v>551713.47272727289</v>
      </c>
      <c r="H24" s="31">
        <v>123228.34545454542</v>
      </c>
      <c r="I24" s="30">
        <v>52705.709090909069</v>
      </c>
      <c r="J24" s="31">
        <v>48733.409090909074</v>
      </c>
      <c r="K24" s="30">
        <v>2113318.6818181812</v>
      </c>
      <c r="L24" s="64">
        <f>K24/$K$24</f>
        <v>1</v>
      </c>
    </row>
    <row r="25" spans="1:12" x14ac:dyDescent="0.25">
      <c r="A25" s="65"/>
      <c r="B25" s="66"/>
      <c r="C25" s="34">
        <f>C24/$K$24</f>
        <v>5.6993667284745239E-2</v>
      </c>
      <c r="D25" s="35">
        <f t="shared" ref="D25:K25" si="12">D24/$K$24</f>
        <v>0.31419564975045394</v>
      </c>
      <c r="E25" s="34">
        <f t="shared" si="12"/>
        <v>3.9681895414345171E-2</v>
      </c>
      <c r="F25" s="35">
        <f t="shared" si="12"/>
        <v>0.22175203064391766</v>
      </c>
      <c r="G25" s="34">
        <f t="shared" si="12"/>
        <v>0.26106496737757007</v>
      </c>
      <c r="H25" s="35">
        <f t="shared" si="12"/>
        <v>5.831034690353782E-2</v>
      </c>
      <c r="I25" s="34">
        <f t="shared" si="12"/>
        <v>2.4939782884786703E-2</v>
      </c>
      <c r="J25" s="35">
        <f t="shared" si="12"/>
        <v>2.3060132629396705E-2</v>
      </c>
      <c r="K25" s="34">
        <f t="shared" si="12"/>
        <v>1</v>
      </c>
      <c r="L25" s="67"/>
    </row>
    <row r="26" spans="1:12" x14ac:dyDescent="0.25">
      <c r="K26" s="747">
        <f>K24/'TTV By Card'!K24</f>
        <v>1.451312126553665E-2</v>
      </c>
    </row>
    <row r="28" spans="1:12" x14ac:dyDescent="0.25">
      <c r="A28" s="55" t="s">
        <v>28</v>
      </c>
      <c r="C28" s="748"/>
      <c r="D28" s="748"/>
      <c r="E28" s="748">
        <v>9.0909090909090912E-2</v>
      </c>
      <c r="F28" s="748">
        <v>5.8818181818181818</v>
      </c>
      <c r="G28" s="748">
        <v>2.7909090909090906</v>
      </c>
      <c r="H28" s="748"/>
      <c r="I28" s="748">
        <v>1.5181818181818181</v>
      </c>
      <c r="J28" s="748">
        <v>4.9909090909090903</v>
      </c>
      <c r="K28" s="70">
        <v>15.272727272727275</v>
      </c>
      <c r="L28" s="747">
        <f t="shared" ref="L28:L34" si="13">K28/$K$24</f>
        <v>7.2268926613507595E-6</v>
      </c>
    </row>
    <row r="29" spans="1:12" x14ac:dyDescent="0.25">
      <c r="A29" s="55" t="s">
        <v>29</v>
      </c>
      <c r="B29" s="54">
        <v>0.12727272727272729</v>
      </c>
      <c r="C29" s="748">
        <v>1041.0090909090914</v>
      </c>
      <c r="D29" s="748"/>
      <c r="E29" s="748">
        <v>143.87272727272727</v>
      </c>
      <c r="F29" s="748">
        <v>2015.7090909090914</v>
      </c>
      <c r="G29" s="748">
        <v>473.59999999999991</v>
      </c>
      <c r="H29" s="748">
        <v>367.09999999999985</v>
      </c>
      <c r="I29" s="748">
        <v>69.299999999999955</v>
      </c>
      <c r="J29" s="748">
        <v>85.809090909090841</v>
      </c>
      <c r="K29" s="70">
        <v>4196.5272727272732</v>
      </c>
      <c r="L29" s="747">
        <f t="shared" si="13"/>
        <v>1.985752224135366E-3</v>
      </c>
    </row>
    <row r="30" spans="1:12" x14ac:dyDescent="0.25">
      <c r="A30" s="55" t="s">
        <v>30</v>
      </c>
      <c r="C30" s="748"/>
      <c r="D30" s="748"/>
      <c r="E30" s="748"/>
      <c r="F30" s="748"/>
      <c r="G30" s="748"/>
      <c r="H30" s="748"/>
      <c r="I30" s="748"/>
      <c r="J30" s="748">
        <v>-7.2727272727272724E-2</v>
      </c>
      <c r="K30" s="70">
        <v>-7.2727272727272724E-2</v>
      </c>
      <c r="L30" s="747">
        <f t="shared" si="13"/>
        <v>-3.4413774577860753E-8</v>
      </c>
    </row>
    <row r="31" spans="1:12" x14ac:dyDescent="0.25">
      <c r="A31" s="55" t="s">
        <v>31</v>
      </c>
      <c r="C31" s="748">
        <v>134.29999999999998</v>
      </c>
      <c r="D31" s="748"/>
      <c r="E31" s="748">
        <v>55.336363636363636</v>
      </c>
      <c r="F31" s="748">
        <v>394.69090909090909</v>
      </c>
      <c r="G31" s="748">
        <v>202.85454545454542</v>
      </c>
      <c r="H31" s="748">
        <v>11.736363636363636</v>
      </c>
      <c r="I31" s="748">
        <v>718.93636363636335</v>
      </c>
      <c r="J31" s="748">
        <v>483.57272727272738</v>
      </c>
      <c r="K31" s="70">
        <v>2001.4272727272728</v>
      </c>
      <c r="L31" s="747">
        <f t="shared" si="13"/>
        <v>9.4705417121726131E-4</v>
      </c>
    </row>
    <row r="32" spans="1:12" x14ac:dyDescent="0.25">
      <c r="A32" s="55" t="s">
        <v>32</v>
      </c>
      <c r="B32" s="54">
        <v>0.12727272727272729</v>
      </c>
      <c r="C32" s="748">
        <v>1002.9818181818181</v>
      </c>
      <c r="D32" s="748"/>
      <c r="E32" s="748">
        <v>163.03636363636366</v>
      </c>
      <c r="F32" s="748">
        <v>1616.5454545454543</v>
      </c>
      <c r="G32" s="748">
        <v>566.21818181818185</v>
      </c>
      <c r="H32" s="748">
        <v>311.05454545454552</v>
      </c>
      <c r="I32" s="748">
        <v>69.090909090909093</v>
      </c>
      <c r="J32" s="748">
        <v>77.700000000000017</v>
      </c>
      <c r="K32" s="70">
        <v>3806.7545454545452</v>
      </c>
      <c r="L32" s="747">
        <f t="shared" si="13"/>
        <v>1.8013159010071432E-3</v>
      </c>
    </row>
    <row r="33" spans="1:14" x14ac:dyDescent="0.25">
      <c r="A33" s="55" t="s">
        <v>34</v>
      </c>
      <c r="C33" s="748">
        <v>2.7454545454545451</v>
      </c>
      <c r="D33" s="748"/>
      <c r="E33" s="748">
        <v>6.7454545454545451</v>
      </c>
      <c r="F33" s="748">
        <v>153.90909090909093</v>
      </c>
      <c r="G33" s="748">
        <v>20.43636363636363</v>
      </c>
      <c r="H33" s="748">
        <v>22.636363636363633</v>
      </c>
      <c r="I33" s="748">
        <v>0.48181818181818181</v>
      </c>
      <c r="J33" s="748">
        <v>9.0909090909090912E-2</v>
      </c>
      <c r="K33" s="70">
        <v>207.04545454545456</v>
      </c>
      <c r="L33" s="747">
        <f t="shared" si="13"/>
        <v>9.7971714501347344E-5</v>
      </c>
    </row>
    <row r="34" spans="1:14" x14ac:dyDescent="0.25">
      <c r="A34" s="55" t="s">
        <v>33</v>
      </c>
      <c r="B34" s="54">
        <v>1.3727272727272728</v>
      </c>
      <c r="C34" s="748">
        <v>55.090909090909065</v>
      </c>
      <c r="D34" s="748"/>
      <c r="E34" s="748"/>
      <c r="F34" s="748"/>
      <c r="G34" s="748"/>
      <c r="H34" s="748"/>
      <c r="I34" s="748">
        <v>620.28181818181804</v>
      </c>
      <c r="J34" s="748">
        <v>1115.3545454545447</v>
      </c>
      <c r="K34" s="70">
        <v>1792.099999999999</v>
      </c>
      <c r="L34" s="747">
        <f t="shared" si="13"/>
        <v>8.4800272453853316E-4</v>
      </c>
    </row>
    <row r="36" spans="1:14" x14ac:dyDescent="0.25">
      <c r="C36" s="56">
        <f>SUM(C28:C34)</f>
        <v>2236.1272727272726</v>
      </c>
      <c r="D36" s="56">
        <f t="shared" ref="D36:K36" si="14">SUM(D28:D34)</f>
        <v>0</v>
      </c>
      <c r="E36" s="56">
        <f t="shared" si="14"/>
        <v>369.08181818181822</v>
      </c>
      <c r="F36" s="56">
        <f t="shared" si="14"/>
        <v>4186.7363636363643</v>
      </c>
      <c r="G36" s="56">
        <f t="shared" si="14"/>
        <v>1265.9000000000001</v>
      </c>
      <c r="H36" s="56">
        <f t="shared" si="14"/>
        <v>712.52727272727259</v>
      </c>
      <c r="I36" s="56">
        <f t="shared" si="14"/>
        <v>1479.6090909090904</v>
      </c>
      <c r="J36" s="56">
        <f t="shared" si="14"/>
        <v>1767.4454545454539</v>
      </c>
      <c r="K36" s="56">
        <f t="shared" si="14"/>
        <v>12019.054545454544</v>
      </c>
      <c r="L36" s="56"/>
    </row>
    <row r="43" spans="1:14" ht="21" x14ac:dyDescent="0.35">
      <c r="C43" s="782" t="s">
        <v>57</v>
      </c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</row>
    <row r="44" spans="1:14" ht="27" x14ac:dyDescent="0.25">
      <c r="A44" s="511" t="s">
        <v>53</v>
      </c>
      <c r="B44" s="512"/>
      <c r="C44" s="491" t="s">
        <v>2</v>
      </c>
      <c r="D44" s="492" t="s">
        <v>3</v>
      </c>
      <c r="E44" s="493" t="s">
        <v>4</v>
      </c>
      <c r="F44" s="494" t="s">
        <v>5</v>
      </c>
      <c r="G44" s="493" t="s">
        <v>6</v>
      </c>
      <c r="H44" s="494" t="s">
        <v>7</v>
      </c>
      <c r="I44" s="493" t="s">
        <v>8</v>
      </c>
      <c r="J44" s="494" t="s">
        <v>9</v>
      </c>
      <c r="K44" s="492" t="s">
        <v>10</v>
      </c>
      <c r="L44" s="495" t="s">
        <v>11</v>
      </c>
    </row>
    <row r="45" spans="1:14" x14ac:dyDescent="0.25">
      <c r="A45" s="513" t="s">
        <v>12</v>
      </c>
      <c r="B45" s="512" t="s">
        <v>54</v>
      </c>
      <c r="C45" s="514" t="s">
        <v>55</v>
      </c>
      <c r="D45" s="514" t="s">
        <v>55</v>
      </c>
      <c r="E45" s="514" t="s">
        <v>55</v>
      </c>
      <c r="F45" s="514" t="s">
        <v>55</v>
      </c>
      <c r="G45" s="514" t="s">
        <v>55</v>
      </c>
      <c r="H45" s="514" t="s">
        <v>55</v>
      </c>
      <c r="I45" s="514" t="s">
        <v>55</v>
      </c>
      <c r="J45" s="514" t="s">
        <v>55</v>
      </c>
      <c r="K45" s="514" t="s">
        <v>55</v>
      </c>
      <c r="L45" s="515" t="s">
        <v>15</v>
      </c>
    </row>
    <row r="47" spans="1:14" x14ac:dyDescent="0.25">
      <c r="A47" s="502" t="s">
        <v>10</v>
      </c>
      <c r="B47" s="503">
        <v>804.56999999999994</v>
      </c>
      <c r="C47" s="504">
        <f>C48*$K$47</f>
        <v>19052.145818181816</v>
      </c>
      <c r="D47" s="504">
        <f t="shared" ref="D47:J47" si="15">D48*$K$47</f>
        <v>163788.60436363638</v>
      </c>
      <c r="E47" s="504">
        <f t="shared" si="15"/>
        <v>21097.009636363633</v>
      </c>
      <c r="F47" s="504">
        <f t="shared" si="15"/>
        <v>114362.74963636363</v>
      </c>
      <c r="G47" s="504">
        <f t="shared" si="15"/>
        <v>126332.68418181819</v>
      </c>
      <c r="H47" s="504">
        <f t="shared" si="15"/>
        <v>31820.075999999997</v>
      </c>
      <c r="I47" s="504">
        <f t="shared" si="15"/>
        <v>12119.558727272726</v>
      </c>
      <c r="J47" s="504">
        <f t="shared" si="15"/>
        <v>10174.444363636363</v>
      </c>
      <c r="K47" s="504">
        <f>548622/11*10</f>
        <v>498747.27272727271</v>
      </c>
      <c r="L47" s="505"/>
    </row>
    <row r="48" spans="1:14" x14ac:dyDescent="0.25">
      <c r="A48" s="506" t="s">
        <v>42</v>
      </c>
      <c r="B48" s="507"/>
      <c r="C48" s="508">
        <v>3.8199999999999998E-2</v>
      </c>
      <c r="D48" s="509">
        <v>0.32840000000000003</v>
      </c>
      <c r="E48" s="508">
        <v>4.2299999999999997E-2</v>
      </c>
      <c r="F48" s="509">
        <v>0.2293</v>
      </c>
      <c r="G48" s="508">
        <v>0.25330000000000003</v>
      </c>
      <c r="H48" s="509">
        <v>6.3799999999999996E-2</v>
      </c>
      <c r="I48" s="508">
        <v>2.4299999999999999E-2</v>
      </c>
      <c r="J48" s="509">
        <v>2.0400000000000001E-2</v>
      </c>
      <c r="K48" s="508">
        <f>SUM(C48:J48)</f>
        <v>1.0000000000000002</v>
      </c>
      <c r="L48" s="510"/>
    </row>
    <row r="51" spans="1:14" ht="21" x14ac:dyDescent="0.35">
      <c r="C51" s="782" t="s">
        <v>58</v>
      </c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/>
    </row>
    <row r="52" spans="1:14" ht="27" x14ac:dyDescent="0.25">
      <c r="A52" s="578" t="s">
        <v>53</v>
      </c>
      <c r="B52" s="579"/>
      <c r="C52" s="557" t="s">
        <v>2</v>
      </c>
      <c r="D52" s="558" t="s">
        <v>3</v>
      </c>
      <c r="E52" s="559" t="s">
        <v>4</v>
      </c>
      <c r="F52" s="560" t="s">
        <v>5</v>
      </c>
      <c r="G52" s="559" t="s">
        <v>6</v>
      </c>
      <c r="H52" s="560" t="s">
        <v>7</v>
      </c>
      <c r="I52" s="559" t="s">
        <v>8</v>
      </c>
      <c r="J52" s="560" t="s">
        <v>9</v>
      </c>
      <c r="K52" s="558" t="s">
        <v>10</v>
      </c>
      <c r="L52" s="561" t="s">
        <v>11</v>
      </c>
    </row>
    <row r="53" spans="1:14" x14ac:dyDescent="0.25">
      <c r="A53" s="580" t="s">
        <v>12</v>
      </c>
      <c r="B53" s="579" t="s">
        <v>54</v>
      </c>
      <c r="C53" s="581" t="s">
        <v>55</v>
      </c>
      <c r="D53" s="581" t="s">
        <v>55</v>
      </c>
      <c r="E53" s="581" t="s">
        <v>55</v>
      </c>
      <c r="F53" s="581" t="s">
        <v>55</v>
      </c>
      <c r="G53" s="581" t="s">
        <v>55</v>
      </c>
      <c r="H53" s="581" t="s">
        <v>55</v>
      </c>
      <c r="I53" s="581" t="s">
        <v>55</v>
      </c>
      <c r="J53" s="581" t="s">
        <v>55</v>
      </c>
      <c r="K53" s="581" t="s">
        <v>55</v>
      </c>
      <c r="L53" s="582" t="s">
        <v>15</v>
      </c>
    </row>
    <row r="54" spans="1:14" x14ac:dyDescent="0.25">
      <c r="A54" s="579"/>
      <c r="B54" s="579"/>
      <c r="C54" s="579"/>
      <c r="D54" s="579"/>
      <c r="E54" s="579"/>
      <c r="F54" s="579"/>
      <c r="G54" s="579"/>
      <c r="H54" s="579"/>
      <c r="I54" s="579"/>
      <c r="J54" s="579"/>
      <c r="K54" s="579"/>
      <c r="L54" s="579"/>
    </row>
    <row r="55" spans="1:14" x14ac:dyDescent="0.25">
      <c r="A55" s="569" t="s">
        <v>10</v>
      </c>
      <c r="B55" s="570">
        <v>804.56999999999994</v>
      </c>
      <c r="C55" s="571">
        <f>C56*$K$47</f>
        <v>19052.145818181816</v>
      </c>
      <c r="D55" s="571">
        <f t="shared" ref="D55" si="16">D56*$K$47</f>
        <v>163788.60436363638</v>
      </c>
      <c r="E55" s="571">
        <f t="shared" ref="E55" si="17">E56*$K$47</f>
        <v>21097.009636363633</v>
      </c>
      <c r="F55" s="571">
        <f t="shared" ref="F55" si="18">F56*$K$47</f>
        <v>114362.74963636363</v>
      </c>
      <c r="G55" s="571">
        <f t="shared" ref="G55" si="19">G56*$K$47</f>
        <v>126332.68418181819</v>
      </c>
      <c r="H55" s="571">
        <f t="shared" ref="H55" si="20">H56*$K$47</f>
        <v>31820.075999999997</v>
      </c>
      <c r="I55" s="571">
        <f t="shared" ref="I55" si="21">I56*$K$47</f>
        <v>12119.558727272726</v>
      </c>
      <c r="J55" s="571">
        <f t="shared" ref="J55" si="22">J56*$K$47</f>
        <v>10174.444363636363</v>
      </c>
      <c r="K55" s="571">
        <f>548622/11*10</f>
        <v>498747.27272727271</v>
      </c>
      <c r="L55" s="572"/>
    </row>
    <row r="56" spans="1:14" x14ac:dyDescent="0.25">
      <c r="A56" s="573" t="s">
        <v>42</v>
      </c>
      <c r="B56" s="574"/>
      <c r="C56" s="575">
        <v>3.8199999999999998E-2</v>
      </c>
      <c r="D56" s="576">
        <v>0.32840000000000003</v>
      </c>
      <c r="E56" s="575">
        <v>4.2299999999999997E-2</v>
      </c>
      <c r="F56" s="576">
        <v>0.2293</v>
      </c>
      <c r="G56" s="575">
        <v>0.25330000000000003</v>
      </c>
      <c r="H56" s="576">
        <v>6.3799999999999996E-2</v>
      </c>
      <c r="I56" s="575">
        <v>2.4299999999999999E-2</v>
      </c>
      <c r="J56" s="576">
        <v>2.0400000000000001E-2</v>
      </c>
      <c r="K56" s="575">
        <f>SUM(C56:J56)</f>
        <v>1.0000000000000002</v>
      </c>
      <c r="L56" s="577"/>
    </row>
    <row r="58" spans="1:14" ht="21" x14ac:dyDescent="0.35">
      <c r="C58" s="782" t="s">
        <v>52</v>
      </c>
      <c r="D58" s="783"/>
      <c r="E58" s="783"/>
      <c r="F58" s="783"/>
      <c r="G58" s="783"/>
      <c r="H58" s="783"/>
      <c r="I58" s="783"/>
      <c r="J58" s="783"/>
      <c r="K58" s="783"/>
      <c r="L58" s="783"/>
      <c r="M58" s="783"/>
      <c r="N58" s="783"/>
    </row>
    <row r="59" spans="1:14" ht="27" x14ac:dyDescent="0.25">
      <c r="A59" s="92" t="s">
        <v>53</v>
      </c>
      <c r="C59" s="19" t="s">
        <v>2</v>
      </c>
      <c r="D59" s="23" t="s">
        <v>3</v>
      </c>
      <c r="E59" s="25" t="s">
        <v>4</v>
      </c>
      <c r="F59" s="27" t="s">
        <v>5</v>
      </c>
      <c r="G59" s="25" t="s">
        <v>6</v>
      </c>
      <c r="H59" s="27" t="s">
        <v>7</v>
      </c>
      <c r="I59" s="25" t="s">
        <v>8</v>
      </c>
      <c r="J59" s="27" t="s">
        <v>9</v>
      </c>
      <c r="K59" s="23" t="s">
        <v>10</v>
      </c>
      <c r="L59" s="21" t="s">
        <v>11</v>
      </c>
    </row>
    <row r="60" spans="1:14" x14ac:dyDescent="0.25">
      <c r="A60" s="68" t="s">
        <v>12</v>
      </c>
      <c r="B60" s="54" t="s">
        <v>54</v>
      </c>
      <c r="C60" s="57" t="s">
        <v>55</v>
      </c>
      <c r="D60" s="57" t="s">
        <v>55</v>
      </c>
      <c r="E60" s="57" t="s">
        <v>55</v>
      </c>
      <c r="F60" s="57" t="s">
        <v>55</v>
      </c>
      <c r="G60" s="57" t="s">
        <v>55</v>
      </c>
      <c r="H60" s="57" t="s">
        <v>55</v>
      </c>
      <c r="I60" s="57" t="s">
        <v>55</v>
      </c>
      <c r="J60" s="57" t="s">
        <v>55</v>
      </c>
      <c r="K60" s="57" t="s">
        <v>55</v>
      </c>
      <c r="L60" s="58" t="s">
        <v>15</v>
      </c>
    </row>
    <row r="61" spans="1:14" x14ac:dyDescent="0.25">
      <c r="A61" s="735" t="s">
        <v>16</v>
      </c>
      <c r="B61" s="59">
        <v>3.2727272727272729</v>
      </c>
      <c r="C61" s="736">
        <v>54878.336363636379</v>
      </c>
      <c r="D61" s="737">
        <v>313667.54545454535</v>
      </c>
      <c r="E61" s="736">
        <v>37106.963636363631</v>
      </c>
      <c r="F61" s="737">
        <v>216052.08181818179</v>
      </c>
      <c r="G61" s="736">
        <v>253741.6363636365</v>
      </c>
      <c r="H61" s="737">
        <v>52110.663636363621</v>
      </c>
      <c r="I61" s="736">
        <v>27299.318181818173</v>
      </c>
      <c r="J61" s="737">
        <v>25640.481818181815</v>
      </c>
      <c r="K61" s="122">
        <v>980500.3</v>
      </c>
      <c r="L61" s="738">
        <f>K61/$K$24</f>
        <v>0.46396234909371664</v>
      </c>
    </row>
    <row r="62" spans="1:14" x14ac:dyDescent="0.25">
      <c r="A62" s="60" t="s">
        <v>56</v>
      </c>
      <c r="C62" s="739">
        <f>C61/$K$4</f>
        <v>5.5969729293949604E-2</v>
      </c>
      <c r="D62" s="740">
        <f>D61/$K$4</f>
        <v>0.31990560885554581</v>
      </c>
      <c r="E62" s="739">
        <f t="shared" ref="E62:K62" si="23">E61/$K$4</f>
        <v>3.7844928386420312E-2</v>
      </c>
      <c r="F62" s="740">
        <f t="shared" si="23"/>
        <v>0.22034881765786485</v>
      </c>
      <c r="G62" s="739">
        <f t="shared" si="23"/>
        <v>0.25878792323024941</v>
      </c>
      <c r="H62" s="740">
        <f t="shared" si="23"/>
        <v>5.3147014474512262E-2</v>
      </c>
      <c r="I62" s="739">
        <f t="shared" si="23"/>
        <v>2.7842233380059315E-2</v>
      </c>
      <c r="J62" s="740">
        <f t="shared" si="23"/>
        <v>2.6150406907761083E-2</v>
      </c>
      <c r="K62" s="739">
        <f t="shared" si="23"/>
        <v>1</v>
      </c>
      <c r="L62" s="55"/>
    </row>
    <row r="63" spans="1:14" x14ac:dyDescent="0.25">
      <c r="A63" s="741" t="s">
        <v>19</v>
      </c>
      <c r="B63" s="61"/>
      <c r="C63" s="742">
        <v>427.90909090909099</v>
      </c>
      <c r="D63" s="743">
        <v>14657.545454545449</v>
      </c>
      <c r="E63" s="742">
        <v>1474.3545454545454</v>
      </c>
      <c r="F63" s="743">
        <v>8538.3454545454515</v>
      </c>
      <c r="G63" s="742">
        <v>5103.2000000000016</v>
      </c>
      <c r="H63" s="743">
        <v>1896.1727272727271</v>
      </c>
      <c r="I63" s="742">
        <v>139.3545454545455</v>
      </c>
      <c r="J63" s="743">
        <v>227.03636363636366</v>
      </c>
      <c r="K63" s="15">
        <v>32463.918181818171</v>
      </c>
      <c r="L63" s="744">
        <f>K63/$K$24</f>
        <v>1.536158198056908E-2</v>
      </c>
    </row>
    <row r="64" spans="1:14" x14ac:dyDescent="0.25">
      <c r="A64" s="60" t="s">
        <v>56</v>
      </c>
      <c r="C64" s="739">
        <f>C63/$K$6</f>
        <v>1.3181067316413671E-2</v>
      </c>
      <c r="D64" s="740">
        <f t="shared" ref="D64:K64" si="24">D63/$K$6</f>
        <v>0.45150266127625321</v>
      </c>
      <c r="E64" s="739">
        <f t="shared" si="24"/>
        <v>4.5415175617349736E-2</v>
      </c>
      <c r="F64" s="740">
        <f t="shared" si="24"/>
        <v>0.26301031830863408</v>
      </c>
      <c r="G64" s="739">
        <f t="shared" si="24"/>
        <v>0.15719605906529524</v>
      </c>
      <c r="H64" s="740">
        <f t="shared" si="24"/>
        <v>5.8408622047806377E-2</v>
      </c>
      <c r="I64" s="739">
        <f t="shared" si="24"/>
        <v>4.2925978519928864E-3</v>
      </c>
      <c r="J64" s="740">
        <f t="shared" si="24"/>
        <v>6.9934985162548322E-3</v>
      </c>
      <c r="K64" s="739">
        <f t="shared" si="24"/>
        <v>1</v>
      </c>
      <c r="L64" s="55"/>
    </row>
    <row r="65" spans="1:12" x14ac:dyDescent="0.25">
      <c r="A65" s="741" t="s">
        <v>20</v>
      </c>
      <c r="B65" s="61">
        <v>0.44545454545454544</v>
      </c>
      <c r="C65" s="742">
        <v>52869.518181818159</v>
      </c>
      <c r="D65" s="743">
        <v>205803.26363636358</v>
      </c>
      <c r="E65" s="742">
        <v>29898.272727272717</v>
      </c>
      <c r="F65" s="743">
        <v>149555.40000000002</v>
      </c>
      <c r="G65" s="742">
        <v>205522.40000000005</v>
      </c>
      <c r="H65" s="743">
        <v>47205.909090909074</v>
      </c>
      <c r="I65" s="742">
        <v>18329.754545454529</v>
      </c>
      <c r="J65" s="743">
        <v>15291.854545454538</v>
      </c>
      <c r="K65" s="15">
        <v>724476.81818181812</v>
      </c>
      <c r="L65" s="744">
        <f>K65/$K$24</f>
        <v>0.34281475123217992</v>
      </c>
    </row>
    <row r="66" spans="1:12" x14ac:dyDescent="0.25">
      <c r="A66" s="60" t="s">
        <v>56</v>
      </c>
      <c r="C66" s="739">
        <f>C65/$K$8</f>
        <v>7.2976135129488404E-2</v>
      </c>
      <c r="D66" s="740">
        <f t="shared" ref="D66:K66" si="25">D65/$K$8</f>
        <v>0.28407156512317033</v>
      </c>
      <c r="E66" s="739">
        <f t="shared" si="25"/>
        <v>4.1268777657105522E-2</v>
      </c>
      <c r="F66" s="740">
        <f t="shared" si="25"/>
        <v>0.20643227808907874</v>
      </c>
      <c r="G66" s="739">
        <f t="shared" si="25"/>
        <v>0.28368388724402382</v>
      </c>
      <c r="H66" s="740">
        <f t="shared" si="25"/>
        <v>6.5158619166558421E-2</v>
      </c>
      <c r="I66" s="739">
        <f t="shared" si="25"/>
        <v>2.530067779319118E-2</v>
      </c>
      <c r="J66" s="740">
        <f t="shared" si="25"/>
        <v>2.1107444933616666E-2</v>
      </c>
      <c r="K66" s="739">
        <f t="shared" si="25"/>
        <v>1</v>
      </c>
      <c r="L66" s="55"/>
    </row>
    <row r="67" spans="1:12" x14ac:dyDescent="0.25">
      <c r="A67" s="741" t="s">
        <v>21</v>
      </c>
      <c r="B67" s="61">
        <v>4.5454545454545456E-2</v>
      </c>
      <c r="C67" s="742">
        <v>3346.9545454545455</v>
      </c>
      <c r="D67" s="743">
        <v>33475.19999999999</v>
      </c>
      <c r="E67" s="742">
        <v>4094.1909090909126</v>
      </c>
      <c r="F67" s="743">
        <v>28557.309090909093</v>
      </c>
      <c r="G67" s="742">
        <v>26903.490909090906</v>
      </c>
      <c r="H67" s="743">
        <v>5678.2363636363643</v>
      </c>
      <c r="I67" s="742">
        <v>2190.763636363632</v>
      </c>
      <c r="J67" s="743">
        <v>2307.2636363636352</v>
      </c>
      <c r="K67" s="15">
        <v>106553.45454545454</v>
      </c>
      <c r="L67" s="744">
        <f>K67/$K$24</f>
        <v>5.0419965271769569E-2</v>
      </c>
    </row>
    <row r="68" spans="1:12" x14ac:dyDescent="0.25">
      <c r="A68" s="60" t="s">
        <v>56</v>
      </c>
      <c r="C68" s="739">
        <f>C67/$K$10</f>
        <v>3.1411037396509481E-2</v>
      </c>
      <c r="D68" s="740">
        <f t="shared" ref="D68:K68" si="26">D67/$K$10</f>
        <v>0.3141634416528451</v>
      </c>
      <c r="E68" s="739">
        <f t="shared" si="26"/>
        <v>3.8423821419552147E-2</v>
      </c>
      <c r="F68" s="740">
        <f t="shared" si="26"/>
        <v>0.26800922797605642</v>
      </c>
      <c r="G68" s="739">
        <f t="shared" si="26"/>
        <v>0.25248820907645159</v>
      </c>
      <c r="H68" s="740">
        <f t="shared" si="26"/>
        <v>5.3290026004873363E-2</v>
      </c>
      <c r="I68" s="739">
        <f t="shared" si="26"/>
        <v>2.0560230972418412E-2</v>
      </c>
      <c r="J68" s="740">
        <f t="shared" si="26"/>
        <v>2.165357891216358E-2</v>
      </c>
      <c r="K68" s="739">
        <f t="shared" si="26"/>
        <v>1</v>
      </c>
      <c r="L68" s="55"/>
    </row>
    <row r="69" spans="1:12" x14ac:dyDescent="0.25">
      <c r="A69" s="741" t="s">
        <v>22</v>
      </c>
      <c r="B69" s="61"/>
      <c r="C69" s="742">
        <v>134.00909090909087</v>
      </c>
      <c r="D69" s="743">
        <v>2159.4818181818182</v>
      </c>
      <c r="E69" s="742">
        <v>302.66363636363627</v>
      </c>
      <c r="F69" s="743">
        <v>1091.8727272727274</v>
      </c>
      <c r="G69" s="742">
        <v>1707.7363636363632</v>
      </c>
      <c r="H69" s="743">
        <v>325.10000000000008</v>
      </c>
      <c r="I69" s="742">
        <v>42.427272727272722</v>
      </c>
      <c r="J69" s="743">
        <v>43.418181818181807</v>
      </c>
      <c r="K69" s="15">
        <v>5806.7090909090912</v>
      </c>
      <c r="L69" s="744">
        <f>K69/$K$24</f>
        <v>2.7476731932892032E-3</v>
      </c>
    </row>
    <row r="70" spans="1:12" x14ac:dyDescent="0.25">
      <c r="A70" s="60" t="s">
        <v>56</v>
      </c>
      <c r="C70" s="739">
        <f>C69/$K$12</f>
        <v>2.3078320062372985E-2</v>
      </c>
      <c r="D70" s="740">
        <f t="shared" ref="D70:K70" si="27">D69/$K$12</f>
        <v>0.37189426650676805</v>
      </c>
      <c r="E70" s="739">
        <f t="shared" si="27"/>
        <v>5.2123092723464062E-2</v>
      </c>
      <c r="F70" s="740">
        <f t="shared" si="27"/>
        <v>0.18803640929457777</v>
      </c>
      <c r="G70" s="739">
        <f t="shared" si="27"/>
        <v>0.29409711023925295</v>
      </c>
      <c r="H70" s="740">
        <f t="shared" si="27"/>
        <v>5.5986961790280218E-2</v>
      </c>
      <c r="I70" s="739">
        <f t="shared" si="27"/>
        <v>7.3065951923950026E-3</v>
      </c>
      <c r="J70" s="740">
        <f t="shared" si="27"/>
        <v>7.4772441908889072E-3</v>
      </c>
      <c r="K70" s="739">
        <f t="shared" si="27"/>
        <v>1</v>
      </c>
      <c r="L70" s="55"/>
    </row>
    <row r="71" spans="1:12" x14ac:dyDescent="0.25">
      <c r="A71" s="741" t="s">
        <v>23</v>
      </c>
      <c r="B71" s="61"/>
      <c r="C71" s="742">
        <v>2323.318181818182</v>
      </c>
      <c r="D71" s="743">
        <v>36658.018181818174</v>
      </c>
      <c r="E71" s="742">
        <v>3841.1727272727271</v>
      </c>
      <c r="F71" s="743">
        <v>19450.454545454555</v>
      </c>
      <c r="G71" s="742">
        <v>20250.890909090904</v>
      </c>
      <c r="H71" s="743">
        <v>5264.8818181818142</v>
      </c>
      <c r="I71" s="742">
        <v>1045.6181818181819</v>
      </c>
      <c r="J71" s="743">
        <v>1162.1999999999996</v>
      </c>
      <c r="K71" s="15">
        <v>89996.554545454521</v>
      </c>
      <c r="L71" s="744">
        <f>K71/$K$24</f>
        <v>4.2585415687532047E-2</v>
      </c>
    </row>
    <row r="72" spans="1:12" x14ac:dyDescent="0.25">
      <c r="A72" s="60" t="s">
        <v>56</v>
      </c>
      <c r="C72" s="739">
        <f>C71/$K$14</f>
        <v>2.5815634760159009E-2</v>
      </c>
      <c r="D72" s="740">
        <f t="shared" ref="D72:K72" si="28">D71/$K$14</f>
        <v>0.40732690675733951</v>
      </c>
      <c r="E72" s="739">
        <f t="shared" si="28"/>
        <v>4.2681330931759923E-2</v>
      </c>
      <c r="F72" s="740">
        <f t="shared" si="28"/>
        <v>0.21612443547081264</v>
      </c>
      <c r="G72" s="739">
        <f t="shared" si="28"/>
        <v>0.22501851333500544</v>
      </c>
      <c r="H72" s="740">
        <f t="shared" si="28"/>
        <v>5.8500926449608498E-2</v>
      </c>
      <c r="I72" s="739">
        <f t="shared" si="28"/>
        <v>1.1618424584133074E-2</v>
      </c>
      <c r="J72" s="740">
        <f t="shared" si="28"/>
        <v>1.2913827711182074E-2</v>
      </c>
      <c r="K72" s="739">
        <f t="shared" si="28"/>
        <v>1</v>
      </c>
      <c r="L72" s="55"/>
    </row>
    <row r="73" spans="1:12" x14ac:dyDescent="0.25">
      <c r="A73" s="741" t="s">
        <v>24</v>
      </c>
      <c r="B73" s="61"/>
      <c r="C73" s="742">
        <v>1060.4272727272726</v>
      </c>
      <c r="D73" s="743">
        <v>10445.127272727272</v>
      </c>
      <c r="E73" s="742">
        <v>1230.9272727272726</v>
      </c>
      <c r="F73" s="743">
        <v>6442.0545454545454</v>
      </c>
      <c r="G73" s="742">
        <v>8646.6181818181813</v>
      </c>
      <c r="H73" s="743">
        <v>1821.3727272727274</v>
      </c>
      <c r="I73" s="742">
        <v>565.55454545454506</v>
      </c>
      <c r="J73" s="743">
        <v>585.65454545454543</v>
      </c>
      <c r="K73" s="15">
        <v>30797.736363636363</v>
      </c>
      <c r="L73" s="744">
        <f>K73/$K$24</f>
        <v>1.4573162404990294E-2</v>
      </c>
    </row>
    <row r="74" spans="1:12" x14ac:dyDescent="0.25">
      <c r="A74" s="60" t="s">
        <v>56</v>
      </c>
      <c r="C74" s="739">
        <f>C73/$K$16</f>
        <v>3.4431987474876399E-2</v>
      </c>
      <c r="D74" s="740">
        <f t="shared" ref="D74:K74" si="29">D73/$K$16</f>
        <v>0.33915243475686374</v>
      </c>
      <c r="E74" s="739">
        <f t="shared" si="29"/>
        <v>3.9968108636083348E-2</v>
      </c>
      <c r="F74" s="740">
        <f t="shared" si="29"/>
        <v>0.20917298821548574</v>
      </c>
      <c r="G74" s="739">
        <f t="shared" si="29"/>
        <v>0.28075499055272951</v>
      </c>
      <c r="H74" s="740">
        <f t="shared" si="29"/>
        <v>5.9139824621112953E-2</v>
      </c>
      <c r="I74" s="739">
        <f t="shared" si="29"/>
        <v>1.836351018714184E-2</v>
      </c>
      <c r="J74" s="740">
        <f t="shared" si="29"/>
        <v>1.9016155555706425E-2</v>
      </c>
      <c r="K74" s="739">
        <f t="shared" si="29"/>
        <v>1</v>
      </c>
      <c r="L74" s="55"/>
    </row>
    <row r="75" spans="1:12" x14ac:dyDescent="0.25">
      <c r="A75" s="741" t="s">
        <v>25</v>
      </c>
      <c r="B75" s="61">
        <v>-2.1636363636363636</v>
      </c>
      <c r="C75" s="742">
        <v>3100.6090909090922</v>
      </c>
      <c r="D75" s="743">
        <v>44542.145454545469</v>
      </c>
      <c r="E75" s="742">
        <v>5266.8090909090888</v>
      </c>
      <c r="F75" s="743">
        <v>33480.83636363635</v>
      </c>
      <c r="G75" s="742">
        <v>27416.699999999993</v>
      </c>
      <c r="H75" s="743">
        <v>7882.1545454545458</v>
      </c>
      <c r="I75" s="742">
        <v>1597.5636363636356</v>
      </c>
      <c r="J75" s="743">
        <v>1700.100000000001</v>
      </c>
      <c r="K75" s="15">
        <v>124984.75454545455</v>
      </c>
      <c r="L75" s="744">
        <f>K75/$K$24</f>
        <v>5.914146106820229E-2</v>
      </c>
    </row>
    <row r="76" spans="1:12" x14ac:dyDescent="0.25">
      <c r="A76" s="60" t="s">
        <v>56</v>
      </c>
      <c r="C76" s="739">
        <f>C75/$K$18</f>
        <v>2.4807898388770771E-2</v>
      </c>
      <c r="D76" s="740">
        <f t="shared" ref="D76:K76" si="30">D75/$K$18</f>
        <v>0.35638062911382001</v>
      </c>
      <c r="E76" s="739">
        <f t="shared" si="30"/>
        <v>4.2139612227614941E-2</v>
      </c>
      <c r="F76" s="740">
        <f t="shared" si="30"/>
        <v>0.26787936245024202</v>
      </c>
      <c r="G76" s="739">
        <f t="shared" si="30"/>
        <v>0.21936035398644615</v>
      </c>
      <c r="H76" s="740">
        <f t="shared" si="30"/>
        <v>6.3064927991581227E-2</v>
      </c>
      <c r="I76" s="739">
        <f t="shared" si="30"/>
        <v>1.2782068038407297E-2</v>
      </c>
      <c r="J76" s="740">
        <f t="shared" si="30"/>
        <v>1.360245900536379E-2</v>
      </c>
      <c r="K76" s="739">
        <f t="shared" si="30"/>
        <v>1</v>
      </c>
      <c r="L76" s="55"/>
    </row>
    <row r="77" spans="1:12" x14ac:dyDescent="0.25">
      <c r="A77" s="741" t="s">
        <v>26</v>
      </c>
      <c r="B77" s="61"/>
      <c r="C77" s="742">
        <v>68.572727272727263</v>
      </c>
      <c r="D77" s="743">
        <v>2587.2090909090907</v>
      </c>
      <c r="E77" s="742">
        <v>276.0545454545454</v>
      </c>
      <c r="F77" s="743">
        <v>1277.6181818181817</v>
      </c>
      <c r="G77" s="742">
        <v>1154.8999999999994</v>
      </c>
      <c r="H77" s="743">
        <v>331.32727272727266</v>
      </c>
      <c r="I77" s="742">
        <v>15.745454545454544</v>
      </c>
      <c r="J77" s="743">
        <v>7.9545454545454541</v>
      </c>
      <c r="K77" s="15">
        <v>5719.3818181818178</v>
      </c>
      <c r="L77" s="744">
        <f>K77/$K$24</f>
        <v>2.7063508534648363E-3</v>
      </c>
    </row>
    <row r="78" spans="1:12" x14ac:dyDescent="0.25">
      <c r="A78" s="60" t="s">
        <v>56</v>
      </c>
      <c r="C78" s="739">
        <f>C77/$K$20</f>
        <v>1.1989534787612138E-2</v>
      </c>
      <c r="D78" s="740">
        <f t="shared" ref="D78:K78" si="31">D77/$K$20</f>
        <v>0.45235816966868636</v>
      </c>
      <c r="E78" s="739">
        <f t="shared" si="31"/>
        <v>4.8266500511816274E-2</v>
      </c>
      <c r="F78" s="740">
        <f t="shared" si="31"/>
        <v>0.22338396393761564</v>
      </c>
      <c r="G78" s="739">
        <f t="shared" si="31"/>
        <v>0.20192741745770354</v>
      </c>
      <c r="H78" s="740">
        <f t="shared" si="31"/>
        <v>5.7930609156742932E-2</v>
      </c>
      <c r="I78" s="739">
        <f t="shared" si="31"/>
        <v>2.752999370561345E-3</v>
      </c>
      <c r="J78" s="740">
        <f t="shared" si="31"/>
        <v>1.3908051092616494E-3</v>
      </c>
      <c r="K78" s="739">
        <f t="shared" si="31"/>
        <v>1</v>
      </c>
      <c r="L78" s="745"/>
    </row>
    <row r="79" spans="1:12" x14ac:dyDescent="0.25">
      <c r="A79" s="746" t="s">
        <v>27</v>
      </c>
      <c r="B79" s="61"/>
      <c r="C79" s="742">
        <f t="shared" ref="C79:K79" si="32">C93</f>
        <v>2236.1272727272726</v>
      </c>
      <c r="D79" s="743">
        <f t="shared" si="32"/>
        <v>0</v>
      </c>
      <c r="E79" s="742">
        <f t="shared" si="32"/>
        <v>369.08181818181822</v>
      </c>
      <c r="F79" s="743">
        <f t="shared" si="32"/>
        <v>4186.7363636363643</v>
      </c>
      <c r="G79" s="742">
        <f t="shared" si="32"/>
        <v>1265.9000000000001</v>
      </c>
      <c r="H79" s="743">
        <f t="shared" si="32"/>
        <v>712.52727272727259</v>
      </c>
      <c r="I79" s="742">
        <f t="shared" si="32"/>
        <v>1479.6090909090904</v>
      </c>
      <c r="J79" s="743">
        <f t="shared" si="32"/>
        <v>1767.4454545454539</v>
      </c>
      <c r="K79" s="742">
        <f t="shared" si="32"/>
        <v>12019.054545454544</v>
      </c>
      <c r="L79" s="744">
        <f t="shared" ref="L79" si="33">K79/$K$24</f>
        <v>5.6872892142864236E-3</v>
      </c>
    </row>
    <row r="80" spans="1:12" x14ac:dyDescent="0.25">
      <c r="A80" s="60" t="s">
        <v>56</v>
      </c>
      <c r="C80" s="739">
        <f>C79/$K$22</f>
        <v>0.18604851690043689</v>
      </c>
      <c r="D80" s="740">
        <f t="shared" ref="D80:K80" si="34">D79/$K$22</f>
        <v>0</v>
      </c>
      <c r="E80" s="739">
        <f t="shared" si="34"/>
        <v>3.0708057508683186E-2</v>
      </c>
      <c r="F80" s="740">
        <f t="shared" si="34"/>
        <v>0.34834157277535072</v>
      </c>
      <c r="G80" s="739">
        <f t="shared" si="34"/>
        <v>0.10532442424755843</v>
      </c>
      <c r="H80" s="740">
        <f t="shared" si="34"/>
        <v>5.9283138289503934E-2</v>
      </c>
      <c r="I80" s="739">
        <f t="shared" si="34"/>
        <v>0.12310528131088813</v>
      </c>
      <c r="J80" s="740">
        <f t="shared" si="34"/>
        <v>0.14705361789159027</v>
      </c>
      <c r="K80" s="739">
        <f t="shared" si="34"/>
        <v>1</v>
      </c>
      <c r="L80" s="55"/>
    </row>
    <row r="81" spans="1:12" x14ac:dyDescent="0.25">
      <c r="A81" s="62" t="s">
        <v>10</v>
      </c>
      <c r="B81" s="63">
        <v>3.227272727272728</v>
      </c>
      <c r="C81" s="30">
        <v>120445.7818181818</v>
      </c>
      <c r="D81" s="31">
        <v>663995.53636363626</v>
      </c>
      <c r="E81" s="30">
        <v>83860.490909090862</v>
      </c>
      <c r="F81" s="31">
        <v>468632.70909090899</v>
      </c>
      <c r="G81" s="30">
        <v>551713.47272727289</v>
      </c>
      <c r="H81" s="31">
        <v>123228.34545454542</v>
      </c>
      <c r="I81" s="30">
        <v>52705.709090909069</v>
      </c>
      <c r="J81" s="31">
        <v>48733.409090909074</v>
      </c>
      <c r="K81" s="30">
        <v>2113318.6818181812</v>
      </c>
      <c r="L81" s="64">
        <f>K81/$K$24</f>
        <v>1</v>
      </c>
    </row>
    <row r="82" spans="1:12" x14ac:dyDescent="0.25">
      <c r="A82" s="65"/>
      <c r="B82" s="66"/>
      <c r="C82" s="34">
        <f>C81/$K$24</f>
        <v>5.6993667284745239E-2</v>
      </c>
      <c r="D82" s="35">
        <f t="shared" ref="D82:K82" si="35">D81/$K$24</f>
        <v>0.31419564975045394</v>
      </c>
      <c r="E82" s="34">
        <f t="shared" si="35"/>
        <v>3.9681895414345171E-2</v>
      </c>
      <c r="F82" s="35">
        <f t="shared" si="35"/>
        <v>0.22175203064391766</v>
      </c>
      <c r="G82" s="34">
        <f t="shared" si="35"/>
        <v>0.26106496737757007</v>
      </c>
      <c r="H82" s="35">
        <f t="shared" si="35"/>
        <v>5.831034690353782E-2</v>
      </c>
      <c r="I82" s="34">
        <f t="shared" si="35"/>
        <v>2.4939782884786703E-2</v>
      </c>
      <c r="J82" s="35">
        <f t="shared" si="35"/>
        <v>2.3060132629396705E-2</v>
      </c>
      <c r="K82" s="34">
        <f t="shared" si="35"/>
        <v>1</v>
      </c>
      <c r="L82" s="67"/>
    </row>
    <row r="83" spans="1:12" x14ac:dyDescent="0.25">
      <c r="K83" s="747">
        <f>K81/'TTV By Card'!K83</f>
        <v>2113318.6818181812</v>
      </c>
    </row>
    <row r="85" spans="1:12" x14ac:dyDescent="0.25">
      <c r="A85" s="55" t="s">
        <v>28</v>
      </c>
      <c r="C85" s="748"/>
      <c r="D85" s="748"/>
      <c r="E85" s="748">
        <v>9.0909090909090912E-2</v>
      </c>
      <c r="F85" s="748">
        <v>5.8818181818181818</v>
      </c>
      <c r="G85" s="748">
        <v>2.7909090909090906</v>
      </c>
      <c r="H85" s="748"/>
      <c r="I85" s="748">
        <v>1.5181818181818181</v>
      </c>
      <c r="J85" s="748">
        <v>4.9909090909090903</v>
      </c>
      <c r="K85" s="70">
        <v>15.272727272727275</v>
      </c>
      <c r="L85" s="747">
        <f t="shared" ref="L85:L91" si="36">K85/$K$24</f>
        <v>7.2268926613507595E-6</v>
      </c>
    </row>
    <row r="86" spans="1:12" x14ac:dyDescent="0.25">
      <c r="A86" s="55" t="s">
        <v>29</v>
      </c>
      <c r="B86" s="54">
        <v>0.12727272727272729</v>
      </c>
      <c r="C86" s="748">
        <v>1041.0090909090914</v>
      </c>
      <c r="D86" s="748"/>
      <c r="E86" s="748">
        <v>143.87272727272727</v>
      </c>
      <c r="F86" s="748">
        <v>2015.7090909090914</v>
      </c>
      <c r="G86" s="748">
        <v>473.59999999999991</v>
      </c>
      <c r="H86" s="748">
        <v>367.09999999999985</v>
      </c>
      <c r="I86" s="748">
        <v>69.299999999999955</v>
      </c>
      <c r="J86" s="748">
        <v>85.809090909090841</v>
      </c>
      <c r="K86" s="70">
        <v>4196.5272727272732</v>
      </c>
      <c r="L86" s="747">
        <f t="shared" si="36"/>
        <v>1.985752224135366E-3</v>
      </c>
    </row>
    <row r="87" spans="1:12" x14ac:dyDescent="0.25">
      <c r="A87" s="55" t="s">
        <v>30</v>
      </c>
      <c r="C87" s="748"/>
      <c r="D87" s="748"/>
      <c r="E87" s="748"/>
      <c r="F87" s="748"/>
      <c r="G87" s="748"/>
      <c r="H87" s="748"/>
      <c r="I87" s="748"/>
      <c r="J87" s="748">
        <v>-7.2727272727272724E-2</v>
      </c>
      <c r="K87" s="70">
        <v>-7.2727272727272724E-2</v>
      </c>
      <c r="L87" s="747">
        <f t="shared" si="36"/>
        <v>-3.4413774577860753E-8</v>
      </c>
    </row>
    <row r="88" spans="1:12" x14ac:dyDescent="0.25">
      <c r="A88" s="55" t="s">
        <v>31</v>
      </c>
      <c r="C88" s="748">
        <v>134.29999999999998</v>
      </c>
      <c r="D88" s="748"/>
      <c r="E88" s="748">
        <v>55.336363636363636</v>
      </c>
      <c r="F88" s="748">
        <v>394.69090909090909</v>
      </c>
      <c r="G88" s="748">
        <v>202.85454545454542</v>
      </c>
      <c r="H88" s="748">
        <v>11.736363636363636</v>
      </c>
      <c r="I88" s="748">
        <v>718.93636363636335</v>
      </c>
      <c r="J88" s="748">
        <v>483.57272727272738</v>
      </c>
      <c r="K88" s="70">
        <v>2001.4272727272728</v>
      </c>
      <c r="L88" s="747">
        <f t="shared" si="36"/>
        <v>9.4705417121726131E-4</v>
      </c>
    </row>
    <row r="89" spans="1:12" x14ac:dyDescent="0.25">
      <c r="A89" s="55" t="s">
        <v>32</v>
      </c>
      <c r="B89" s="54">
        <v>0.12727272727272729</v>
      </c>
      <c r="C89" s="748">
        <v>1002.9818181818181</v>
      </c>
      <c r="D89" s="748"/>
      <c r="E89" s="748">
        <v>163.03636363636366</v>
      </c>
      <c r="F89" s="748">
        <v>1616.5454545454543</v>
      </c>
      <c r="G89" s="748">
        <v>566.21818181818185</v>
      </c>
      <c r="H89" s="748">
        <v>311.05454545454552</v>
      </c>
      <c r="I89" s="748">
        <v>69.090909090909093</v>
      </c>
      <c r="J89" s="748">
        <v>77.700000000000017</v>
      </c>
      <c r="K89" s="70">
        <v>3806.7545454545452</v>
      </c>
      <c r="L89" s="747">
        <f t="shared" si="36"/>
        <v>1.8013159010071432E-3</v>
      </c>
    </row>
    <row r="90" spans="1:12" x14ac:dyDescent="0.25">
      <c r="A90" s="55" t="s">
        <v>34</v>
      </c>
      <c r="C90" s="748">
        <v>2.7454545454545451</v>
      </c>
      <c r="D90" s="748"/>
      <c r="E90" s="748">
        <v>6.7454545454545451</v>
      </c>
      <c r="F90" s="748">
        <v>153.90909090909093</v>
      </c>
      <c r="G90" s="748">
        <v>20.43636363636363</v>
      </c>
      <c r="H90" s="748">
        <v>22.636363636363633</v>
      </c>
      <c r="I90" s="748">
        <v>0.48181818181818181</v>
      </c>
      <c r="J90" s="748">
        <v>9.0909090909090912E-2</v>
      </c>
      <c r="K90" s="70">
        <v>207.04545454545456</v>
      </c>
      <c r="L90" s="747">
        <f t="shared" si="36"/>
        <v>9.7971714501347344E-5</v>
      </c>
    </row>
    <row r="91" spans="1:12" x14ac:dyDescent="0.25">
      <c r="A91" s="55" t="s">
        <v>33</v>
      </c>
      <c r="B91" s="54">
        <v>1.3727272727272728</v>
      </c>
      <c r="C91" s="748">
        <v>55.090909090909065</v>
      </c>
      <c r="D91" s="748"/>
      <c r="E91" s="748"/>
      <c r="F91" s="748"/>
      <c r="G91" s="748"/>
      <c r="H91" s="748"/>
      <c r="I91" s="748">
        <v>620.28181818181804</v>
      </c>
      <c r="J91" s="748">
        <v>1115.3545454545447</v>
      </c>
      <c r="K91" s="70">
        <v>1792.099999999999</v>
      </c>
      <c r="L91" s="747">
        <f t="shared" si="36"/>
        <v>8.4800272453853316E-4</v>
      </c>
    </row>
    <row r="93" spans="1:12" x14ac:dyDescent="0.25">
      <c r="C93" s="56">
        <f>SUM(C85:C91)</f>
        <v>2236.1272727272726</v>
      </c>
      <c r="D93" s="56">
        <f t="shared" ref="D93:K93" si="37">SUM(D85:D91)</f>
        <v>0</v>
      </c>
      <c r="E93" s="56">
        <f t="shared" si="37"/>
        <v>369.08181818181822</v>
      </c>
      <c r="F93" s="56">
        <f t="shared" si="37"/>
        <v>4186.7363636363643</v>
      </c>
      <c r="G93" s="56">
        <f t="shared" si="37"/>
        <v>1265.9000000000001</v>
      </c>
      <c r="H93" s="56">
        <f t="shared" si="37"/>
        <v>712.52727272727259</v>
      </c>
      <c r="I93" s="56">
        <f t="shared" si="37"/>
        <v>1479.6090909090904</v>
      </c>
      <c r="J93" s="56">
        <f t="shared" si="37"/>
        <v>1767.4454545454539</v>
      </c>
      <c r="K93" s="56">
        <f t="shared" si="37"/>
        <v>12019.054545454544</v>
      </c>
      <c r="L93" s="56"/>
    </row>
  </sheetData>
  <mergeCells count="4">
    <mergeCell ref="C1:N1"/>
    <mergeCell ref="C43:N43"/>
    <mergeCell ref="C58:N58"/>
    <mergeCell ref="C51:N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AAC1-E44F-4AF3-BAB7-4EF0B30CB399}">
  <sheetPr codeName="Sheet6"/>
  <dimension ref="A1:AJ80"/>
  <sheetViews>
    <sheetView showGridLines="0" topLeftCell="A31" zoomScale="99" workbookViewId="0">
      <selection activeCell="AC20" sqref="AC20"/>
    </sheetView>
  </sheetViews>
  <sheetFormatPr defaultRowHeight="15" outlineLevelCol="1" x14ac:dyDescent="0.25"/>
  <cols>
    <col min="1" max="1" width="17.5703125" customWidth="1"/>
    <col min="2" max="2" width="6.85546875" hidden="1" customWidth="1"/>
    <col min="3" max="12" width="14.140625" customWidth="1"/>
    <col min="13" max="13" width="13.140625" hidden="1" customWidth="1"/>
    <col min="15" max="16" width="17.42578125" customWidth="1" outlineLevel="1"/>
    <col min="17" max="22" width="14.140625" customWidth="1" outlineLevel="1"/>
    <col min="23" max="23" width="13.28515625" bestFit="1" customWidth="1"/>
    <col min="24" max="25" width="17.42578125" customWidth="1" outlineLevel="1"/>
    <col min="26" max="35" width="13.85546875" customWidth="1" outlineLevel="1"/>
    <col min="36" max="36" width="17.42578125" customWidth="1" outlineLevel="1"/>
  </cols>
  <sheetData>
    <row r="1" spans="1:35" ht="33.950000000000003" customHeight="1" x14ac:dyDescent="0.25">
      <c r="A1" s="784" t="s">
        <v>59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O1" s="784" t="s">
        <v>60</v>
      </c>
      <c r="P1" s="784"/>
      <c r="Q1" s="784"/>
      <c r="R1" s="784"/>
      <c r="S1" s="784"/>
      <c r="T1" s="784"/>
      <c r="U1" s="784"/>
      <c r="V1" s="784"/>
    </row>
    <row r="2" spans="1:35" ht="29.1" customHeight="1" x14ac:dyDescent="0.25">
      <c r="A2" s="93" t="s">
        <v>61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  <c r="O2" s="93" t="s">
        <v>61</v>
      </c>
      <c r="P2" s="16"/>
      <c r="Q2" s="19" t="s">
        <v>2</v>
      </c>
      <c r="R2" s="23" t="s">
        <v>62</v>
      </c>
      <c r="S2" s="25" t="s">
        <v>63</v>
      </c>
      <c r="T2" s="25" t="s">
        <v>64</v>
      </c>
      <c r="U2" s="23" t="s">
        <v>10</v>
      </c>
      <c r="V2" s="21" t="s">
        <v>11</v>
      </c>
      <c r="X2" s="93" t="s">
        <v>65</v>
      </c>
      <c r="Y2" s="16"/>
      <c r="Z2" s="19" t="s">
        <v>2</v>
      </c>
      <c r="AA2" s="23" t="s">
        <v>3</v>
      </c>
      <c r="AB2" s="25" t="s">
        <v>4</v>
      </c>
      <c r="AC2" s="27" t="s">
        <v>5</v>
      </c>
      <c r="AD2" s="25" t="s">
        <v>6</v>
      </c>
      <c r="AE2" s="27" t="s">
        <v>7</v>
      </c>
      <c r="AF2" s="25" t="s">
        <v>8</v>
      </c>
      <c r="AG2" s="27" t="s">
        <v>9</v>
      </c>
      <c r="AH2" s="23" t="s">
        <v>10</v>
      </c>
      <c r="AI2" s="21" t="s">
        <v>11</v>
      </c>
    </row>
    <row r="3" spans="1:35" x14ac:dyDescent="0.25">
      <c r="A3" s="120" t="s">
        <v>12</v>
      </c>
      <c r="B3" s="121" t="s">
        <v>41</v>
      </c>
      <c r="C3" s="57"/>
      <c r="D3" s="95"/>
      <c r="E3" s="76"/>
      <c r="F3" s="95"/>
      <c r="G3" s="76"/>
      <c r="H3" s="95"/>
      <c r="I3" s="76"/>
      <c r="J3" s="95"/>
      <c r="K3" s="95"/>
      <c r="L3" s="58" t="s">
        <v>15</v>
      </c>
      <c r="O3" s="120" t="s">
        <v>12</v>
      </c>
      <c r="P3" s="121"/>
      <c r="Q3" s="57"/>
      <c r="R3" s="95"/>
      <c r="S3" s="76"/>
      <c r="T3" s="76"/>
      <c r="U3" s="95"/>
      <c r="V3" s="58" t="s">
        <v>15</v>
      </c>
      <c r="X3" s="120" t="s">
        <v>12</v>
      </c>
      <c r="Y3" s="121" t="s">
        <v>41</v>
      </c>
      <c r="Z3" s="57"/>
      <c r="AA3" s="95"/>
      <c r="AB3" s="76"/>
      <c r="AC3" s="95"/>
      <c r="AD3" s="76"/>
      <c r="AE3" s="95"/>
      <c r="AF3" s="76"/>
      <c r="AG3" s="95"/>
      <c r="AH3" s="95"/>
      <c r="AI3" s="58" t="s">
        <v>15</v>
      </c>
    </row>
    <row r="4" spans="1:35" x14ac:dyDescent="0.25">
      <c r="A4" s="728" t="s">
        <v>66</v>
      </c>
      <c r="B4" s="73">
        <v>461.55999999999995</v>
      </c>
      <c r="C4" s="11">
        <v>3513336.72</v>
      </c>
      <c r="D4" s="74">
        <v>22346622.780000009</v>
      </c>
      <c r="E4" s="11">
        <v>2616131.8100000015</v>
      </c>
      <c r="F4" s="74">
        <v>15284097.470000001</v>
      </c>
      <c r="G4" s="11">
        <v>16780190.190000013</v>
      </c>
      <c r="H4" s="74">
        <v>3679803.4800000009</v>
      </c>
      <c r="I4" s="11">
        <v>1832306.2899999998</v>
      </c>
      <c r="J4" s="74">
        <v>1795722.3000000005</v>
      </c>
      <c r="K4" s="122">
        <f>SUM(B4:J4)</f>
        <v>67848672.600000024</v>
      </c>
      <c r="L4" s="729">
        <f>K4/$K$44</f>
        <v>0.46594517357252829</v>
      </c>
      <c r="O4" s="728" t="s">
        <v>66</v>
      </c>
      <c r="P4" s="73">
        <v>461.55999999999995</v>
      </c>
      <c r="Q4" s="11">
        <f t="shared" ref="Q4:Q47" si="0">C4</f>
        <v>3513336.72</v>
      </c>
      <c r="R4" s="74">
        <f t="shared" ref="R4:R47" si="1">D4+F4+H4</f>
        <v>41310523.730000012</v>
      </c>
      <c r="S4" s="11">
        <f t="shared" ref="S4:S47" si="2">E4+G4</f>
        <v>19396322.000000015</v>
      </c>
      <c r="T4" s="11">
        <f t="shared" ref="T4:T47" si="3">I4+J4</f>
        <v>3628028.5900000003</v>
      </c>
      <c r="U4" s="122">
        <f>SUM(P4:T4)</f>
        <v>67848672.600000024</v>
      </c>
      <c r="V4" s="729">
        <f>U4/$K$44</f>
        <v>0.46594517357252829</v>
      </c>
      <c r="X4" s="728" t="s">
        <v>66</v>
      </c>
      <c r="Y4" s="73">
        <v>461.55999999999995</v>
      </c>
      <c r="Z4" s="11">
        <f>C4</f>
        <v>3513336.72</v>
      </c>
      <c r="AA4" s="11">
        <f t="shared" ref="AA4:AG4" si="4">D4</f>
        <v>22346622.780000009</v>
      </c>
      <c r="AB4" s="11">
        <f t="shared" si="4"/>
        <v>2616131.8100000015</v>
      </c>
      <c r="AC4" s="11">
        <f t="shared" si="4"/>
        <v>15284097.470000001</v>
      </c>
      <c r="AD4" s="11">
        <f t="shared" si="4"/>
        <v>16780190.190000013</v>
      </c>
      <c r="AE4" s="11">
        <f t="shared" si="4"/>
        <v>3679803.4800000009</v>
      </c>
      <c r="AF4" s="11">
        <f t="shared" si="4"/>
        <v>1832306.2899999998</v>
      </c>
      <c r="AG4" s="11">
        <f t="shared" si="4"/>
        <v>1795722.3000000005</v>
      </c>
      <c r="AH4" s="122">
        <f>SUM(Y4:AG4)</f>
        <v>67848672.600000024</v>
      </c>
      <c r="AI4" s="729">
        <f>AH4/$K$44</f>
        <v>0.46594517357252829</v>
      </c>
    </row>
    <row r="5" spans="1:35" x14ac:dyDescent="0.25">
      <c r="A5" s="730" t="s">
        <v>53</v>
      </c>
      <c r="C5" s="118">
        <f>'MSF By Card'!C4</f>
        <v>54878.336363636379</v>
      </c>
      <c r="D5" s="118">
        <f>'MSF By Card'!D4</f>
        <v>313667.54545454535</v>
      </c>
      <c r="E5" s="118">
        <f>'MSF By Card'!E4</f>
        <v>37106.963636363631</v>
      </c>
      <c r="F5" s="118">
        <f>'MSF By Card'!F4</f>
        <v>216052.08181818179</v>
      </c>
      <c r="G5" s="118">
        <f>'MSF By Card'!G4</f>
        <v>253741.6363636365</v>
      </c>
      <c r="H5" s="118">
        <f>'MSF By Card'!H4</f>
        <v>52110.663636363621</v>
      </c>
      <c r="I5" s="118">
        <f>'MSF By Card'!I4</f>
        <v>27299.318181818173</v>
      </c>
      <c r="J5" s="118">
        <f>'MSF By Card'!J4</f>
        <v>25640.481818181815</v>
      </c>
      <c r="K5" s="119">
        <f>SUM(C5:J5)</f>
        <v>980497.02727272711</v>
      </c>
      <c r="L5" s="731"/>
      <c r="O5" s="730" t="s">
        <v>53</v>
      </c>
      <c r="Q5" s="118">
        <f t="shared" si="0"/>
        <v>54878.336363636379</v>
      </c>
      <c r="R5" s="118">
        <f t="shared" si="1"/>
        <v>581830.29090909078</v>
      </c>
      <c r="S5" s="118">
        <f t="shared" si="2"/>
        <v>290848.60000000015</v>
      </c>
      <c r="T5" s="118">
        <f t="shared" si="3"/>
        <v>52939.799999999988</v>
      </c>
      <c r="U5" s="119">
        <f>SUM(Q5:T5)</f>
        <v>980497.02727272734</v>
      </c>
      <c r="V5" s="731"/>
      <c r="X5" s="730" t="s">
        <v>67</v>
      </c>
      <c r="Z5" s="12">
        <f>C5/C4</f>
        <v>1.5620004780992462E-2</v>
      </c>
      <c r="AA5" s="12">
        <f t="shared" ref="AA5:AH5" si="5">D5/D4</f>
        <v>1.4036463072857457E-2</v>
      </c>
      <c r="AB5" s="12">
        <f t="shared" si="5"/>
        <v>1.4183904455625885E-2</v>
      </c>
      <c r="AC5" s="12">
        <f t="shared" si="5"/>
        <v>1.4135743523113097E-2</v>
      </c>
      <c r="AD5" s="12">
        <f t="shared" si="5"/>
        <v>1.5121499428227655E-2</v>
      </c>
      <c r="AE5" s="12">
        <f t="shared" si="5"/>
        <v>1.4161262665136565E-2</v>
      </c>
      <c r="AF5" s="12">
        <f t="shared" si="5"/>
        <v>1.489888362595654E-2</v>
      </c>
      <c r="AG5" s="12">
        <f t="shared" si="5"/>
        <v>1.427864532181942E-2</v>
      </c>
      <c r="AH5" s="12">
        <f t="shared" si="5"/>
        <v>1.445123374856897E-2</v>
      </c>
      <c r="AI5" s="731"/>
    </row>
    <row r="6" spans="1:35" x14ac:dyDescent="0.25">
      <c r="A6" s="730" t="s">
        <v>68</v>
      </c>
      <c r="C6" s="118">
        <f>'COA by Card'!C4</f>
        <v>59549.25</v>
      </c>
      <c r="D6" s="118">
        <f>'COA by Card'!D4</f>
        <v>65026.41</v>
      </c>
      <c r="E6" s="118">
        <f>'COA by Card'!E4</f>
        <v>16134.75</v>
      </c>
      <c r="F6" s="118">
        <f>'COA by Card'!F4</f>
        <v>103319.73</v>
      </c>
      <c r="G6" s="118">
        <f>'COA by Card'!G4</f>
        <v>169330</v>
      </c>
      <c r="H6" s="118">
        <f>'COA by Card'!H4</f>
        <v>20841</v>
      </c>
      <c r="I6" s="118">
        <f>'COA by Card'!I4</f>
        <v>55261.54</v>
      </c>
      <c r="J6" s="118">
        <f>'COA by Card'!J4</f>
        <v>54948.93</v>
      </c>
      <c r="K6" s="119">
        <f>SUM(C6:J6)</f>
        <v>544411.61</v>
      </c>
      <c r="L6" s="731"/>
      <c r="O6" s="730" t="s">
        <v>68</v>
      </c>
      <c r="Q6" s="118">
        <f t="shared" si="0"/>
        <v>59549.25</v>
      </c>
      <c r="R6" s="118">
        <f t="shared" si="1"/>
        <v>189187.14</v>
      </c>
      <c r="S6" s="118">
        <f t="shared" si="2"/>
        <v>185464.75</v>
      </c>
      <c r="T6" s="118">
        <f t="shared" si="3"/>
        <v>110210.47</v>
      </c>
      <c r="U6" s="119">
        <f>SUM(Q6:T6)</f>
        <v>544411.61</v>
      </c>
      <c r="V6" s="731"/>
      <c r="X6" s="730" t="s">
        <v>68</v>
      </c>
      <c r="Z6" s="12">
        <f>C6/C4</f>
        <v>1.694948555912967E-2</v>
      </c>
      <c r="AA6" s="12">
        <f t="shared" ref="AA6:AH6" si="6">D6/D4</f>
        <v>2.9098987636824456E-3</v>
      </c>
      <c r="AB6" s="12">
        <f t="shared" si="6"/>
        <v>6.1674071384040822E-3</v>
      </c>
      <c r="AC6" s="12">
        <f t="shared" si="6"/>
        <v>6.7599496929928952E-3</v>
      </c>
      <c r="AD6" s="12">
        <f t="shared" si="6"/>
        <v>1.0091065600729039E-2</v>
      </c>
      <c r="AE6" s="12">
        <f t="shared" si="6"/>
        <v>5.6636176668869269E-3</v>
      </c>
      <c r="AF6" s="12">
        <f t="shared" si="6"/>
        <v>3.0159553728323449E-2</v>
      </c>
      <c r="AG6" s="12">
        <f t="shared" si="6"/>
        <v>3.0599904005201687E-2</v>
      </c>
      <c r="AH6" s="12">
        <f t="shared" si="6"/>
        <v>8.0239095200810139E-3</v>
      </c>
      <c r="AI6" s="731"/>
    </row>
    <row r="7" spans="1:35" x14ac:dyDescent="0.25">
      <c r="A7" s="749" t="s">
        <v>69</v>
      </c>
      <c r="B7" s="97"/>
      <c r="C7" s="123">
        <f>'GP by Card Type'!C4</f>
        <v>-4670.9136363636208</v>
      </c>
      <c r="D7" s="123">
        <f>'GP by Card Type'!D4</f>
        <v>248641.13545454535</v>
      </c>
      <c r="E7" s="123">
        <f>'GP by Card Type'!E4</f>
        <v>20972.213636363631</v>
      </c>
      <c r="F7" s="123">
        <f>'GP by Card Type'!F4</f>
        <v>112732.35181818179</v>
      </c>
      <c r="G7" s="123">
        <f>'GP by Card Type'!G4</f>
        <v>84411.636363636499</v>
      </c>
      <c r="H7" s="123">
        <f>'GP by Card Type'!H4</f>
        <v>31269.663636363621</v>
      </c>
      <c r="I7" s="123">
        <f>'GP by Card Type'!I4</f>
        <v>-27962.221818181828</v>
      </c>
      <c r="J7" s="123">
        <f>'GP by Card Type'!J4</f>
        <v>-29308.448181818185</v>
      </c>
      <c r="K7" s="124">
        <f>SUM(C7:J7)</f>
        <v>436085.41727272735</v>
      </c>
      <c r="L7" s="750"/>
      <c r="O7" s="749" t="s">
        <v>69</v>
      </c>
      <c r="P7" s="97"/>
      <c r="Q7" s="123">
        <f t="shared" si="0"/>
        <v>-4670.9136363636208</v>
      </c>
      <c r="R7" s="123">
        <f t="shared" si="1"/>
        <v>392643.15090909076</v>
      </c>
      <c r="S7" s="123">
        <f t="shared" si="2"/>
        <v>105383.85000000012</v>
      </c>
      <c r="T7" s="123">
        <f t="shared" si="3"/>
        <v>-57270.670000000013</v>
      </c>
      <c r="U7" s="124">
        <f>SUM(Q7:T7)</f>
        <v>436085.41727272724</v>
      </c>
      <c r="V7" s="750"/>
      <c r="X7" s="749" t="s">
        <v>70</v>
      </c>
      <c r="Y7" s="97"/>
      <c r="Z7" s="146">
        <f>C7/C4</f>
        <v>-1.3294807781372064E-3</v>
      </c>
      <c r="AA7" s="146">
        <f t="shared" ref="AA7:AH7" si="7">D7/D4</f>
        <v>1.112656430917501E-2</v>
      </c>
      <c r="AB7" s="146">
        <f t="shared" si="7"/>
        <v>8.0164973172218035E-3</v>
      </c>
      <c r="AC7" s="146">
        <f t="shared" si="7"/>
        <v>7.375793830120202E-3</v>
      </c>
      <c r="AD7" s="146">
        <f t="shared" si="7"/>
        <v>5.0304338274986165E-3</v>
      </c>
      <c r="AE7" s="146">
        <f t="shared" si="7"/>
        <v>8.4976449982496378E-3</v>
      </c>
      <c r="AF7" s="146">
        <f t="shared" si="7"/>
        <v>-1.5260670102366909E-2</v>
      </c>
      <c r="AG7" s="146">
        <f t="shared" si="7"/>
        <v>-1.6321258683382266E-2</v>
      </c>
      <c r="AH7" s="146">
        <f t="shared" si="7"/>
        <v>6.4273242284879602E-3</v>
      </c>
      <c r="AI7" s="750"/>
    </row>
    <row r="8" spans="1:35" x14ac:dyDescent="0.25">
      <c r="A8" s="275" t="s">
        <v>19</v>
      </c>
      <c r="B8" s="73"/>
      <c r="C8" s="11">
        <v>28971.789999999994</v>
      </c>
      <c r="D8" s="74">
        <v>992912.44000000029</v>
      </c>
      <c r="E8" s="11">
        <v>99801.569999999992</v>
      </c>
      <c r="F8" s="74">
        <v>577670.54000000015</v>
      </c>
      <c r="G8" s="11">
        <v>345338.64000000013</v>
      </c>
      <c r="H8" s="74">
        <v>128398</v>
      </c>
      <c r="I8" s="11">
        <v>8759.07</v>
      </c>
      <c r="J8" s="74">
        <v>15389.529999999999</v>
      </c>
      <c r="K8" s="122">
        <f>SUM(B8:J8)</f>
        <v>2197241.58</v>
      </c>
      <c r="L8" s="729">
        <f>K8/$K$44</f>
        <v>1.508937566707644E-2</v>
      </c>
      <c r="O8" s="728" t="s">
        <v>71</v>
      </c>
      <c r="P8" s="73">
        <v>461.55999999999995</v>
      </c>
      <c r="Q8" s="11">
        <f t="shared" si="0"/>
        <v>28971.789999999994</v>
      </c>
      <c r="R8" s="74">
        <f t="shared" si="1"/>
        <v>1698980.9800000004</v>
      </c>
      <c r="S8" s="11">
        <f t="shared" si="2"/>
        <v>445140.21000000014</v>
      </c>
      <c r="T8" s="11">
        <f t="shared" si="3"/>
        <v>24148.6</v>
      </c>
      <c r="U8" s="122">
        <f>SUM(P8:T8)</f>
        <v>2197703.1400000006</v>
      </c>
      <c r="V8" s="729">
        <f>U8/$K$44</f>
        <v>1.5092545392379428E-2</v>
      </c>
      <c r="X8" s="275" t="s">
        <v>19</v>
      </c>
      <c r="Y8" s="73"/>
      <c r="Z8" s="11">
        <f>C8</f>
        <v>28971.789999999994</v>
      </c>
      <c r="AA8" s="11">
        <f t="shared" ref="AA8:AH8" si="8">D8</f>
        <v>992912.44000000029</v>
      </c>
      <c r="AB8" s="11">
        <f t="shared" si="8"/>
        <v>99801.569999999992</v>
      </c>
      <c r="AC8" s="11">
        <f t="shared" si="8"/>
        <v>577670.54000000015</v>
      </c>
      <c r="AD8" s="11">
        <f t="shared" si="8"/>
        <v>345338.64000000013</v>
      </c>
      <c r="AE8" s="11">
        <f t="shared" si="8"/>
        <v>128398</v>
      </c>
      <c r="AF8" s="11">
        <f t="shared" si="8"/>
        <v>8759.07</v>
      </c>
      <c r="AG8" s="11">
        <f t="shared" si="8"/>
        <v>15389.529999999999</v>
      </c>
      <c r="AH8" s="11">
        <f t="shared" si="8"/>
        <v>2197241.58</v>
      </c>
      <c r="AI8" s="729">
        <f>AH8/$K$44</f>
        <v>1.508937566707644E-2</v>
      </c>
    </row>
    <row r="9" spans="1:35" x14ac:dyDescent="0.25">
      <c r="A9" s="730" t="s">
        <v>53</v>
      </c>
      <c r="C9" s="118">
        <f>'MSF By Card'!C6</f>
        <v>427.90909090909099</v>
      </c>
      <c r="D9" s="118">
        <f>'MSF By Card'!D6</f>
        <v>14657.545454545449</v>
      </c>
      <c r="E9" s="118">
        <f>'MSF By Card'!E6</f>
        <v>1474.3545454545454</v>
      </c>
      <c r="F9" s="118">
        <f>'MSF By Card'!F6</f>
        <v>8538.3454545454515</v>
      </c>
      <c r="G9" s="118">
        <f>'MSF By Card'!G6</f>
        <v>5103.2000000000016</v>
      </c>
      <c r="H9" s="118">
        <f>'MSF By Card'!H6</f>
        <v>1896.1727272727271</v>
      </c>
      <c r="I9" s="118">
        <f>'MSF By Card'!I6</f>
        <v>139.3545454545455</v>
      </c>
      <c r="J9" s="118">
        <f>'MSF By Card'!J6</f>
        <v>227.03636363636366</v>
      </c>
      <c r="K9" s="119">
        <f>SUM(C9:J9)</f>
        <v>32463.918181818175</v>
      </c>
      <c r="L9" s="731"/>
      <c r="O9" s="730" t="s">
        <v>53</v>
      </c>
      <c r="Q9" s="118">
        <f t="shared" si="0"/>
        <v>427.90909090909099</v>
      </c>
      <c r="R9" s="118">
        <f t="shared" si="1"/>
        <v>25092.063636363626</v>
      </c>
      <c r="S9" s="118">
        <f t="shared" si="2"/>
        <v>6577.5545454545472</v>
      </c>
      <c r="T9" s="118">
        <f t="shared" si="3"/>
        <v>366.39090909090919</v>
      </c>
      <c r="U9" s="119">
        <f>SUM(Q9:T9)</f>
        <v>32463.918181818175</v>
      </c>
      <c r="V9" s="731"/>
      <c r="X9" s="730" t="s">
        <v>67</v>
      </c>
      <c r="Z9" s="12">
        <f>C9/C8</f>
        <v>1.4769853395633858E-2</v>
      </c>
      <c r="AA9" s="12">
        <f t="shared" ref="AA9:AH9" si="9">D9/D8</f>
        <v>1.476217324313657E-2</v>
      </c>
      <c r="AB9" s="12">
        <f t="shared" si="9"/>
        <v>1.4772859239133667E-2</v>
      </c>
      <c r="AC9" s="12">
        <f t="shared" si="9"/>
        <v>1.4780648939697444E-2</v>
      </c>
      <c r="AD9" s="12">
        <f t="shared" si="9"/>
        <v>1.4777379096645541E-2</v>
      </c>
      <c r="AE9" s="12">
        <f t="shared" si="9"/>
        <v>1.4767930398236165E-2</v>
      </c>
      <c r="AF9" s="12">
        <f t="shared" si="9"/>
        <v>1.590974218205192E-2</v>
      </c>
      <c r="AG9" s="12">
        <f t="shared" si="9"/>
        <v>1.4752650902032984E-2</v>
      </c>
      <c r="AH9" s="12">
        <f t="shared" si="9"/>
        <v>1.4774851558115049E-2</v>
      </c>
      <c r="AI9" s="731"/>
    </row>
    <row r="10" spans="1:35" x14ac:dyDescent="0.25">
      <c r="A10" s="730" t="s">
        <v>68</v>
      </c>
      <c r="C10" s="118">
        <f>'COA by Card'!C7</f>
        <v>501.43</v>
      </c>
      <c r="D10" s="118">
        <f>'COA by Card'!D7</f>
        <v>2696.34</v>
      </c>
      <c r="E10" s="118">
        <f>'COA by Card'!E7</f>
        <v>648.61</v>
      </c>
      <c r="F10" s="118">
        <f>'COA by Card'!F7</f>
        <v>3775.44</v>
      </c>
      <c r="G10" s="118">
        <f>'COA by Card'!G7</f>
        <v>3615.17</v>
      </c>
      <c r="H10" s="118">
        <f>'COA by Card'!H7</f>
        <v>711.62</v>
      </c>
      <c r="I10" s="118">
        <f>'COA by Card'!I7</f>
        <v>318.8</v>
      </c>
      <c r="J10" s="118">
        <f>'COA by Card'!J7</f>
        <v>483.56</v>
      </c>
      <c r="K10" s="119">
        <f>SUM(C10:J10)</f>
        <v>12750.97</v>
      </c>
      <c r="L10" s="731"/>
      <c r="O10" s="730" t="s">
        <v>68</v>
      </c>
      <c r="Q10" s="118">
        <f t="shared" si="0"/>
        <v>501.43</v>
      </c>
      <c r="R10" s="118">
        <f t="shared" si="1"/>
        <v>7183.4000000000005</v>
      </c>
      <c r="S10" s="118">
        <f t="shared" si="2"/>
        <v>4263.78</v>
      </c>
      <c r="T10" s="118">
        <f t="shared" si="3"/>
        <v>802.36</v>
      </c>
      <c r="U10" s="119">
        <f>SUM(Q10:T10)</f>
        <v>12750.970000000001</v>
      </c>
      <c r="V10" s="731"/>
      <c r="X10" s="730" t="s">
        <v>68</v>
      </c>
      <c r="Z10" s="12">
        <f>C10/C8</f>
        <v>1.7307525699999899E-2</v>
      </c>
      <c r="AA10" s="12">
        <f t="shared" ref="AA10:AH10" si="10">D10/D8</f>
        <v>2.7155868849825259E-3</v>
      </c>
      <c r="AB10" s="12">
        <f t="shared" si="10"/>
        <v>6.498995957678823E-3</v>
      </c>
      <c r="AC10" s="12">
        <f t="shared" si="10"/>
        <v>6.5356284223876109E-3</v>
      </c>
      <c r="AD10" s="12">
        <f t="shared" si="10"/>
        <v>1.0468478129177779E-2</v>
      </c>
      <c r="AE10" s="12">
        <f t="shared" si="10"/>
        <v>5.5422981666381098E-3</v>
      </c>
      <c r="AF10" s="12">
        <f t="shared" si="10"/>
        <v>3.6396558082079492E-2</v>
      </c>
      <c r="AG10" s="12">
        <f t="shared" si="10"/>
        <v>3.1421362445766703E-2</v>
      </c>
      <c r="AH10" s="12">
        <f t="shared" si="10"/>
        <v>5.8031716294027168E-3</v>
      </c>
      <c r="AI10" s="731"/>
    </row>
    <row r="11" spans="1:35" x14ac:dyDescent="0.25">
      <c r="A11" s="749" t="s">
        <v>69</v>
      </c>
      <c r="B11" s="97"/>
      <c r="C11" s="123">
        <f>'GP by Card Type'!C7</f>
        <v>-73.520909090909015</v>
      </c>
      <c r="D11" s="123">
        <f>'GP by Card Type'!D7</f>
        <v>11961.205454545448</v>
      </c>
      <c r="E11" s="123">
        <f>'GP by Card Type'!E7</f>
        <v>825.74454545454535</v>
      </c>
      <c r="F11" s="123">
        <f>'GP by Card Type'!F7</f>
        <v>4762.905454545451</v>
      </c>
      <c r="G11" s="123">
        <f>'GP by Card Type'!G7</f>
        <v>1488.0300000000016</v>
      </c>
      <c r="H11" s="123">
        <f>'GP by Card Type'!H7</f>
        <v>1184.5527272727272</v>
      </c>
      <c r="I11" s="123">
        <f>'GP by Card Type'!I7</f>
        <v>-179.44545454545451</v>
      </c>
      <c r="J11" s="123">
        <f>'GP by Card Type'!J7</f>
        <v>-256.52363636363634</v>
      </c>
      <c r="K11" s="124">
        <f>SUM(C11:J11)</f>
        <v>19712.948181818174</v>
      </c>
      <c r="L11" s="750"/>
      <c r="O11" s="749" t="s">
        <v>69</v>
      </c>
      <c r="P11" s="97"/>
      <c r="Q11" s="123">
        <f t="shared" si="0"/>
        <v>-73.520909090909015</v>
      </c>
      <c r="R11" s="123">
        <f t="shared" si="1"/>
        <v>17908.663636363628</v>
      </c>
      <c r="S11" s="123">
        <f t="shared" si="2"/>
        <v>2313.774545454547</v>
      </c>
      <c r="T11" s="123">
        <f t="shared" si="3"/>
        <v>-435.96909090909082</v>
      </c>
      <c r="U11" s="124">
        <f>SUM(Q11:T11)</f>
        <v>19712.948181818178</v>
      </c>
      <c r="V11" s="750"/>
      <c r="X11" s="749" t="s">
        <v>70</v>
      </c>
      <c r="Y11" s="97"/>
      <c r="Z11" s="146">
        <f>C11/C8</f>
        <v>-2.5376723043660414E-3</v>
      </c>
      <c r="AA11" s="146">
        <f t="shared" ref="AA11:AH11" si="11">D11/D8</f>
        <v>1.2046586358154043E-2</v>
      </c>
      <c r="AB11" s="146">
        <f t="shared" si="11"/>
        <v>8.2738632814548449E-3</v>
      </c>
      <c r="AC11" s="146">
        <f t="shared" si="11"/>
        <v>8.2450205173098309E-3</v>
      </c>
      <c r="AD11" s="146">
        <f t="shared" si="11"/>
        <v>4.3089009674677613E-3</v>
      </c>
      <c r="AE11" s="146">
        <f t="shared" si="11"/>
        <v>9.2256322315980559E-3</v>
      </c>
      <c r="AF11" s="146">
        <f t="shared" si="11"/>
        <v>-2.0486815900027572E-2</v>
      </c>
      <c r="AG11" s="146">
        <f t="shared" si="11"/>
        <v>-1.6668711543733717E-2</v>
      </c>
      <c r="AH11" s="146">
        <f t="shared" si="11"/>
        <v>8.9716799287123325E-3</v>
      </c>
      <c r="AI11" s="750"/>
    </row>
    <row r="12" spans="1:35" x14ac:dyDescent="0.25">
      <c r="A12" s="275" t="s">
        <v>20</v>
      </c>
      <c r="B12" s="73">
        <v>33.090000000000003</v>
      </c>
      <c r="C12" s="11">
        <v>3451836.4899999993</v>
      </c>
      <c r="D12" s="74">
        <v>14232255.489999998</v>
      </c>
      <c r="E12" s="11">
        <v>2063144.4300000002</v>
      </c>
      <c r="F12" s="74">
        <v>10380845.669999996</v>
      </c>
      <c r="G12" s="11">
        <v>14191344.989999996</v>
      </c>
      <c r="H12" s="74">
        <v>3283670.7599999988</v>
      </c>
      <c r="I12" s="11">
        <v>1251747</v>
      </c>
      <c r="J12" s="74">
        <v>1056702.6200000001</v>
      </c>
      <c r="K12" s="122">
        <f>SUM(B12:J12)</f>
        <v>49911580.539999984</v>
      </c>
      <c r="L12" s="729">
        <f>K12/$K$44</f>
        <v>0.34276367048615641</v>
      </c>
      <c r="O12" s="728" t="s">
        <v>20</v>
      </c>
      <c r="P12" s="73">
        <v>461.55999999999995</v>
      </c>
      <c r="Q12" s="11">
        <f t="shared" si="0"/>
        <v>3451836.4899999993</v>
      </c>
      <c r="R12" s="74">
        <f t="shared" si="1"/>
        <v>27896771.919999994</v>
      </c>
      <c r="S12" s="11">
        <f t="shared" si="2"/>
        <v>16254489.419999996</v>
      </c>
      <c r="T12" s="11">
        <f t="shared" si="3"/>
        <v>2308449.62</v>
      </c>
      <c r="U12" s="122">
        <f>SUM(P12:T12)</f>
        <v>49912009.00999999</v>
      </c>
      <c r="V12" s="729">
        <f>U12/$K$44</f>
        <v>0.3427666129686085</v>
      </c>
      <c r="X12" s="275" t="s">
        <v>20</v>
      </c>
      <c r="Y12" s="73">
        <v>33.090000000000003</v>
      </c>
      <c r="Z12" s="11">
        <f>C12</f>
        <v>3451836.4899999993</v>
      </c>
      <c r="AA12" s="11">
        <f t="shared" ref="AA12" si="12">D12</f>
        <v>14232255.489999998</v>
      </c>
      <c r="AB12" s="11">
        <f t="shared" ref="AB12" si="13">E12</f>
        <v>2063144.4300000002</v>
      </c>
      <c r="AC12" s="11">
        <f t="shared" ref="AC12" si="14">F12</f>
        <v>10380845.669999996</v>
      </c>
      <c r="AD12" s="11">
        <f t="shared" ref="AD12" si="15">G12</f>
        <v>14191344.989999996</v>
      </c>
      <c r="AE12" s="11">
        <f t="shared" ref="AE12" si="16">H12</f>
        <v>3283670.7599999988</v>
      </c>
      <c r="AF12" s="11">
        <f t="shared" ref="AF12" si="17">I12</f>
        <v>1251747</v>
      </c>
      <c r="AG12" s="11">
        <f t="shared" ref="AG12" si="18">J12</f>
        <v>1056702.6200000001</v>
      </c>
      <c r="AH12" s="11">
        <f t="shared" ref="AH12" si="19">K12</f>
        <v>49911580.539999984</v>
      </c>
      <c r="AI12" s="729">
        <f>AH12/$K$44</f>
        <v>0.34276367048615641</v>
      </c>
    </row>
    <row r="13" spans="1:35" x14ac:dyDescent="0.25">
      <c r="A13" s="730" t="s">
        <v>53</v>
      </c>
      <c r="C13" s="118">
        <f>'MSF By Card'!C8</f>
        <v>52869.518181818159</v>
      </c>
      <c r="D13" s="118">
        <f>'MSF By Card'!D8</f>
        <v>205803.26363636358</v>
      </c>
      <c r="E13" s="118">
        <f>'MSF By Card'!E8</f>
        <v>29898.272727272717</v>
      </c>
      <c r="F13" s="118">
        <f>'MSF By Card'!F8</f>
        <v>149555.40000000002</v>
      </c>
      <c r="G13" s="118">
        <f>'MSF By Card'!G8</f>
        <v>205522.40000000005</v>
      </c>
      <c r="H13" s="118">
        <f>'MSF By Card'!H8</f>
        <v>47205.909090909074</v>
      </c>
      <c r="I13" s="118">
        <f>'MSF By Card'!I8</f>
        <v>18329.754545454529</v>
      </c>
      <c r="J13" s="118">
        <f>'MSF By Card'!J8</f>
        <v>15291.854545454538</v>
      </c>
      <c r="K13" s="119">
        <f>SUM(C13:J13)</f>
        <v>724476.37272727257</v>
      </c>
      <c r="L13" s="731"/>
      <c r="O13" s="730" t="s">
        <v>53</v>
      </c>
      <c r="Q13" s="118">
        <f t="shared" si="0"/>
        <v>52869.518181818159</v>
      </c>
      <c r="R13" s="118">
        <f t="shared" si="1"/>
        <v>402564.57272727264</v>
      </c>
      <c r="S13" s="118">
        <f t="shared" si="2"/>
        <v>235420.67272727276</v>
      </c>
      <c r="T13" s="118">
        <f t="shared" si="3"/>
        <v>33621.609090909071</v>
      </c>
      <c r="U13" s="119">
        <f>SUM(Q13:T13)</f>
        <v>724476.37272727257</v>
      </c>
      <c r="V13" s="731"/>
      <c r="X13" s="730" t="s">
        <v>67</v>
      </c>
      <c r="Z13" s="12">
        <f>C13/C12</f>
        <v>1.5316344889157299E-2</v>
      </c>
      <c r="AA13" s="12">
        <f t="shared" ref="AA13" si="20">D13/D12</f>
        <v>1.4460340722590809E-2</v>
      </c>
      <c r="AB13" s="12">
        <f t="shared" ref="AB13" si="21">E13/E12</f>
        <v>1.4491604316462087E-2</v>
      </c>
      <c r="AC13" s="12">
        <f t="shared" ref="AC13" si="22">F13/F12</f>
        <v>1.4406860939297644E-2</v>
      </c>
      <c r="AD13" s="12">
        <f t="shared" ref="AD13" si="23">G13/G12</f>
        <v>1.4482235485418927E-2</v>
      </c>
      <c r="AE13" s="12">
        <f t="shared" ref="AE13" si="24">H13/H12</f>
        <v>1.4375956830370256E-2</v>
      </c>
      <c r="AF13" s="12">
        <f t="shared" ref="AF13" si="25">I13/I12</f>
        <v>1.4643338107025245E-2</v>
      </c>
      <c r="AG13" s="12">
        <f t="shared" ref="AG13" si="26">J13/J12</f>
        <v>1.447129424686629E-2</v>
      </c>
      <c r="AH13" s="12">
        <f t="shared" ref="AH13" si="27">K13/K12</f>
        <v>1.4515195970335281E-2</v>
      </c>
      <c r="AI13" s="731"/>
    </row>
    <row r="14" spans="1:35" x14ac:dyDescent="0.25">
      <c r="A14" s="730" t="s">
        <v>68</v>
      </c>
      <c r="C14" s="118">
        <f>'COA by Card'!C10</f>
        <v>58306.29</v>
      </c>
      <c r="D14" s="118">
        <f>'COA by Card'!D10</f>
        <v>33089</v>
      </c>
      <c r="E14" s="118">
        <f>'COA by Card'!E10</f>
        <v>11330</v>
      </c>
      <c r="F14" s="118">
        <f>'COA by Card'!F10</f>
        <v>59926</v>
      </c>
      <c r="G14" s="118">
        <f>'COA by Card'!G10</f>
        <v>140277</v>
      </c>
      <c r="H14" s="118">
        <f>'COA by Card'!H10</f>
        <v>15971</v>
      </c>
      <c r="I14" s="118">
        <f>'COA by Card'!I10</f>
        <v>37170</v>
      </c>
      <c r="J14" s="118">
        <f>'COA by Card'!J10</f>
        <v>30719</v>
      </c>
      <c r="K14" s="119">
        <f>SUM(C14:J14)</f>
        <v>386788.29000000004</v>
      </c>
      <c r="L14" s="731"/>
      <c r="O14" s="730" t="s">
        <v>68</v>
      </c>
      <c r="Q14" s="118">
        <f t="shared" si="0"/>
        <v>58306.29</v>
      </c>
      <c r="R14" s="118">
        <f t="shared" si="1"/>
        <v>108986</v>
      </c>
      <c r="S14" s="118">
        <f t="shared" si="2"/>
        <v>151607</v>
      </c>
      <c r="T14" s="118">
        <f t="shared" si="3"/>
        <v>67889</v>
      </c>
      <c r="U14" s="119">
        <f>SUM(Q14:T14)</f>
        <v>386788.29000000004</v>
      </c>
      <c r="V14" s="731"/>
      <c r="X14" s="730" t="s">
        <v>68</v>
      </c>
      <c r="Z14" s="12">
        <f>C14/C12</f>
        <v>1.6891382360929852E-2</v>
      </c>
      <c r="AA14" s="12">
        <f t="shared" ref="AA14" si="28">D14/D12</f>
        <v>2.3249301576443245E-3</v>
      </c>
      <c r="AB14" s="12">
        <f t="shared" ref="AB14" si="29">E14/E12</f>
        <v>5.4916174724616825E-3</v>
      </c>
      <c r="AC14" s="12">
        <f t="shared" ref="AC14" si="30">F14/F12</f>
        <v>5.7727474143250629E-3</v>
      </c>
      <c r="AD14" s="12">
        <f t="shared" ref="AD14" si="31">G14/G12</f>
        <v>9.8846867649857641E-3</v>
      </c>
      <c r="AE14" s="12">
        <f t="shared" ref="AE14" si="32">H14/H12</f>
        <v>4.8637641125750392E-3</v>
      </c>
      <c r="AF14" s="12">
        <f t="shared" ref="AF14" si="33">I14/I12</f>
        <v>2.9694498968241986E-2</v>
      </c>
      <c r="AG14" s="12">
        <f t="shared" ref="AG14" si="34">J14/J12</f>
        <v>2.9070619698094432E-2</v>
      </c>
      <c r="AH14" s="12">
        <f t="shared" ref="AH14" si="35">K14/K12</f>
        <v>7.7494698788394684E-3</v>
      </c>
      <c r="AI14" s="731"/>
    </row>
    <row r="15" spans="1:35" x14ac:dyDescent="0.25">
      <c r="A15" s="749" t="s">
        <v>69</v>
      </c>
      <c r="B15" s="97"/>
      <c r="C15" s="123">
        <f>'GP by Card Type'!C10</f>
        <v>-5436.7718181818418</v>
      </c>
      <c r="D15" s="123">
        <f>'GP by Card Type'!D10</f>
        <v>172714.26363636358</v>
      </c>
      <c r="E15" s="123">
        <f>'GP by Card Type'!E10</f>
        <v>18568.272727272717</v>
      </c>
      <c r="F15" s="123">
        <f>'GP by Card Type'!F10</f>
        <v>89629.400000000023</v>
      </c>
      <c r="G15" s="123">
        <f>'GP by Card Type'!G10</f>
        <v>65245.400000000052</v>
      </c>
      <c r="H15" s="123">
        <f>'GP by Card Type'!H10</f>
        <v>31234.909090909074</v>
      </c>
      <c r="I15" s="123">
        <f>'GP by Card Type'!I10</f>
        <v>-18840.245454545471</v>
      </c>
      <c r="J15" s="123">
        <f>'GP by Card Type'!J10</f>
        <v>-15427.145454545462</v>
      </c>
      <c r="K15" s="124">
        <f>SUM(C15:J15)</f>
        <v>337688.08272727259</v>
      </c>
      <c r="L15" s="750"/>
      <c r="O15" s="749" t="s">
        <v>69</v>
      </c>
      <c r="P15" s="97"/>
      <c r="Q15" s="123">
        <f t="shared" si="0"/>
        <v>-5436.7718181818418</v>
      </c>
      <c r="R15" s="123">
        <f t="shared" si="1"/>
        <v>293578.57272727264</v>
      </c>
      <c r="S15" s="123">
        <f t="shared" si="2"/>
        <v>83813.672727272773</v>
      </c>
      <c r="T15" s="123">
        <f t="shared" si="3"/>
        <v>-34267.390909090929</v>
      </c>
      <c r="U15" s="124">
        <f>SUM(Q15:T15)</f>
        <v>337688.08272727265</v>
      </c>
      <c r="V15" s="750"/>
      <c r="X15" s="749" t="s">
        <v>70</v>
      </c>
      <c r="Y15" s="97"/>
      <c r="Z15" s="146">
        <f>C15/C12</f>
        <v>-1.5750374717725529E-3</v>
      </c>
      <c r="AA15" s="146">
        <f t="shared" ref="AA15" si="36">D15/D12</f>
        <v>1.2135410564946485E-2</v>
      </c>
      <c r="AB15" s="146">
        <f t="shared" ref="AB15" si="37">E15/E12</f>
        <v>8.9999868440004058E-3</v>
      </c>
      <c r="AC15" s="146">
        <f t="shared" ref="AC15" si="38">F15/F12</f>
        <v>8.6341135249725816E-3</v>
      </c>
      <c r="AD15" s="146">
        <f t="shared" ref="AD15" si="39">G15/G12</f>
        <v>4.5975487204331627E-3</v>
      </c>
      <c r="AE15" s="146">
        <f t="shared" ref="AE15" si="40">H15/H12</f>
        <v>9.5121927177952165E-3</v>
      </c>
      <c r="AF15" s="146">
        <f t="shared" ref="AF15" si="41">I15/I12</f>
        <v>-1.5051160861216741E-2</v>
      </c>
      <c r="AG15" s="146">
        <f t="shared" ref="AG15" si="42">J15/J12</f>
        <v>-1.4599325451228141E-2</v>
      </c>
      <c r="AH15" s="146">
        <f t="shared" ref="AH15" si="43">K15/K12</f>
        <v>6.7657260914958132E-3</v>
      </c>
      <c r="AI15" s="750"/>
    </row>
    <row r="16" spans="1:35" x14ac:dyDescent="0.25">
      <c r="A16" s="275" t="s">
        <v>21</v>
      </c>
      <c r="B16" s="73">
        <v>4.05</v>
      </c>
      <c r="C16" s="11">
        <v>204984.90000000002</v>
      </c>
      <c r="D16" s="74">
        <v>2129764.1300000013</v>
      </c>
      <c r="E16" s="11">
        <v>270174.44999999995</v>
      </c>
      <c r="F16" s="74">
        <v>1703842.1900000004</v>
      </c>
      <c r="G16" s="11">
        <v>1710872.9400000004</v>
      </c>
      <c r="H16" s="74">
        <v>351036.35000000009</v>
      </c>
      <c r="I16" s="11">
        <v>143753.76000000015</v>
      </c>
      <c r="J16" s="74">
        <v>145986.39999999991</v>
      </c>
      <c r="K16" s="122">
        <f>SUM(B16:J16)</f>
        <v>6660419.1700000018</v>
      </c>
      <c r="L16" s="729">
        <f>K16/$K$44</f>
        <v>4.5739880344121048E-2</v>
      </c>
      <c r="O16" s="728" t="s">
        <v>72</v>
      </c>
      <c r="P16" s="73">
        <v>461.55999999999995</v>
      </c>
      <c r="Q16" s="11">
        <f t="shared" si="0"/>
        <v>204984.90000000002</v>
      </c>
      <c r="R16" s="74">
        <f t="shared" si="1"/>
        <v>4184642.6700000018</v>
      </c>
      <c r="S16" s="11">
        <f t="shared" si="2"/>
        <v>1981047.3900000004</v>
      </c>
      <c r="T16" s="11">
        <f t="shared" si="3"/>
        <v>289740.16000000003</v>
      </c>
      <c r="U16" s="122">
        <f>SUM(P16:T16)</f>
        <v>6660876.6800000025</v>
      </c>
      <c r="V16" s="729">
        <f>U16/$K$44</f>
        <v>4.5743022256382444E-2</v>
      </c>
      <c r="X16" s="275" t="s">
        <v>21</v>
      </c>
      <c r="Y16" s="73">
        <v>4.05</v>
      </c>
      <c r="Z16" s="11">
        <f>C16</f>
        <v>204984.90000000002</v>
      </c>
      <c r="AA16" s="11">
        <f t="shared" ref="AA16" si="44">D16</f>
        <v>2129764.1300000013</v>
      </c>
      <c r="AB16" s="11">
        <f t="shared" ref="AB16" si="45">E16</f>
        <v>270174.44999999995</v>
      </c>
      <c r="AC16" s="11">
        <f t="shared" ref="AC16" si="46">F16</f>
        <v>1703842.1900000004</v>
      </c>
      <c r="AD16" s="11">
        <f t="shared" ref="AD16" si="47">G16</f>
        <v>1710872.9400000004</v>
      </c>
      <c r="AE16" s="11">
        <f t="shared" ref="AE16" si="48">H16</f>
        <v>351036.35000000009</v>
      </c>
      <c r="AF16" s="11">
        <f t="shared" ref="AF16" si="49">I16</f>
        <v>143753.76000000015</v>
      </c>
      <c r="AG16" s="11">
        <f t="shared" ref="AG16" si="50">J16</f>
        <v>145986.39999999991</v>
      </c>
      <c r="AH16" s="11">
        <f t="shared" ref="AH16" si="51">K16</f>
        <v>6660419.1700000018</v>
      </c>
      <c r="AI16" s="729">
        <f>AH16/$K$44</f>
        <v>4.5739880344121048E-2</v>
      </c>
    </row>
    <row r="17" spans="1:35" x14ac:dyDescent="0.25">
      <c r="A17" s="730" t="s">
        <v>53</v>
      </c>
      <c r="C17" s="118">
        <f>'MSF By Card'!C10</f>
        <v>3346.9545454545455</v>
      </c>
      <c r="D17" s="118">
        <f>'MSF By Card'!D10</f>
        <v>33475.19999999999</v>
      </c>
      <c r="E17" s="118">
        <f>'MSF By Card'!E10</f>
        <v>4094.1909090909126</v>
      </c>
      <c r="F17" s="118">
        <f>'MSF By Card'!F10</f>
        <v>28557.309090909093</v>
      </c>
      <c r="G17" s="118">
        <f>'MSF By Card'!G10</f>
        <v>26903.490909090906</v>
      </c>
      <c r="H17" s="118">
        <f>'MSF By Card'!H10</f>
        <v>5678.2363636363643</v>
      </c>
      <c r="I17" s="118">
        <f>'MSF By Card'!I10</f>
        <v>2190.763636363632</v>
      </c>
      <c r="J17" s="118">
        <f>'MSF By Card'!J10</f>
        <v>2307.2636363636352</v>
      </c>
      <c r="K17" s="119">
        <f>SUM(C17:J17)</f>
        <v>106553.40909090907</v>
      </c>
      <c r="L17" s="731"/>
      <c r="O17" s="730" t="s">
        <v>53</v>
      </c>
      <c r="Q17" s="118">
        <f t="shared" si="0"/>
        <v>3346.9545454545455</v>
      </c>
      <c r="R17" s="118">
        <f t="shared" si="1"/>
        <v>67710.745454545438</v>
      </c>
      <c r="S17" s="118">
        <f t="shared" si="2"/>
        <v>30997.68181818182</v>
      </c>
      <c r="T17" s="118">
        <f t="shared" si="3"/>
        <v>4498.0272727272677</v>
      </c>
      <c r="U17" s="119">
        <f>SUM(Q17:T17)</f>
        <v>106553.40909090907</v>
      </c>
      <c r="V17" s="731"/>
      <c r="X17" s="730" t="s">
        <v>67</v>
      </c>
      <c r="Z17" s="12">
        <f>C17/C16</f>
        <v>1.6327810221409212E-2</v>
      </c>
      <c r="AA17" s="12">
        <f t="shared" ref="AA17" si="52">D17/D16</f>
        <v>1.5717796881103436E-2</v>
      </c>
      <c r="AB17" s="12">
        <f t="shared" ref="AB17" si="53">E17/E16</f>
        <v>1.5153878944107827E-2</v>
      </c>
      <c r="AC17" s="12">
        <f t="shared" ref="AC17" si="54">F17/F16</f>
        <v>1.6760536426738609E-2</v>
      </c>
      <c r="AD17" s="12">
        <f t="shared" ref="AD17" si="55">G17/G16</f>
        <v>1.5725008140634277E-2</v>
      </c>
      <c r="AE17" s="12">
        <f t="shared" ref="AE17" si="56">H17/H16</f>
        <v>1.6175636408127997E-2</v>
      </c>
      <c r="AF17" s="12">
        <f t="shared" ref="AF17" si="57">I17/I16</f>
        <v>1.5239696244213922E-2</v>
      </c>
      <c r="AG17" s="12">
        <f t="shared" ref="AG17" si="58">J17/J16</f>
        <v>1.5804647805299922E-2</v>
      </c>
      <c r="AH17" s="12">
        <f t="shared" ref="AH17" si="59">K17/K16</f>
        <v>1.5998003484652912E-2</v>
      </c>
      <c r="AI17" s="731"/>
    </row>
    <row r="18" spans="1:35" x14ac:dyDescent="0.25">
      <c r="A18" s="730" t="s">
        <v>68</v>
      </c>
      <c r="C18" s="118">
        <f>'COA by Card'!C13</f>
        <v>3551.69</v>
      </c>
      <c r="D18" s="118">
        <f>'COA by Card'!D13</f>
        <v>7933.87</v>
      </c>
      <c r="E18" s="118">
        <f>'COA by Card'!E13</f>
        <v>1719.42</v>
      </c>
      <c r="F18" s="118">
        <f>'COA by Card'!F13</f>
        <v>13031</v>
      </c>
      <c r="G18" s="118">
        <f>'COA by Card'!G13</f>
        <v>17021</v>
      </c>
      <c r="H18" s="118">
        <f>'COA by Card'!H13</f>
        <v>2180.58</v>
      </c>
      <c r="I18" s="118">
        <f>'COA by Card'!I13</f>
        <v>4669.1000000000004</v>
      </c>
      <c r="J18" s="118">
        <f>'COA by Card'!J13</f>
        <v>4630</v>
      </c>
      <c r="K18" s="119">
        <f>SUM(C18:J18)</f>
        <v>54736.659999999996</v>
      </c>
      <c r="L18" s="731"/>
      <c r="O18" s="730" t="s">
        <v>68</v>
      </c>
      <c r="Q18" s="118">
        <f t="shared" si="0"/>
        <v>3551.69</v>
      </c>
      <c r="R18" s="118">
        <f t="shared" si="1"/>
        <v>23145.449999999997</v>
      </c>
      <c r="S18" s="118">
        <f t="shared" si="2"/>
        <v>18740.419999999998</v>
      </c>
      <c r="T18" s="118">
        <f t="shared" si="3"/>
        <v>9299.1</v>
      </c>
      <c r="U18" s="119">
        <f>SUM(Q18:T18)</f>
        <v>54736.659999999996</v>
      </c>
      <c r="V18" s="731"/>
      <c r="X18" s="730" t="s">
        <v>68</v>
      </c>
      <c r="Z18" s="12">
        <f>C18/C16</f>
        <v>1.7326593324679035E-2</v>
      </c>
      <c r="AA18" s="12">
        <f t="shared" ref="AA18" si="60">D18/D16</f>
        <v>3.7252341178269327E-3</v>
      </c>
      <c r="AB18" s="12">
        <f t="shared" ref="AB18" si="61">E18/E16</f>
        <v>6.3641102998451566E-3</v>
      </c>
      <c r="AC18" s="12">
        <f t="shared" ref="AC18" si="62">F18/F16</f>
        <v>7.6480087630650803E-3</v>
      </c>
      <c r="AD18" s="12">
        <f t="shared" ref="AD18" si="63">G18/G16</f>
        <v>9.9487224340575487E-3</v>
      </c>
      <c r="AE18" s="12">
        <f t="shared" ref="AE18" si="64">H18/H16</f>
        <v>6.2118353270252478E-3</v>
      </c>
      <c r="AF18" s="12">
        <f t="shared" ref="AF18" si="65">I18/I16</f>
        <v>3.2479846092373484E-2</v>
      </c>
      <c r="AG18" s="12">
        <f t="shared" ref="AG18" si="66">J18/J16</f>
        <v>3.1715283067463837E-2</v>
      </c>
      <c r="AH18" s="12">
        <f t="shared" ref="AH18" si="67">K18/K16</f>
        <v>8.2182004770129172E-3</v>
      </c>
      <c r="AI18" s="731"/>
    </row>
    <row r="19" spans="1:35" x14ac:dyDescent="0.25">
      <c r="A19" s="749" t="s">
        <v>69</v>
      </c>
      <c r="B19" s="97"/>
      <c r="C19" s="123">
        <f>'GP by Card Type'!C13</f>
        <v>-204.73545454545456</v>
      </c>
      <c r="D19" s="123">
        <f>'GP by Card Type'!D13</f>
        <v>25541.329999999991</v>
      </c>
      <c r="E19" s="123">
        <f>'GP by Card Type'!E13</f>
        <v>2374.7709090909125</v>
      </c>
      <c r="F19" s="123">
        <f>'GP by Card Type'!F13</f>
        <v>15526.309090909093</v>
      </c>
      <c r="G19" s="123">
        <f>'GP by Card Type'!G13</f>
        <v>9882.4909090909059</v>
      </c>
      <c r="H19" s="123">
        <f>'GP by Card Type'!H13</f>
        <v>3497.6563636363644</v>
      </c>
      <c r="I19" s="123">
        <f>'GP by Card Type'!I13</f>
        <v>-2478.3363636363683</v>
      </c>
      <c r="J19" s="123">
        <f>'GP by Card Type'!J13</f>
        <v>-2322.7363636363648</v>
      </c>
      <c r="K19" s="124">
        <f>SUM(C19:J19)</f>
        <v>51816.749090909077</v>
      </c>
      <c r="L19" s="750"/>
      <c r="O19" s="749" t="s">
        <v>69</v>
      </c>
      <c r="P19" s="97"/>
      <c r="Q19" s="123">
        <f t="shared" si="0"/>
        <v>-204.73545454545456</v>
      </c>
      <c r="R19" s="123">
        <f t="shared" si="1"/>
        <v>44565.295454545449</v>
      </c>
      <c r="S19" s="123">
        <f t="shared" si="2"/>
        <v>12257.261818181818</v>
      </c>
      <c r="T19" s="123">
        <f t="shared" si="3"/>
        <v>-4801.0727272727327</v>
      </c>
      <c r="U19" s="124">
        <f>SUM(Q19:T19)</f>
        <v>51816.749090909085</v>
      </c>
      <c r="V19" s="750"/>
      <c r="X19" s="749" t="s">
        <v>70</v>
      </c>
      <c r="Y19" s="97"/>
      <c r="Z19" s="146">
        <f>C19/C16</f>
        <v>-9.9878310326982395E-4</v>
      </c>
      <c r="AA19" s="146">
        <f t="shared" ref="AA19" si="68">D19/D16</f>
        <v>1.1992562763276503E-2</v>
      </c>
      <c r="AB19" s="146">
        <f t="shared" ref="AB19" si="69">E19/E16</f>
        <v>8.7897686442626709E-3</v>
      </c>
      <c r="AC19" s="146">
        <f t="shared" ref="AC19" si="70">F19/F16</f>
        <v>9.1125276636735298E-3</v>
      </c>
      <c r="AD19" s="146">
        <f t="shared" ref="AD19" si="71">G19/G16</f>
        <v>5.7762857065767276E-3</v>
      </c>
      <c r="AE19" s="146">
        <f t="shared" ref="AE19" si="72">H19/H16</f>
        <v>9.9638010811027508E-3</v>
      </c>
      <c r="AF19" s="146">
        <f t="shared" ref="AF19" si="73">I19/I16</f>
        <v>-1.724014984815956E-2</v>
      </c>
      <c r="AG19" s="146">
        <f t="shared" ref="AG19" si="74">J19/J16</f>
        <v>-1.5910635262163915E-2</v>
      </c>
      <c r="AH19" s="146">
        <f t="shared" ref="AH19" si="75">K19/K16</f>
        <v>7.7798030076399929E-3</v>
      </c>
      <c r="AI19" s="750"/>
    </row>
    <row r="20" spans="1:35" x14ac:dyDescent="0.25">
      <c r="A20" s="275" t="s">
        <v>22</v>
      </c>
      <c r="B20" s="73"/>
      <c r="C20" s="11">
        <v>10150.43</v>
      </c>
      <c r="D20" s="74">
        <v>163384.25000000003</v>
      </c>
      <c r="E20" s="11">
        <v>22548.799999999996</v>
      </c>
      <c r="F20" s="74">
        <v>79880.649999999994</v>
      </c>
      <c r="G20" s="11">
        <v>124934.34000000003</v>
      </c>
      <c r="H20" s="74">
        <v>24332.050000000003</v>
      </c>
      <c r="I20" s="11">
        <v>2978.54</v>
      </c>
      <c r="J20" s="74">
        <v>3211.2799999999997</v>
      </c>
      <c r="K20" s="122">
        <f>SUM(B20:J20)</f>
        <v>431420.34</v>
      </c>
      <c r="L20" s="729">
        <f>K20/$K$44</f>
        <v>2.9627436691225572E-3</v>
      </c>
      <c r="O20" s="728" t="s">
        <v>22</v>
      </c>
      <c r="P20" s="73">
        <v>461.55999999999995</v>
      </c>
      <c r="Q20" s="11">
        <f t="shared" si="0"/>
        <v>10150.43</v>
      </c>
      <c r="R20" s="74">
        <f t="shared" si="1"/>
        <v>267596.95</v>
      </c>
      <c r="S20" s="11">
        <f t="shared" si="2"/>
        <v>147483.14000000001</v>
      </c>
      <c r="T20" s="11">
        <f t="shared" si="3"/>
        <v>6189.82</v>
      </c>
      <c r="U20" s="122">
        <f>SUM(P20:T20)</f>
        <v>431881.9</v>
      </c>
      <c r="V20" s="729">
        <f>U20/$K$44</f>
        <v>2.9659133944255414E-3</v>
      </c>
      <c r="X20" s="275" t="s">
        <v>22</v>
      </c>
      <c r="Y20" s="73"/>
      <c r="Z20" s="11">
        <f>C20</f>
        <v>10150.43</v>
      </c>
      <c r="AA20" s="11">
        <f t="shared" ref="AA20" si="76">D20</f>
        <v>163384.25000000003</v>
      </c>
      <c r="AB20" s="11">
        <f t="shared" ref="AB20" si="77">E20</f>
        <v>22548.799999999996</v>
      </c>
      <c r="AC20" s="11">
        <f t="shared" ref="AC20" si="78">F20</f>
        <v>79880.649999999994</v>
      </c>
      <c r="AD20" s="11">
        <f t="shared" ref="AD20" si="79">G20</f>
        <v>124934.34000000003</v>
      </c>
      <c r="AE20" s="11">
        <f t="shared" ref="AE20" si="80">H20</f>
        <v>24332.050000000003</v>
      </c>
      <c r="AF20" s="11">
        <f t="shared" ref="AF20" si="81">I20</f>
        <v>2978.54</v>
      </c>
      <c r="AG20" s="11">
        <f t="shared" ref="AG20" si="82">J20</f>
        <v>3211.2799999999997</v>
      </c>
      <c r="AH20" s="11">
        <f t="shared" ref="AH20" si="83">K20</f>
        <v>431420.34</v>
      </c>
      <c r="AI20" s="729">
        <f>AH20/$K$44</f>
        <v>2.9627436691225572E-3</v>
      </c>
    </row>
    <row r="21" spans="1:35" x14ac:dyDescent="0.25">
      <c r="A21" s="730" t="s">
        <v>53</v>
      </c>
      <c r="C21" s="118">
        <f>'MSF By Card'!C12</f>
        <v>134.00909090909087</v>
      </c>
      <c r="D21" s="118">
        <f>'MSF By Card'!D12</f>
        <v>2159.4818181818182</v>
      </c>
      <c r="E21" s="118">
        <f>'MSF By Card'!E12</f>
        <v>302.66363636363627</v>
      </c>
      <c r="F21" s="118">
        <f>'MSF By Card'!F12</f>
        <v>1091.8727272727274</v>
      </c>
      <c r="G21" s="118">
        <f>'MSF By Card'!G12</f>
        <v>1707.7363636363632</v>
      </c>
      <c r="H21" s="118">
        <f>'MSF By Card'!H12</f>
        <v>325.10000000000008</v>
      </c>
      <c r="I21" s="118">
        <f>'MSF By Card'!I12</f>
        <v>42.427272727272722</v>
      </c>
      <c r="J21" s="118">
        <f>'MSF By Card'!J12</f>
        <v>43.418181818181807</v>
      </c>
      <c r="K21" s="119">
        <f>SUM(C21:J21)</f>
        <v>5806.7090909090903</v>
      </c>
      <c r="L21" s="731"/>
      <c r="O21" s="730" t="s">
        <v>53</v>
      </c>
      <c r="Q21" s="118">
        <f t="shared" si="0"/>
        <v>134.00909090909087</v>
      </c>
      <c r="R21" s="118">
        <f t="shared" si="1"/>
        <v>3576.4545454545455</v>
      </c>
      <c r="S21" s="118">
        <f t="shared" si="2"/>
        <v>2010.3999999999994</v>
      </c>
      <c r="T21" s="118">
        <f t="shared" si="3"/>
        <v>85.84545454545453</v>
      </c>
      <c r="U21" s="119">
        <f>SUM(Q21:T21)</f>
        <v>5806.7090909090903</v>
      </c>
      <c r="V21" s="731"/>
      <c r="X21" s="730" t="s">
        <v>67</v>
      </c>
      <c r="Z21" s="12">
        <f>C21/C20</f>
        <v>1.3202306789869086E-2</v>
      </c>
      <c r="AA21" s="12">
        <f t="shared" ref="AA21" si="84">D21/D20</f>
        <v>1.3217196995315142E-2</v>
      </c>
      <c r="AB21" s="12">
        <f t="shared" ref="AB21" si="85">E21/E20</f>
        <v>1.3422605032801583E-2</v>
      </c>
      <c r="AC21" s="12">
        <f t="shared" ref="AC21" si="86">F21/F20</f>
        <v>1.3668801233749694E-2</v>
      </c>
      <c r="AD21" s="12">
        <f t="shared" ref="AD21" si="87">G21/G20</f>
        <v>1.3669070998705103E-2</v>
      </c>
      <c r="AE21" s="12">
        <f t="shared" ref="AE21" si="88">H21/H20</f>
        <v>1.3360978626954985E-2</v>
      </c>
      <c r="AF21" s="12">
        <f t="shared" ref="AF21" si="89">I21/I20</f>
        <v>1.4244318601486877E-2</v>
      </c>
      <c r="AG21" s="12">
        <f t="shared" ref="AG21" si="90">J21/J20</f>
        <v>1.3520521978208631E-2</v>
      </c>
      <c r="AH21" s="12">
        <f t="shared" ref="AH21" si="91">K21/K20</f>
        <v>1.3459516282679416E-2</v>
      </c>
      <c r="AI21" s="731"/>
    </row>
    <row r="22" spans="1:35" x14ac:dyDescent="0.25">
      <c r="A22" s="730" t="s">
        <v>68</v>
      </c>
      <c r="C22" s="118">
        <f>'COA by Card'!C16</f>
        <v>183.9</v>
      </c>
      <c r="D22" s="118">
        <f>'COA by Card'!D16</f>
        <v>429.37</v>
      </c>
      <c r="E22" s="118">
        <f>'COA by Card'!E16</f>
        <v>160.05000000000001</v>
      </c>
      <c r="F22" s="118">
        <f>'COA by Card'!F16</f>
        <v>548.6</v>
      </c>
      <c r="G22" s="118">
        <f>'COA by Card'!G16</f>
        <v>1520.96</v>
      </c>
      <c r="H22" s="118">
        <f>'COA by Card'!H16</f>
        <v>153.30000000000001</v>
      </c>
      <c r="I22" s="118">
        <f>'COA by Card'!I16</f>
        <v>109.32</v>
      </c>
      <c r="J22" s="118">
        <f>'COA by Card'!J16</f>
        <v>100.36</v>
      </c>
      <c r="K22" s="119">
        <f>SUM(C22:J22)</f>
        <v>3205.8600000000006</v>
      </c>
      <c r="L22" s="731"/>
      <c r="O22" s="730" t="s">
        <v>68</v>
      </c>
      <c r="Q22" s="118">
        <f t="shared" si="0"/>
        <v>183.9</v>
      </c>
      <c r="R22" s="118">
        <f t="shared" si="1"/>
        <v>1131.27</v>
      </c>
      <c r="S22" s="118">
        <f t="shared" si="2"/>
        <v>1681.01</v>
      </c>
      <c r="T22" s="118">
        <f t="shared" si="3"/>
        <v>209.68</v>
      </c>
      <c r="U22" s="119">
        <f>SUM(Q22:T22)</f>
        <v>3205.86</v>
      </c>
      <c r="V22" s="731"/>
      <c r="X22" s="730" t="s">
        <v>68</v>
      </c>
      <c r="Z22" s="12">
        <f>C22/C20</f>
        <v>1.811745906331062E-2</v>
      </c>
      <c r="AA22" s="12">
        <f t="shared" ref="AA22" si="92">D22/D20</f>
        <v>2.6279766868593513E-3</v>
      </c>
      <c r="AB22" s="12">
        <f t="shared" ref="AB22" si="93">E22/E20</f>
        <v>7.0979386929681419E-3</v>
      </c>
      <c r="AC22" s="12">
        <f t="shared" ref="AC22" si="94">F22/F20</f>
        <v>6.867745818292666E-3</v>
      </c>
      <c r="AD22" s="12">
        <f t="shared" ref="AD22" si="95">G22/G20</f>
        <v>1.2174074798009896E-2</v>
      </c>
      <c r="AE22" s="12">
        <f t="shared" ref="AE22" si="96">H22/H20</f>
        <v>6.300332277798212E-3</v>
      </c>
      <c r="AF22" s="12">
        <f t="shared" ref="AF22" si="97">I22/I20</f>
        <v>3.6702545542446965E-2</v>
      </c>
      <c r="AG22" s="12">
        <f t="shared" ref="AG22" si="98">J22/J20</f>
        <v>3.1252335517301513E-2</v>
      </c>
      <c r="AH22" s="12">
        <f t="shared" ref="AH22" si="99">K22/K20</f>
        <v>7.4309431029607933E-3</v>
      </c>
      <c r="AI22" s="731"/>
    </row>
    <row r="23" spans="1:35" x14ac:dyDescent="0.25">
      <c r="A23" s="749" t="s">
        <v>69</v>
      </c>
      <c r="B23" s="97"/>
      <c r="C23" s="123">
        <f>'GP by Card Type'!C16</f>
        <v>-49.890909090909133</v>
      </c>
      <c r="D23" s="123">
        <f>'GP by Card Type'!D16</f>
        <v>1730.1118181818183</v>
      </c>
      <c r="E23" s="123">
        <f>'GP by Card Type'!E16</f>
        <v>142.61363636363626</v>
      </c>
      <c r="F23" s="123">
        <f>'GP by Card Type'!F16</f>
        <v>543.27272727272737</v>
      </c>
      <c r="G23" s="123">
        <f>'GP by Card Type'!G16</f>
        <v>186.77636363636316</v>
      </c>
      <c r="H23" s="123">
        <f>'GP by Card Type'!H16</f>
        <v>171.80000000000007</v>
      </c>
      <c r="I23" s="123">
        <f>'GP by Card Type'!I16</f>
        <v>-66.892727272727271</v>
      </c>
      <c r="J23" s="123">
        <f>'GP by Card Type'!J16</f>
        <v>-56.941818181818192</v>
      </c>
      <c r="K23" s="124">
        <f>SUM(C23:J23)</f>
        <v>2600.8490909090901</v>
      </c>
      <c r="L23" s="750"/>
      <c r="O23" s="749" t="s">
        <v>69</v>
      </c>
      <c r="P23" s="97"/>
      <c r="Q23" s="123">
        <f t="shared" si="0"/>
        <v>-49.890909090909133</v>
      </c>
      <c r="R23" s="123">
        <f t="shared" si="1"/>
        <v>2445.184545454546</v>
      </c>
      <c r="S23" s="123">
        <f t="shared" si="2"/>
        <v>329.38999999999942</v>
      </c>
      <c r="T23" s="123">
        <f t="shared" si="3"/>
        <v>-123.83454545454546</v>
      </c>
      <c r="U23" s="124">
        <f>SUM(Q23:T23)</f>
        <v>2600.8490909090906</v>
      </c>
      <c r="V23" s="750"/>
      <c r="X23" s="749" t="s">
        <v>70</v>
      </c>
      <c r="Y23" s="97"/>
      <c r="Z23" s="146">
        <f>C23/C20</f>
        <v>-4.9151522734415323E-3</v>
      </c>
      <c r="AA23" s="146">
        <f t="shared" ref="AA23" si="100">D23/D20</f>
        <v>1.058922030845579E-2</v>
      </c>
      <c r="AB23" s="146">
        <f t="shared" ref="AB23" si="101">E23/E20</f>
        <v>6.3246663398334405E-3</v>
      </c>
      <c r="AC23" s="146">
        <f t="shared" ref="AC23" si="102">F23/F20</f>
        <v>6.8010554154570276E-3</v>
      </c>
      <c r="AD23" s="146">
        <f t="shared" ref="AD23" si="103">G23/G20</f>
        <v>1.4949962006952061E-3</v>
      </c>
      <c r="AE23" s="146">
        <f t="shared" ref="AE23" si="104">H23/H20</f>
        <v>7.0606463491567724E-3</v>
      </c>
      <c r="AF23" s="146">
        <f t="shared" ref="AF23" si="105">I23/I20</f>
        <v>-2.2458226940960092E-2</v>
      </c>
      <c r="AG23" s="146">
        <f t="shared" ref="AG23" si="106">J23/J20</f>
        <v>-1.7731813539092884E-2</v>
      </c>
      <c r="AH23" s="146">
        <f t="shared" ref="AH23" si="107">K23/K20</f>
        <v>6.0285731797186243E-3</v>
      </c>
      <c r="AI23" s="750"/>
    </row>
    <row r="24" spans="1:35" x14ac:dyDescent="0.25">
      <c r="A24" s="275" t="s">
        <v>23</v>
      </c>
      <c r="B24" s="73"/>
      <c r="C24" s="11">
        <v>158854.65000000002</v>
      </c>
      <c r="D24" s="74">
        <v>2604721.9599999995</v>
      </c>
      <c r="E24" s="11">
        <v>270902.85000000003</v>
      </c>
      <c r="F24" s="74">
        <v>1362981.5900000005</v>
      </c>
      <c r="G24" s="11">
        <v>1382177.67</v>
      </c>
      <c r="H24" s="74">
        <v>368459.10000000033</v>
      </c>
      <c r="I24" s="11">
        <v>72423.789999999994</v>
      </c>
      <c r="J24" s="74">
        <v>80688.459999999977</v>
      </c>
      <c r="K24" s="122">
        <f>SUM(B24:J24)</f>
        <v>6301210.0700000003</v>
      </c>
      <c r="L24" s="729">
        <f>K24/$K$44</f>
        <v>4.3273041421050769E-2</v>
      </c>
      <c r="O24" s="728" t="s">
        <v>23</v>
      </c>
      <c r="P24" s="73">
        <v>461.55999999999995</v>
      </c>
      <c r="Q24" s="11">
        <f t="shared" si="0"/>
        <v>158854.65000000002</v>
      </c>
      <c r="R24" s="74">
        <f t="shared" si="1"/>
        <v>4336162.6500000004</v>
      </c>
      <c r="S24" s="11">
        <f t="shared" si="2"/>
        <v>1653080.52</v>
      </c>
      <c r="T24" s="11">
        <f t="shared" si="3"/>
        <v>153112.24999999997</v>
      </c>
      <c r="U24" s="122">
        <f>SUM(P24:T24)</f>
        <v>6301671.6300000008</v>
      </c>
      <c r="V24" s="729">
        <f>U24/$K$44</f>
        <v>4.327621114635375E-2</v>
      </c>
      <c r="X24" s="275" t="s">
        <v>23</v>
      </c>
      <c r="Y24" s="73"/>
      <c r="Z24" s="11">
        <f>C24</f>
        <v>158854.65000000002</v>
      </c>
      <c r="AA24" s="11">
        <f t="shared" ref="AA24" si="108">D24</f>
        <v>2604721.9599999995</v>
      </c>
      <c r="AB24" s="11">
        <f t="shared" ref="AB24" si="109">E24</f>
        <v>270902.85000000003</v>
      </c>
      <c r="AC24" s="11">
        <f t="shared" ref="AC24" si="110">F24</f>
        <v>1362981.5900000005</v>
      </c>
      <c r="AD24" s="11">
        <f t="shared" ref="AD24" si="111">G24</f>
        <v>1382177.67</v>
      </c>
      <c r="AE24" s="11">
        <f t="shared" ref="AE24" si="112">H24</f>
        <v>368459.10000000033</v>
      </c>
      <c r="AF24" s="11">
        <f t="shared" ref="AF24" si="113">I24</f>
        <v>72423.789999999994</v>
      </c>
      <c r="AG24" s="11">
        <f t="shared" ref="AG24" si="114">J24</f>
        <v>80688.459999999977</v>
      </c>
      <c r="AH24" s="11">
        <f t="shared" ref="AH24" si="115">K24</f>
        <v>6301210.0700000003</v>
      </c>
      <c r="AI24" s="729">
        <f>AH24/$K$44</f>
        <v>4.3273041421050769E-2</v>
      </c>
    </row>
    <row r="25" spans="1:35" x14ac:dyDescent="0.25">
      <c r="A25" s="730" t="s">
        <v>53</v>
      </c>
      <c r="C25" s="118">
        <f>'MSF By Card'!C14</f>
        <v>2323.318181818182</v>
      </c>
      <c r="D25" s="118">
        <f>'MSF By Card'!D14</f>
        <v>36658.018181818174</v>
      </c>
      <c r="E25" s="118">
        <f>'MSF By Card'!E14</f>
        <v>3841.1727272727271</v>
      </c>
      <c r="F25" s="118">
        <f>'MSF By Card'!F14</f>
        <v>19450.454545454555</v>
      </c>
      <c r="G25" s="118">
        <f>'MSF By Card'!G14</f>
        <v>20250.890909090904</v>
      </c>
      <c r="H25" s="118">
        <f>'MSF By Card'!H14</f>
        <v>5264.8818181818142</v>
      </c>
      <c r="I25" s="118">
        <f>'MSF By Card'!I14</f>
        <v>1045.6181818181819</v>
      </c>
      <c r="J25" s="118">
        <f>'MSF By Card'!J14</f>
        <v>1162.1999999999996</v>
      </c>
      <c r="K25" s="119">
        <f>SUM(C25:J25)</f>
        <v>89996.554545454535</v>
      </c>
      <c r="L25" s="731"/>
      <c r="O25" s="730" t="s">
        <v>53</v>
      </c>
      <c r="Q25" s="118">
        <f t="shared" si="0"/>
        <v>2323.318181818182</v>
      </c>
      <c r="R25" s="118">
        <f t="shared" si="1"/>
        <v>61373.354545454546</v>
      </c>
      <c r="S25" s="118">
        <f t="shared" si="2"/>
        <v>24092.063636363629</v>
      </c>
      <c r="T25" s="118">
        <f t="shared" si="3"/>
        <v>2207.8181818181815</v>
      </c>
      <c r="U25" s="119">
        <f>SUM(Q25:T25)</f>
        <v>89996.554545454535</v>
      </c>
      <c r="V25" s="731"/>
      <c r="X25" s="730" t="s">
        <v>67</v>
      </c>
      <c r="Z25" s="12">
        <f>C25/C24</f>
        <v>1.4625433890781175E-2</v>
      </c>
      <c r="AA25" s="12">
        <f t="shared" ref="AA25" si="116">D25/D24</f>
        <v>1.4073678014300681E-2</v>
      </c>
      <c r="AB25" s="12">
        <f t="shared" ref="AB25" si="117">E25/E24</f>
        <v>1.4179152147246611E-2</v>
      </c>
      <c r="AC25" s="12">
        <f t="shared" ref="AC25" si="118">F25/F24</f>
        <v>1.4270518903673928E-2</v>
      </c>
      <c r="AD25" s="12">
        <f t="shared" ref="AD25" si="119">G25/G24</f>
        <v>1.4651438341563502E-2</v>
      </c>
      <c r="AE25" s="12">
        <f t="shared" ref="AE25" si="120">H25/H24</f>
        <v>1.4288917869532356E-2</v>
      </c>
      <c r="AF25" s="12">
        <f t="shared" ref="AF25" si="121">I25/I24</f>
        <v>1.4437496046784931E-2</v>
      </c>
      <c r="AG25" s="12">
        <f t="shared" ref="AG25" si="122">J25/J24</f>
        <v>1.4403546678174301E-2</v>
      </c>
      <c r="AH25" s="12">
        <f t="shared" ref="AH25" si="123">K25/K24</f>
        <v>1.4282424097226539E-2</v>
      </c>
      <c r="AI25" s="731"/>
    </row>
    <row r="26" spans="1:35" x14ac:dyDescent="0.25">
      <c r="A26" s="730" t="s">
        <v>68</v>
      </c>
      <c r="C26" s="118">
        <f>'COA by Card'!C19</f>
        <v>2674.91</v>
      </c>
      <c r="D26" s="118">
        <f>'COA by Card'!D19</f>
        <v>7125.88</v>
      </c>
      <c r="E26" s="118">
        <f>'COA by Card'!E19</f>
        <v>1602</v>
      </c>
      <c r="F26" s="118">
        <f>'COA by Card'!F19</f>
        <v>8601</v>
      </c>
      <c r="G26" s="118">
        <f>'COA by Card'!G19</f>
        <v>13801</v>
      </c>
      <c r="H26" s="118">
        <f>'COA by Card'!H19</f>
        <v>1975</v>
      </c>
      <c r="I26" s="118">
        <f>'COA by Card'!I19</f>
        <v>2135</v>
      </c>
      <c r="J26" s="118">
        <f>'COA by Card'!J19</f>
        <v>2324</v>
      </c>
      <c r="K26" s="119">
        <f>SUM(C26:J26)</f>
        <v>40238.79</v>
      </c>
      <c r="L26" s="731"/>
      <c r="O26" s="730" t="s">
        <v>68</v>
      </c>
      <c r="Q26" s="118">
        <f t="shared" si="0"/>
        <v>2674.91</v>
      </c>
      <c r="R26" s="118">
        <f t="shared" si="1"/>
        <v>17701.88</v>
      </c>
      <c r="S26" s="118">
        <f t="shared" si="2"/>
        <v>15403</v>
      </c>
      <c r="T26" s="118">
        <f t="shared" si="3"/>
        <v>4459</v>
      </c>
      <c r="U26" s="119">
        <f>SUM(Q26:T26)</f>
        <v>40238.79</v>
      </c>
      <c r="V26" s="731"/>
      <c r="X26" s="730" t="s">
        <v>68</v>
      </c>
      <c r="Z26" s="12">
        <f>C26/C24</f>
        <v>1.6838726471022407E-2</v>
      </c>
      <c r="AA26" s="12">
        <f t="shared" ref="AA26" si="124">D26/D24</f>
        <v>2.7357545678311098E-3</v>
      </c>
      <c r="AB26" s="12">
        <f t="shared" ref="AB26" si="125">E26/E24</f>
        <v>5.9135590489358082E-3</v>
      </c>
      <c r="AC26" s="12">
        <f t="shared" ref="AC26" si="126">F26/F24</f>
        <v>6.3104300623752349E-3</v>
      </c>
      <c r="AD26" s="12">
        <f t="shared" ref="AD26" si="127">G26/G24</f>
        <v>9.9849681408903102E-3</v>
      </c>
      <c r="AE26" s="12">
        <f t="shared" ref="AE26" si="128">H26/H24</f>
        <v>5.360160734257882E-3</v>
      </c>
      <c r="AF26" s="12">
        <f t="shared" ref="AF26" si="129">I26/I24</f>
        <v>2.9479263650797619E-2</v>
      </c>
      <c r="AG26" s="12">
        <f t="shared" ref="AG26" si="130">J26/J24</f>
        <v>2.8802136017963418E-2</v>
      </c>
      <c r="AH26" s="12">
        <f t="shared" ref="AH26" si="131">K26/K24</f>
        <v>6.3858829578744706E-3</v>
      </c>
      <c r="AI26" s="731"/>
    </row>
    <row r="27" spans="1:35" x14ac:dyDescent="0.25">
      <c r="A27" s="749" t="s">
        <v>69</v>
      </c>
      <c r="B27" s="97"/>
      <c r="C27" s="123">
        <f>'GP by Card Type'!C19</f>
        <v>-351.59181818181787</v>
      </c>
      <c r="D27" s="123">
        <f>'GP by Card Type'!D19</f>
        <v>29532.138181818173</v>
      </c>
      <c r="E27" s="123">
        <f>'GP by Card Type'!E19</f>
        <v>2239.1727272727271</v>
      </c>
      <c r="F27" s="123">
        <f>'GP by Card Type'!F19</f>
        <v>10849.454545454555</v>
      </c>
      <c r="G27" s="123">
        <f>'GP by Card Type'!G19</f>
        <v>6449.8909090909037</v>
      </c>
      <c r="H27" s="123">
        <f>'GP by Card Type'!H19</f>
        <v>3289.8818181818142</v>
      </c>
      <c r="I27" s="123">
        <f>'GP by Card Type'!I19</f>
        <v>-1089.3818181818181</v>
      </c>
      <c r="J27" s="123">
        <f>'GP by Card Type'!J19</f>
        <v>-1161.8000000000004</v>
      </c>
      <c r="K27" s="124">
        <f>SUM(C27:J27)</f>
        <v>49757.764545454535</v>
      </c>
      <c r="L27" s="750"/>
      <c r="O27" s="749" t="s">
        <v>69</v>
      </c>
      <c r="P27" s="97"/>
      <c r="Q27" s="123">
        <f t="shared" si="0"/>
        <v>-351.59181818181787</v>
      </c>
      <c r="R27" s="123">
        <f t="shared" si="1"/>
        <v>43671.474545454541</v>
      </c>
      <c r="S27" s="123">
        <f t="shared" si="2"/>
        <v>8689.0636363636313</v>
      </c>
      <c r="T27" s="123">
        <f t="shared" si="3"/>
        <v>-2251.1818181818185</v>
      </c>
      <c r="U27" s="124">
        <f>SUM(Q27:T27)</f>
        <v>49757.764545454535</v>
      </c>
      <c r="V27" s="750"/>
      <c r="X27" s="749" t="s">
        <v>70</v>
      </c>
      <c r="Y27" s="97"/>
      <c r="Z27" s="146">
        <f>C27/C24</f>
        <v>-2.2132925802412317E-3</v>
      </c>
      <c r="AA27" s="146">
        <f t="shared" ref="AA27" si="132">D27/D24</f>
        <v>1.1337923446469571E-2</v>
      </c>
      <c r="AB27" s="146">
        <f t="shared" ref="AB27" si="133">E27/E24</f>
        <v>8.2655930983108038E-3</v>
      </c>
      <c r="AC27" s="146">
        <f t="shared" ref="AC27" si="134">F27/F24</f>
        <v>7.9600888412986927E-3</v>
      </c>
      <c r="AD27" s="146">
        <f t="shared" ref="AD27" si="135">G27/G24</f>
        <v>4.6664702006731914E-3</v>
      </c>
      <c r="AE27" s="146">
        <f t="shared" ref="AE27" si="136">H27/H24</f>
        <v>8.9287571352744746E-3</v>
      </c>
      <c r="AF27" s="146">
        <f t="shared" ref="AF27" si="137">I27/I24</f>
        <v>-1.504176760401269E-2</v>
      </c>
      <c r="AG27" s="146">
        <f t="shared" ref="AG27" si="138">J27/J24</f>
        <v>-1.4398589339789119E-2</v>
      </c>
      <c r="AH27" s="146">
        <f t="shared" ref="AH27" si="139">K27/K24</f>
        <v>7.8965411393520698E-3</v>
      </c>
      <c r="AI27" s="750"/>
    </row>
    <row r="28" spans="1:35" x14ac:dyDescent="0.25">
      <c r="A28" s="275" t="s">
        <v>24</v>
      </c>
      <c r="B28" s="73"/>
      <c r="C28" s="11">
        <v>74247.37999999999</v>
      </c>
      <c r="D28" s="74">
        <v>740799.37999999989</v>
      </c>
      <c r="E28" s="11">
        <v>84684.25999999998</v>
      </c>
      <c r="F28" s="74">
        <v>442880.75</v>
      </c>
      <c r="G28" s="11">
        <v>535515.33999999973</v>
      </c>
      <c r="H28" s="74">
        <v>126869.26000000002</v>
      </c>
      <c r="I28" s="11">
        <v>39136.29</v>
      </c>
      <c r="J28" s="74">
        <v>42223.59</v>
      </c>
      <c r="K28" s="122">
        <f>SUM(B28:J28)</f>
        <v>2086356.25</v>
      </c>
      <c r="L28" s="729">
        <f>K28/$K$44</f>
        <v>1.4327879791717235E-2</v>
      </c>
      <c r="O28" s="728" t="s">
        <v>24</v>
      </c>
      <c r="P28" s="73">
        <v>461.55999999999995</v>
      </c>
      <c r="Q28" s="11">
        <f t="shared" si="0"/>
        <v>74247.37999999999</v>
      </c>
      <c r="R28" s="74">
        <f t="shared" si="1"/>
        <v>1310549.3899999999</v>
      </c>
      <c r="S28" s="11">
        <f t="shared" si="2"/>
        <v>620199.59999999974</v>
      </c>
      <c r="T28" s="11">
        <f t="shared" si="3"/>
        <v>81359.88</v>
      </c>
      <c r="U28" s="122">
        <f>SUM(P28:T28)</f>
        <v>2086817.8099999996</v>
      </c>
      <c r="V28" s="729">
        <f>U28/$K$44</f>
        <v>1.4331049517020217E-2</v>
      </c>
      <c r="X28" s="275" t="s">
        <v>24</v>
      </c>
      <c r="Y28" s="73"/>
      <c r="Z28" s="11">
        <f>C28</f>
        <v>74247.37999999999</v>
      </c>
      <c r="AA28" s="11">
        <f t="shared" ref="AA28" si="140">D28</f>
        <v>740799.37999999989</v>
      </c>
      <c r="AB28" s="11">
        <f t="shared" ref="AB28" si="141">E28</f>
        <v>84684.25999999998</v>
      </c>
      <c r="AC28" s="11">
        <f t="shared" ref="AC28" si="142">F28</f>
        <v>442880.75</v>
      </c>
      <c r="AD28" s="11">
        <f t="shared" ref="AD28" si="143">G28</f>
        <v>535515.33999999973</v>
      </c>
      <c r="AE28" s="11">
        <f t="shared" ref="AE28" si="144">H28</f>
        <v>126869.26000000002</v>
      </c>
      <c r="AF28" s="11">
        <f t="shared" ref="AF28" si="145">I28</f>
        <v>39136.29</v>
      </c>
      <c r="AG28" s="11">
        <f t="shared" ref="AG28" si="146">J28</f>
        <v>42223.59</v>
      </c>
      <c r="AH28" s="11">
        <f t="shared" ref="AH28" si="147">K28</f>
        <v>2086356.25</v>
      </c>
      <c r="AI28" s="729">
        <f>AH28/$K$44</f>
        <v>1.4327879791717235E-2</v>
      </c>
    </row>
    <row r="29" spans="1:35" x14ac:dyDescent="0.25">
      <c r="A29" s="730" t="s">
        <v>53</v>
      </c>
      <c r="C29" s="118">
        <f>'MSF By Card'!C16</f>
        <v>1060.4272727272726</v>
      </c>
      <c r="D29" s="118">
        <f>'MSF By Card'!D16</f>
        <v>10445.127272727272</v>
      </c>
      <c r="E29" s="118">
        <f>'MSF By Card'!E16</f>
        <v>1230.9272727272726</v>
      </c>
      <c r="F29" s="118">
        <f>'MSF By Card'!F16</f>
        <v>6442.0545454545454</v>
      </c>
      <c r="G29" s="118">
        <f>'MSF By Card'!G16</f>
        <v>8646.6181818181813</v>
      </c>
      <c r="H29" s="118">
        <f>'MSF By Card'!H16</f>
        <v>1821.3727272727274</v>
      </c>
      <c r="I29" s="118">
        <f>'MSF By Card'!I16</f>
        <v>565.55454545454506</v>
      </c>
      <c r="J29" s="118">
        <f>'MSF By Card'!J16</f>
        <v>585.65454545454543</v>
      </c>
      <c r="K29" s="119">
        <f>SUM(C29:J29)</f>
        <v>30797.736363636359</v>
      </c>
      <c r="L29" s="731"/>
      <c r="O29" s="730" t="s">
        <v>53</v>
      </c>
      <c r="Q29" s="118">
        <f t="shared" si="0"/>
        <v>1060.4272727272726</v>
      </c>
      <c r="R29" s="118">
        <f t="shared" si="1"/>
        <v>18708.554545454543</v>
      </c>
      <c r="S29" s="118">
        <f t="shared" si="2"/>
        <v>9877.545454545454</v>
      </c>
      <c r="T29" s="118">
        <f t="shared" si="3"/>
        <v>1151.2090909090905</v>
      </c>
      <c r="U29" s="119">
        <f>SUM(Q29:T29)</f>
        <v>30797.736363636359</v>
      </c>
      <c r="V29" s="731"/>
      <c r="X29" s="730" t="s">
        <v>67</v>
      </c>
      <c r="Z29" s="12">
        <f>C29/C28</f>
        <v>1.4282352760828365E-2</v>
      </c>
      <c r="AA29" s="12">
        <f t="shared" ref="AA29" si="148">D29/D28</f>
        <v>1.4099805635268314E-2</v>
      </c>
      <c r="AB29" s="12">
        <f t="shared" ref="AB29" si="149">E29/E28</f>
        <v>1.4535490688910463E-2</v>
      </c>
      <c r="AC29" s="12">
        <f t="shared" ref="AC29" si="150">F29/F28</f>
        <v>1.4545799395107025E-2</v>
      </c>
      <c r="AD29" s="12">
        <f t="shared" ref="AD29" si="151">G29/G28</f>
        <v>1.6146350134093612E-2</v>
      </c>
      <c r="AE29" s="12">
        <f t="shared" ref="AE29" si="152">H29/H28</f>
        <v>1.4356296610169612E-2</v>
      </c>
      <c r="AF29" s="12">
        <f t="shared" ref="AF29" si="153">I29/I28</f>
        <v>1.4450898269982797E-2</v>
      </c>
      <c r="AG29" s="12">
        <f t="shared" ref="AG29" si="154">J29/J28</f>
        <v>1.3870316224995209E-2</v>
      </c>
      <c r="AH29" s="12">
        <f t="shared" ref="AH29" si="155">K29/K28</f>
        <v>1.4761494525988243E-2</v>
      </c>
      <c r="AI29" s="731"/>
    </row>
    <row r="30" spans="1:35" x14ac:dyDescent="0.25">
      <c r="A30" s="730" t="s">
        <v>68</v>
      </c>
      <c r="C30" s="118">
        <f>'COA by Card'!C22</f>
        <v>1287.78</v>
      </c>
      <c r="D30" s="118">
        <f>'COA by Card'!D22</f>
        <v>2084.09</v>
      </c>
      <c r="E30" s="118">
        <f>'COA by Card'!E22</f>
        <v>505.36</v>
      </c>
      <c r="F30" s="118">
        <f>'COA by Card'!F22</f>
        <v>2954.1</v>
      </c>
      <c r="G30" s="118">
        <f>'COA by Card'!G22</f>
        <v>5217.2</v>
      </c>
      <c r="H30" s="118">
        <f>'COA by Card'!H22</f>
        <v>639.89</v>
      </c>
      <c r="I30" s="118">
        <f>'COA by Card'!I22</f>
        <v>1148.68</v>
      </c>
      <c r="J30" s="118">
        <f>'COA by Card'!J22</f>
        <v>1210.47</v>
      </c>
      <c r="K30" s="119">
        <f>SUM(C30:J30)</f>
        <v>15047.569999999998</v>
      </c>
      <c r="L30" s="731"/>
      <c r="O30" s="730" t="s">
        <v>68</v>
      </c>
      <c r="Q30" s="118">
        <f t="shared" si="0"/>
        <v>1287.78</v>
      </c>
      <c r="R30" s="118">
        <f t="shared" si="1"/>
        <v>5678.0800000000008</v>
      </c>
      <c r="S30" s="118">
        <f t="shared" si="2"/>
        <v>5722.5599999999995</v>
      </c>
      <c r="T30" s="118">
        <f t="shared" si="3"/>
        <v>2359.15</v>
      </c>
      <c r="U30" s="119">
        <f>SUM(Q30:T30)</f>
        <v>15047.57</v>
      </c>
      <c r="V30" s="731"/>
      <c r="X30" s="730" t="s">
        <v>68</v>
      </c>
      <c r="Z30" s="12">
        <f>C30/C28</f>
        <v>1.7344450403502455E-2</v>
      </c>
      <c r="AA30" s="12">
        <f t="shared" ref="AA30" si="156">D30/D28</f>
        <v>2.8132987908278222E-3</v>
      </c>
      <c r="AB30" s="12">
        <f t="shared" ref="AB30" si="157">E30/E28</f>
        <v>5.9675788629433629E-3</v>
      </c>
      <c r="AC30" s="12">
        <f t="shared" ref="AC30" si="158">F30/F28</f>
        <v>6.670192822785817E-3</v>
      </c>
      <c r="AD30" s="12">
        <f t="shared" ref="AD30" si="159">G30/G28</f>
        <v>9.742391319733255E-3</v>
      </c>
      <c r="AE30" s="12">
        <f t="shared" ref="AE30" si="160">H30/H28</f>
        <v>5.0436961640668498E-3</v>
      </c>
      <c r="AF30" s="12">
        <f t="shared" ref="AF30" si="161">I30/I28</f>
        <v>2.9350763702946807E-2</v>
      </c>
      <c r="AG30" s="12">
        <f t="shared" ref="AG30" si="162">J30/J28</f>
        <v>2.8668097620311302E-2</v>
      </c>
      <c r="AH30" s="12">
        <f t="shared" ref="AH30" si="163">K30/K28</f>
        <v>7.2123684533741527E-3</v>
      </c>
      <c r="AI30" s="731"/>
    </row>
    <row r="31" spans="1:35" x14ac:dyDescent="0.25">
      <c r="A31" s="749" t="s">
        <v>69</v>
      </c>
      <c r="B31" s="97"/>
      <c r="C31" s="123">
        <f>'GP by Card Type'!C22</f>
        <v>-227.35272727272741</v>
      </c>
      <c r="D31" s="123">
        <f>'GP by Card Type'!D22</f>
        <v>8361.0372727272716</v>
      </c>
      <c r="E31" s="123">
        <f>'GP by Card Type'!E22</f>
        <v>725.56727272727255</v>
      </c>
      <c r="F31" s="123">
        <f>'GP by Card Type'!F22</f>
        <v>3487.9545454545455</v>
      </c>
      <c r="G31" s="123">
        <f>'GP by Card Type'!G22</f>
        <v>3429.4181818181814</v>
      </c>
      <c r="H31" s="123">
        <f>'GP by Card Type'!H22</f>
        <v>1181.4827272727275</v>
      </c>
      <c r="I31" s="123">
        <f>'GP by Card Type'!I22</f>
        <v>-583.125454545455</v>
      </c>
      <c r="J31" s="123">
        <f>'GP by Card Type'!J22</f>
        <v>-624.8154545454546</v>
      </c>
      <c r="K31" s="124">
        <f>SUM(C31:J31)</f>
        <v>15750.166363636359</v>
      </c>
      <c r="L31" s="750"/>
      <c r="O31" s="749" t="s">
        <v>69</v>
      </c>
      <c r="P31" s="97"/>
      <c r="Q31" s="123">
        <f t="shared" si="0"/>
        <v>-227.35272727272741</v>
      </c>
      <c r="R31" s="123">
        <f t="shared" si="1"/>
        <v>13030.474545454545</v>
      </c>
      <c r="S31" s="123">
        <f t="shared" si="2"/>
        <v>4154.9854545454536</v>
      </c>
      <c r="T31" s="123">
        <f t="shared" si="3"/>
        <v>-1207.9409090909096</v>
      </c>
      <c r="U31" s="124">
        <f>SUM(Q31:T31)</f>
        <v>15750.166363636359</v>
      </c>
      <c r="V31" s="750"/>
      <c r="X31" s="749" t="s">
        <v>70</v>
      </c>
      <c r="Y31" s="97"/>
      <c r="Z31" s="146">
        <f>C31/C28</f>
        <v>-3.0620976426740908E-3</v>
      </c>
      <c r="AA31" s="146">
        <f t="shared" ref="AA31" si="164">D31/D28</f>
        <v>1.1286506844440491E-2</v>
      </c>
      <c r="AB31" s="146">
        <f t="shared" ref="AB31" si="165">E31/E28</f>
        <v>8.5679118259671012E-3</v>
      </c>
      <c r="AC31" s="146">
        <f t="shared" ref="AC31" si="166">F31/F28</f>
        <v>7.8756065723212081E-3</v>
      </c>
      <c r="AD31" s="146">
        <f t="shared" ref="AD31" si="167">G31/G28</f>
        <v>6.4039588143603565E-3</v>
      </c>
      <c r="AE31" s="146">
        <f t="shared" ref="AE31" si="168">H31/H28</f>
        <v>9.3126004461027614E-3</v>
      </c>
      <c r="AF31" s="146">
        <f t="shared" ref="AF31" si="169">I31/I28</f>
        <v>-1.4899865432964008E-2</v>
      </c>
      <c r="AG31" s="146">
        <f t="shared" ref="AG31" si="170">J31/J28</f>
        <v>-1.4797781395316094E-2</v>
      </c>
      <c r="AH31" s="146">
        <f t="shared" ref="AH31" si="171">K31/K28</f>
        <v>7.549126072614089E-3</v>
      </c>
      <c r="AI31" s="750"/>
    </row>
    <row r="32" spans="1:35" x14ac:dyDescent="0.25">
      <c r="A32" s="275" t="s">
        <v>25</v>
      </c>
      <c r="B32" s="73">
        <v>-11.480000000000004</v>
      </c>
      <c r="C32" s="11">
        <v>206020.00000000009</v>
      </c>
      <c r="D32" s="74">
        <v>3049936.5900000003</v>
      </c>
      <c r="E32" s="11">
        <v>358214.68000000028</v>
      </c>
      <c r="F32" s="74">
        <v>2294382.3500000015</v>
      </c>
      <c r="G32" s="11">
        <v>1813340.4600000007</v>
      </c>
      <c r="H32" s="74">
        <v>538449.53000000014</v>
      </c>
      <c r="I32" s="11">
        <v>111256.40999999999</v>
      </c>
      <c r="J32" s="74">
        <v>118027.94000000002</v>
      </c>
      <c r="K32" s="122">
        <f>SUM(B32:J32)</f>
        <v>8489616.4800000042</v>
      </c>
      <c r="L32" s="729">
        <f>K32/$K$44</f>
        <v>5.8301742285490149E-2</v>
      </c>
      <c r="O32" s="728" t="s">
        <v>25</v>
      </c>
      <c r="P32" s="73">
        <v>461.55999999999995</v>
      </c>
      <c r="Q32" s="11">
        <f t="shared" si="0"/>
        <v>206020.00000000009</v>
      </c>
      <c r="R32" s="74">
        <f t="shared" si="1"/>
        <v>5882768.4700000016</v>
      </c>
      <c r="S32" s="11">
        <f t="shared" si="2"/>
        <v>2171555.1400000011</v>
      </c>
      <c r="T32" s="11">
        <f t="shared" si="3"/>
        <v>229284.35</v>
      </c>
      <c r="U32" s="122">
        <f>SUM(P32:T32)</f>
        <v>8490089.5200000033</v>
      </c>
      <c r="V32" s="729">
        <f>U32/$K$44</f>
        <v>5.8304990848748059E-2</v>
      </c>
      <c r="X32" s="275" t="s">
        <v>25</v>
      </c>
      <c r="Y32" s="73">
        <v>-11.480000000000004</v>
      </c>
      <c r="Z32" s="11">
        <f>C32</f>
        <v>206020.00000000009</v>
      </c>
      <c r="AA32" s="11">
        <f t="shared" ref="AA32" si="172">D32</f>
        <v>3049936.5900000003</v>
      </c>
      <c r="AB32" s="11">
        <f t="shared" ref="AB32" si="173">E32</f>
        <v>358214.68000000028</v>
      </c>
      <c r="AC32" s="11">
        <f t="shared" ref="AC32" si="174">F32</f>
        <v>2294382.3500000015</v>
      </c>
      <c r="AD32" s="11">
        <f t="shared" ref="AD32" si="175">G32</f>
        <v>1813340.4600000007</v>
      </c>
      <c r="AE32" s="11">
        <f t="shared" ref="AE32" si="176">H32</f>
        <v>538449.53000000014</v>
      </c>
      <c r="AF32" s="11">
        <f t="shared" ref="AF32" si="177">I32</f>
        <v>111256.40999999999</v>
      </c>
      <c r="AG32" s="11">
        <f t="shared" ref="AG32" si="178">J32</f>
        <v>118027.94000000002</v>
      </c>
      <c r="AH32" s="11">
        <f t="shared" ref="AH32" si="179">K32</f>
        <v>8489616.4800000042</v>
      </c>
      <c r="AI32" s="729">
        <f>AH32/$K$44</f>
        <v>5.8301742285490149E-2</v>
      </c>
    </row>
    <row r="33" spans="1:36" x14ac:dyDescent="0.25">
      <c r="A33" s="730" t="s">
        <v>53</v>
      </c>
      <c r="C33" s="118">
        <f>'MSF By Card'!C18</f>
        <v>3100.6090909090922</v>
      </c>
      <c r="D33" s="118">
        <f>'MSF By Card'!D18</f>
        <v>44542.145454545469</v>
      </c>
      <c r="E33" s="118">
        <f>'MSF By Card'!E18</f>
        <v>5266.8090909090888</v>
      </c>
      <c r="F33" s="118">
        <f>'MSF By Card'!F18</f>
        <v>33480.83636363635</v>
      </c>
      <c r="G33" s="118">
        <f>'MSF By Card'!G18</f>
        <v>27416.699999999993</v>
      </c>
      <c r="H33" s="118">
        <f>'MSF By Card'!H18</f>
        <v>7882.1545454545458</v>
      </c>
      <c r="I33" s="118">
        <f>'MSF By Card'!I18</f>
        <v>1597.5636363636356</v>
      </c>
      <c r="J33" s="118">
        <f>'MSF By Card'!J18</f>
        <v>1700.100000000001</v>
      </c>
      <c r="K33" s="119">
        <f>SUM(C33:J33)</f>
        <v>124986.91818181817</v>
      </c>
      <c r="L33" s="731"/>
      <c r="O33" s="730" t="s">
        <v>53</v>
      </c>
      <c r="Q33" s="118">
        <f t="shared" si="0"/>
        <v>3100.6090909090922</v>
      </c>
      <c r="R33" s="118">
        <f t="shared" si="1"/>
        <v>85905.136363636353</v>
      </c>
      <c r="S33" s="118">
        <f t="shared" si="2"/>
        <v>32683.509090909083</v>
      </c>
      <c r="T33" s="118">
        <f t="shared" si="3"/>
        <v>3297.6636363636367</v>
      </c>
      <c r="U33" s="119">
        <f>SUM(Q33:T33)</f>
        <v>124986.91818181815</v>
      </c>
      <c r="V33" s="731"/>
      <c r="X33" s="730" t="s">
        <v>67</v>
      </c>
      <c r="Z33" s="12">
        <f>C33/C32</f>
        <v>1.5050039272444865E-2</v>
      </c>
      <c r="AA33" s="12">
        <f t="shared" ref="AA33" si="180">D33/D32</f>
        <v>1.460428574173913E-2</v>
      </c>
      <c r="AB33" s="12">
        <f t="shared" ref="AB33" si="181">E33/E32</f>
        <v>1.4702940401295347E-2</v>
      </c>
      <c r="AC33" s="12">
        <f t="shared" ref="AC33" si="182">F33/F32</f>
        <v>1.4592526988205052E-2</v>
      </c>
      <c r="AD33" s="12">
        <f t="shared" ref="AD33" si="183">G33/G32</f>
        <v>1.5119444254831209E-2</v>
      </c>
      <c r="AE33" s="12">
        <f t="shared" ref="AE33" si="184">H33/H32</f>
        <v>1.4638613474979807E-2</v>
      </c>
      <c r="AF33" s="12">
        <f t="shared" ref="AF33" si="185">I33/I32</f>
        <v>1.435929522050582E-2</v>
      </c>
      <c r="AG33" s="12">
        <f t="shared" ref="AG33" si="186">J33/J32</f>
        <v>1.4404216493145612E-2</v>
      </c>
      <c r="AH33" s="12">
        <f t="shared" ref="AH33" si="187">K33/K32</f>
        <v>1.4722327972796495E-2</v>
      </c>
      <c r="AI33" s="731"/>
    </row>
    <row r="34" spans="1:36" x14ac:dyDescent="0.25">
      <c r="A34" s="730" t="s">
        <v>68</v>
      </c>
      <c r="C34" s="118">
        <f>'COA by Card'!C25</f>
        <v>3655.3</v>
      </c>
      <c r="D34" s="118">
        <f>'COA by Card'!D25</f>
        <v>14219.75</v>
      </c>
      <c r="E34" s="118">
        <f>'COA by Card'!E25</f>
        <v>2749.12</v>
      </c>
      <c r="F34" s="118">
        <f>'COA by Card'!F25</f>
        <v>20047.8</v>
      </c>
      <c r="G34" s="118">
        <f>'COA by Card'!G25</f>
        <v>21395</v>
      </c>
      <c r="H34" s="118">
        <f>'COA by Card'!H25</f>
        <v>4083.48</v>
      </c>
      <c r="I34" s="118">
        <f>'COA by Card'!I25</f>
        <v>3647.08</v>
      </c>
      <c r="J34" s="118">
        <f>'COA by Card'!J25</f>
        <v>3835.72</v>
      </c>
      <c r="K34" s="119">
        <f>SUM(C34:J34)</f>
        <v>73633.25</v>
      </c>
      <c r="L34" s="731"/>
      <c r="O34" s="730" t="s">
        <v>68</v>
      </c>
      <c r="Q34" s="118">
        <f t="shared" si="0"/>
        <v>3655.3</v>
      </c>
      <c r="R34" s="118">
        <f t="shared" si="1"/>
        <v>38351.030000000006</v>
      </c>
      <c r="S34" s="118">
        <f t="shared" si="2"/>
        <v>24144.12</v>
      </c>
      <c r="T34" s="118">
        <f t="shared" si="3"/>
        <v>7482.7999999999993</v>
      </c>
      <c r="U34" s="119">
        <f>SUM(Q34:T34)</f>
        <v>73633.250000000015</v>
      </c>
      <c r="V34" s="731"/>
      <c r="X34" s="730" t="s">
        <v>68</v>
      </c>
      <c r="Z34" s="12">
        <f>C34/C32</f>
        <v>1.7742452189107846E-2</v>
      </c>
      <c r="AA34" s="12">
        <f t="shared" ref="AA34" si="188">D34/D32</f>
        <v>4.6623100449442456E-3</v>
      </c>
      <c r="AB34" s="12">
        <f t="shared" ref="AB34" si="189">E34/E32</f>
        <v>7.6745040153016553E-3</v>
      </c>
      <c r="AC34" s="12">
        <f t="shared" ref="AC34" si="190">F34/F32</f>
        <v>8.7377764216151621E-3</v>
      </c>
      <c r="AD34" s="12">
        <f t="shared" ref="AD34" si="191">G34/G32</f>
        <v>1.1798666864798236E-2</v>
      </c>
      <c r="AE34" s="12">
        <f t="shared" ref="AE34" si="192">H34/H32</f>
        <v>7.5837748432986815E-3</v>
      </c>
      <c r="AF34" s="12">
        <f t="shared" ref="AF34" si="193">I34/I32</f>
        <v>3.2780852806593347E-2</v>
      </c>
      <c r="AG34" s="12">
        <f t="shared" ref="AG34" si="194">J34/J32</f>
        <v>3.2498406733185374E-2</v>
      </c>
      <c r="AH34" s="12">
        <f t="shared" ref="AH34" si="195">K34/K32</f>
        <v>8.6733305530899505E-3</v>
      </c>
      <c r="AI34" s="731"/>
    </row>
    <row r="35" spans="1:36" x14ac:dyDescent="0.25">
      <c r="A35" s="749" t="s">
        <v>69</v>
      </c>
      <c r="B35" s="97"/>
      <c r="C35" s="123">
        <f>'GP by Card Type'!C25</f>
        <v>-554.69090909090801</v>
      </c>
      <c r="D35" s="123">
        <f>'GP by Card Type'!D25</f>
        <v>30322.395454545469</v>
      </c>
      <c r="E35" s="123">
        <f>'GP by Card Type'!E25</f>
        <v>2517.6890909090889</v>
      </c>
      <c r="F35" s="123">
        <f>'GP by Card Type'!F25</f>
        <v>13433.036363636351</v>
      </c>
      <c r="G35" s="123">
        <f>'GP by Card Type'!G25</f>
        <v>6021.6999999999935</v>
      </c>
      <c r="H35" s="123">
        <f>'GP by Card Type'!H25</f>
        <v>3798.6745454545458</v>
      </c>
      <c r="I35" s="123">
        <f>'GP by Card Type'!I25</f>
        <v>-2049.5163636363641</v>
      </c>
      <c r="J35" s="123">
        <f>'GP by Card Type'!J25</f>
        <v>-2135.619999999999</v>
      </c>
      <c r="K35" s="124">
        <f>SUM(C35:J35)</f>
        <v>51353.668181818182</v>
      </c>
      <c r="L35" s="750"/>
      <c r="O35" s="749" t="s">
        <v>69</v>
      </c>
      <c r="P35" s="97"/>
      <c r="Q35" s="123">
        <f t="shared" si="0"/>
        <v>-554.69090909090801</v>
      </c>
      <c r="R35" s="123">
        <f t="shared" si="1"/>
        <v>47554.106363636369</v>
      </c>
      <c r="S35" s="123">
        <f t="shared" si="2"/>
        <v>8539.3890909090824</v>
      </c>
      <c r="T35" s="123">
        <f t="shared" si="3"/>
        <v>-4185.1363636363631</v>
      </c>
      <c r="U35" s="124">
        <f>SUM(Q35:T35)</f>
        <v>51353.668181818182</v>
      </c>
      <c r="V35" s="750"/>
      <c r="X35" s="749" t="s">
        <v>70</v>
      </c>
      <c r="Y35" s="97"/>
      <c r="Z35" s="146">
        <f>C35/C32</f>
        <v>-2.6924129166629829E-3</v>
      </c>
      <c r="AA35" s="146">
        <f t="shared" ref="AA35" si="196">D35/D32</f>
        <v>9.9419756967948844E-3</v>
      </c>
      <c r="AB35" s="146">
        <f t="shared" ref="AB35" si="197">E35/E32</f>
        <v>7.0284363859936918E-3</v>
      </c>
      <c r="AC35" s="146">
        <f t="shared" ref="AC35" si="198">F35/F32</f>
        <v>5.8547505665898893E-3</v>
      </c>
      <c r="AD35" s="146">
        <f t="shared" ref="AD35" si="199">G35/G32</f>
        <v>3.3207773900329734E-3</v>
      </c>
      <c r="AE35" s="146">
        <f t="shared" ref="AE35" si="200">H35/H32</f>
        <v>7.0548386316811248E-3</v>
      </c>
      <c r="AF35" s="146">
        <f t="shared" ref="AF35" si="201">I35/I32</f>
        <v>-1.8421557586087527E-2</v>
      </c>
      <c r="AG35" s="146">
        <f t="shared" ref="AG35" si="202">J35/J32</f>
        <v>-1.8094190240039762E-2</v>
      </c>
      <c r="AH35" s="146">
        <f t="shared" ref="AH35" si="203">K35/K32</f>
        <v>6.0489974197065442E-3</v>
      </c>
      <c r="AI35" s="750"/>
    </row>
    <row r="36" spans="1:36" x14ac:dyDescent="0.25">
      <c r="A36" s="275" t="s">
        <v>26</v>
      </c>
      <c r="B36" s="73"/>
      <c r="C36" s="11">
        <v>4644.67</v>
      </c>
      <c r="D36" s="74">
        <v>175277.07000000004</v>
      </c>
      <c r="E36" s="11">
        <v>18714.93</v>
      </c>
      <c r="F36" s="74">
        <v>86946.41</v>
      </c>
      <c r="G36" s="11">
        <v>78192.75999999998</v>
      </c>
      <c r="H36" s="74">
        <v>22509.51</v>
      </c>
      <c r="I36" s="11">
        <v>1067.22</v>
      </c>
      <c r="J36" s="74">
        <v>538.85</v>
      </c>
      <c r="K36" s="122">
        <f>SUM(B36:J36)</f>
        <v>387891.42000000004</v>
      </c>
      <c r="L36" s="729">
        <f>K36/$K$44</f>
        <v>2.6638123944549273E-3</v>
      </c>
      <c r="O36" s="728" t="s">
        <v>26</v>
      </c>
      <c r="P36" s="73">
        <v>461.55999999999995</v>
      </c>
      <c r="Q36" s="11">
        <f t="shared" si="0"/>
        <v>4644.67</v>
      </c>
      <c r="R36" s="74">
        <f t="shared" si="1"/>
        <v>284732.99000000005</v>
      </c>
      <c r="S36" s="11">
        <f t="shared" si="2"/>
        <v>96907.689999999973</v>
      </c>
      <c r="T36" s="11">
        <f t="shared" si="3"/>
        <v>1606.0700000000002</v>
      </c>
      <c r="U36" s="122">
        <f>SUM(P36:T36)</f>
        <v>388352.98000000004</v>
      </c>
      <c r="V36" s="729">
        <f>U36/$K$44</f>
        <v>2.666982119757912E-3</v>
      </c>
      <c r="X36" s="275" t="s">
        <v>26</v>
      </c>
      <c r="Y36" s="73"/>
      <c r="Z36" s="11">
        <f>C36</f>
        <v>4644.67</v>
      </c>
      <c r="AA36" s="11">
        <f t="shared" ref="AA36" si="204">D36</f>
        <v>175277.07000000004</v>
      </c>
      <c r="AB36" s="11">
        <f t="shared" ref="AB36" si="205">E36</f>
        <v>18714.93</v>
      </c>
      <c r="AC36" s="11">
        <f t="shared" ref="AC36" si="206">F36</f>
        <v>86946.41</v>
      </c>
      <c r="AD36" s="11">
        <f t="shared" ref="AD36" si="207">G36</f>
        <v>78192.75999999998</v>
      </c>
      <c r="AE36" s="11">
        <f t="shared" ref="AE36" si="208">H36</f>
        <v>22509.51</v>
      </c>
      <c r="AF36" s="11">
        <f t="shared" ref="AF36" si="209">I36</f>
        <v>1067.22</v>
      </c>
      <c r="AG36" s="11">
        <f t="shared" ref="AG36" si="210">J36</f>
        <v>538.85</v>
      </c>
      <c r="AH36" s="11">
        <f t="shared" ref="AH36" si="211">K36</f>
        <v>387891.42000000004</v>
      </c>
      <c r="AI36" s="729">
        <f>AH36/$K$44</f>
        <v>2.6638123944549273E-3</v>
      </c>
    </row>
    <row r="37" spans="1:36" x14ac:dyDescent="0.25">
      <c r="A37" s="730" t="s">
        <v>53</v>
      </c>
      <c r="C37" s="118">
        <f>'MSF By Card'!C20</f>
        <v>68.572727272727263</v>
      </c>
      <c r="D37" s="118">
        <f>'MSF By Card'!D20</f>
        <v>2587.2090909090907</v>
      </c>
      <c r="E37" s="118">
        <f>'MSF By Card'!E20</f>
        <v>276.0545454545454</v>
      </c>
      <c r="F37" s="118">
        <f>'MSF By Card'!F20</f>
        <v>1277.6181818181817</v>
      </c>
      <c r="G37" s="118">
        <f>'MSF By Card'!G20</f>
        <v>1154.8999999999994</v>
      </c>
      <c r="H37" s="118">
        <f>'MSF By Card'!H20</f>
        <v>331.32727272727266</v>
      </c>
      <c r="I37" s="118">
        <f>'MSF By Card'!I20</f>
        <v>15.745454545454544</v>
      </c>
      <c r="J37" s="118">
        <f>'MSF By Card'!J20</f>
        <v>7.9545454545454541</v>
      </c>
      <c r="K37" s="119">
        <f>SUM(C37:J37)</f>
        <v>5719.3818181818169</v>
      </c>
      <c r="L37" s="731"/>
      <c r="O37" s="730" t="s">
        <v>53</v>
      </c>
      <c r="Q37" s="118">
        <f t="shared" si="0"/>
        <v>68.572727272727263</v>
      </c>
      <c r="R37" s="118">
        <f t="shared" si="1"/>
        <v>4196.1545454545449</v>
      </c>
      <c r="S37" s="118">
        <f t="shared" si="2"/>
        <v>1430.9545454545448</v>
      </c>
      <c r="T37" s="118">
        <f t="shared" si="3"/>
        <v>23.7</v>
      </c>
      <c r="U37" s="119">
        <f>SUM(Q37:T37)</f>
        <v>5719.3818181818169</v>
      </c>
      <c r="V37" s="731"/>
      <c r="X37" s="730" t="s">
        <v>67</v>
      </c>
      <c r="Z37" s="12">
        <f>C37/C36</f>
        <v>1.4763745814606261E-2</v>
      </c>
      <c r="AA37" s="12">
        <f t="shared" ref="AA37" si="212">D37/D36</f>
        <v>1.4760681992853316E-2</v>
      </c>
      <c r="AB37" s="12">
        <f t="shared" ref="AB37" si="213">E37/E36</f>
        <v>1.4750498423159767E-2</v>
      </c>
      <c r="AC37" s="12">
        <f t="shared" ref="AC37" si="214">F37/F36</f>
        <v>1.4694317819656747E-2</v>
      </c>
      <c r="AD37" s="12">
        <f t="shared" ref="AD37" si="215">G37/G36</f>
        <v>1.476990964380845E-2</v>
      </c>
      <c r="AE37" s="12">
        <f t="shared" ref="AE37" si="216">H37/H36</f>
        <v>1.4719435151066046E-2</v>
      </c>
      <c r="AF37" s="12">
        <f t="shared" ref="AF37" si="217">I37/I36</f>
        <v>1.4753710149223725E-2</v>
      </c>
      <c r="AG37" s="12">
        <f t="shared" ref="AG37" si="218">J37/J36</f>
        <v>1.4762077488253603E-2</v>
      </c>
      <c r="AH37" s="12">
        <f t="shared" ref="AH37" si="219">K37/K36</f>
        <v>1.4744801053299441E-2</v>
      </c>
      <c r="AI37" s="731"/>
    </row>
    <row r="38" spans="1:36" x14ac:dyDescent="0.25">
      <c r="A38" s="730" t="s">
        <v>68</v>
      </c>
      <c r="C38" s="118">
        <f>'COA by Card'!C28</f>
        <v>81.290000000000006</v>
      </c>
      <c r="D38" s="118">
        <f>'COA by Card'!D28</f>
        <v>482.99</v>
      </c>
      <c r="E38" s="118">
        <f>'COA by Card'!E28</f>
        <v>111.29</v>
      </c>
      <c r="F38" s="118">
        <f>'COA by Card'!F28</f>
        <v>536.76</v>
      </c>
      <c r="G38" s="118">
        <f>'COA by Card'!G28</f>
        <v>791.65</v>
      </c>
      <c r="H38" s="118">
        <f>'COA by Card'!H28</f>
        <v>142.38</v>
      </c>
      <c r="I38" s="118">
        <f>'COA by Card'!I28</f>
        <v>28.91</v>
      </c>
      <c r="J38" s="118">
        <f>'COA by Card'!J28</f>
        <v>17.010000000000002</v>
      </c>
      <c r="K38" s="119">
        <f>SUM(C38:J38)</f>
        <v>2192.2800000000002</v>
      </c>
      <c r="L38" s="731"/>
      <c r="O38" s="730" t="s">
        <v>68</v>
      </c>
      <c r="Q38" s="118">
        <f t="shared" si="0"/>
        <v>81.290000000000006</v>
      </c>
      <c r="R38" s="118">
        <f t="shared" si="1"/>
        <v>1162.1300000000001</v>
      </c>
      <c r="S38" s="118">
        <f t="shared" si="2"/>
        <v>902.93999999999994</v>
      </c>
      <c r="T38" s="118">
        <f t="shared" si="3"/>
        <v>45.92</v>
      </c>
      <c r="U38" s="119">
        <f>SUM(Q38:T38)</f>
        <v>2192.2800000000002</v>
      </c>
      <c r="V38" s="731"/>
      <c r="X38" s="730" t="s">
        <v>68</v>
      </c>
      <c r="Z38" s="12">
        <f>C38/C36</f>
        <v>1.7501781612041332E-2</v>
      </c>
      <c r="AA38" s="12">
        <f t="shared" ref="AA38" si="220">D38/D36</f>
        <v>2.7555800653217212E-3</v>
      </c>
      <c r="AB38" s="12">
        <f t="shared" ref="AB38" si="221">E38/E36</f>
        <v>5.9465891670447074E-3</v>
      </c>
      <c r="AC38" s="12">
        <f t="shared" ref="AC38" si="222">F38/F36</f>
        <v>6.1734578805496395E-3</v>
      </c>
      <c r="AD38" s="12">
        <f t="shared" ref="AD38" si="223">G38/G36</f>
        <v>1.0124338877410136E-2</v>
      </c>
      <c r="AE38" s="12">
        <f t="shared" ref="AE38" si="224">H38/H36</f>
        <v>6.3253264953346388E-3</v>
      </c>
      <c r="AF38" s="12">
        <f t="shared" ref="AF38" si="225">I38/I36</f>
        <v>2.7089072543617997E-2</v>
      </c>
      <c r="AG38" s="12">
        <f t="shared" ref="AG38" si="226">J38/J36</f>
        <v>3.1567226500881507E-2</v>
      </c>
      <c r="AH38" s="12">
        <f t="shared" ref="AH38" si="227">K38/K36</f>
        <v>5.651787812166611E-3</v>
      </c>
      <c r="AI38" s="731"/>
    </row>
    <row r="39" spans="1:36" x14ac:dyDescent="0.25">
      <c r="A39" s="751" t="s">
        <v>69</v>
      </c>
      <c r="B39" s="98"/>
      <c r="C39" s="125">
        <f>'GP by Card Type'!C28</f>
        <v>-12.717272727272743</v>
      </c>
      <c r="D39" s="125">
        <f>'GP by Card Type'!D28</f>
        <v>2104.2190909090905</v>
      </c>
      <c r="E39" s="125">
        <f>'GP by Card Type'!E28</f>
        <v>164.76454545454538</v>
      </c>
      <c r="F39" s="125">
        <f>'GP by Card Type'!F28</f>
        <v>740.85818181818172</v>
      </c>
      <c r="G39" s="125">
        <f>'GP by Card Type'!G28</f>
        <v>363.24999999999943</v>
      </c>
      <c r="H39" s="125">
        <f>'GP by Card Type'!H28</f>
        <v>188.94727272727266</v>
      </c>
      <c r="I39" s="125">
        <f>'GP by Card Type'!I28</f>
        <v>-13.164545454545456</v>
      </c>
      <c r="J39" s="126">
        <f>'GP by Card Type'!J28</f>
        <v>-9.0554545454545483</v>
      </c>
      <c r="K39" s="127">
        <f>SUM(C39:J39)</f>
        <v>3527.1018181818172</v>
      </c>
      <c r="L39" s="752"/>
      <c r="O39" s="749" t="s">
        <v>69</v>
      </c>
      <c r="P39" s="97"/>
      <c r="Q39" s="123">
        <f t="shared" si="0"/>
        <v>-12.717272727272743</v>
      </c>
      <c r="R39" s="123">
        <f t="shared" si="1"/>
        <v>3034.0245454545452</v>
      </c>
      <c r="S39" s="123">
        <f t="shared" si="2"/>
        <v>528.01454545454476</v>
      </c>
      <c r="T39" s="123">
        <f t="shared" si="3"/>
        <v>-22.220000000000006</v>
      </c>
      <c r="U39" s="124">
        <f>SUM(Q39:T39)</f>
        <v>3527.1018181818176</v>
      </c>
      <c r="V39" s="750"/>
      <c r="X39" s="749" t="s">
        <v>70</v>
      </c>
      <c r="Y39" s="98"/>
      <c r="Z39" s="146">
        <f>C39/C36</f>
        <v>-2.7380357974350691E-3</v>
      </c>
      <c r="AA39" s="146">
        <f t="shared" ref="AA39" si="228">D39/D36</f>
        <v>1.2005101927531594E-2</v>
      </c>
      <c r="AB39" s="146">
        <f t="shared" ref="AB39" si="229">E39/E36</f>
        <v>8.8039092561150584E-3</v>
      </c>
      <c r="AC39" s="146">
        <f t="shared" ref="AC39" si="230">F39/F36</f>
        <v>8.5208599391071085E-3</v>
      </c>
      <c r="AD39" s="146">
        <f t="shared" ref="AD39" si="231">G39/G36</f>
        <v>4.6455707663983154E-3</v>
      </c>
      <c r="AE39" s="146">
        <f t="shared" ref="AE39" si="232">H39/H36</f>
        <v>8.3941086557314075E-3</v>
      </c>
      <c r="AF39" s="146">
        <f t="shared" ref="AF39" si="233">I39/I36</f>
        <v>-1.2335362394394273E-2</v>
      </c>
      <c r="AG39" s="146">
        <f t="shared" ref="AG39" si="234">J39/J36</f>
        <v>-1.6805149012627908E-2</v>
      </c>
      <c r="AH39" s="146">
        <f t="shared" ref="AH39" si="235">K39/K36</f>
        <v>9.0930132411328329E-3</v>
      </c>
      <c r="AI39" s="752"/>
    </row>
    <row r="40" spans="1:36" x14ac:dyDescent="0.25">
      <c r="A40" s="277" t="s">
        <v>27</v>
      </c>
      <c r="B40" s="73"/>
      <c r="C40" s="99">
        <f>C60</f>
        <v>120700.87000000001</v>
      </c>
      <c r="D40" s="99">
        <f t="shared" ref="D40:J40" si="236">D60</f>
        <v>0</v>
      </c>
      <c r="E40" s="99">
        <f t="shared" si="236"/>
        <v>41308.69</v>
      </c>
      <c r="F40" s="96">
        <f t="shared" si="236"/>
        <v>508165.40999999992</v>
      </c>
      <c r="G40" s="99">
        <f t="shared" si="236"/>
        <v>142675.57</v>
      </c>
      <c r="H40" s="96">
        <f t="shared" si="236"/>
        <v>94535.090000000011</v>
      </c>
      <c r="I40" s="99">
        <f t="shared" si="236"/>
        <v>160029.21</v>
      </c>
      <c r="J40" s="96">
        <f t="shared" si="236"/>
        <v>233001.33000000005</v>
      </c>
      <c r="K40" s="122">
        <f>SUM(B40:J40)</f>
        <v>1300416.1700000002</v>
      </c>
      <c r="L40" s="729">
        <f>K40/$K$44</f>
        <v>8.9305009932821051E-3</v>
      </c>
      <c r="O40" s="728" t="s">
        <v>27</v>
      </c>
      <c r="P40" s="73">
        <v>461.55999999999995</v>
      </c>
      <c r="Q40" s="11">
        <f t="shared" si="0"/>
        <v>120700.87000000001</v>
      </c>
      <c r="R40" s="74">
        <f t="shared" si="1"/>
        <v>602700.49999999988</v>
      </c>
      <c r="S40" s="11">
        <f t="shared" si="2"/>
        <v>183984.26</v>
      </c>
      <c r="T40" s="11">
        <f t="shared" si="3"/>
        <v>393030.54000000004</v>
      </c>
      <c r="U40" s="122">
        <f>SUM(P40:T40)</f>
        <v>1300877.73</v>
      </c>
      <c r="V40" s="729">
        <f>U40/$K$44</f>
        <v>8.9336707185850885E-3</v>
      </c>
      <c r="X40" s="277" t="s">
        <v>27</v>
      </c>
      <c r="Y40" s="73"/>
      <c r="Z40" s="11">
        <f>C40</f>
        <v>120700.87000000001</v>
      </c>
      <c r="AA40" s="11">
        <f t="shared" ref="AA40" si="237">D40</f>
        <v>0</v>
      </c>
      <c r="AB40" s="11">
        <f t="shared" ref="AB40" si="238">E40</f>
        <v>41308.69</v>
      </c>
      <c r="AC40" s="11">
        <f t="shared" ref="AC40" si="239">F40</f>
        <v>508165.40999999992</v>
      </c>
      <c r="AD40" s="11">
        <f t="shared" ref="AD40" si="240">G40</f>
        <v>142675.57</v>
      </c>
      <c r="AE40" s="11">
        <f t="shared" ref="AE40" si="241">H40</f>
        <v>94535.090000000011</v>
      </c>
      <c r="AF40" s="11">
        <f t="shared" ref="AF40" si="242">I40</f>
        <v>160029.21</v>
      </c>
      <c r="AG40" s="11">
        <f t="shared" ref="AG40" si="243">J40</f>
        <v>233001.33000000005</v>
      </c>
      <c r="AH40" s="11">
        <f t="shared" ref="AH40" si="244">K40</f>
        <v>1300416.1700000002</v>
      </c>
      <c r="AI40" s="729">
        <f>AH40/$K$44</f>
        <v>8.9305009932821051E-3</v>
      </c>
    </row>
    <row r="41" spans="1:36" x14ac:dyDescent="0.25">
      <c r="A41" s="753" t="s">
        <v>53</v>
      </c>
      <c r="C41" s="118">
        <f>'MSF By Card'!C22</f>
        <v>2236.1272727272726</v>
      </c>
      <c r="D41" s="118">
        <f>'MSF By Card'!D22</f>
        <v>0</v>
      </c>
      <c r="E41" s="118">
        <f>'MSF By Card'!E22</f>
        <v>369.08181818181822</v>
      </c>
      <c r="F41" s="7">
        <f>'MSF By Card'!F22</f>
        <v>4186.7363636363643</v>
      </c>
      <c r="G41" s="118">
        <f>'MSF By Card'!G22</f>
        <v>1265.9000000000001</v>
      </c>
      <c r="H41" s="7">
        <f>'MSF By Card'!H22</f>
        <v>712.52727272727259</v>
      </c>
      <c r="I41" s="118">
        <f>'MSF By Card'!I22</f>
        <v>1479.6090909090904</v>
      </c>
      <c r="J41" s="7">
        <f>'MSF By Card'!J22</f>
        <v>1767.4454545454539</v>
      </c>
      <c r="K41" s="119">
        <f>SUM(C41:J41)</f>
        <v>12017.427272727273</v>
      </c>
      <c r="L41" s="731"/>
      <c r="O41" s="730" t="s">
        <v>53</v>
      </c>
      <c r="Q41" s="118">
        <f t="shared" si="0"/>
        <v>2236.1272727272726</v>
      </c>
      <c r="R41" s="118">
        <f t="shared" si="1"/>
        <v>4899.2636363636366</v>
      </c>
      <c r="S41" s="118">
        <f t="shared" si="2"/>
        <v>1634.9818181818182</v>
      </c>
      <c r="T41" s="118">
        <f t="shared" si="3"/>
        <v>3247.0545454545445</v>
      </c>
      <c r="U41" s="119">
        <f>SUM(Q41:T41)</f>
        <v>12017.427272727271</v>
      </c>
      <c r="V41" s="731"/>
      <c r="X41" s="730" t="s">
        <v>67</v>
      </c>
      <c r="Z41" s="12">
        <f>C41/C40</f>
        <v>1.8526190181788024E-2</v>
      </c>
      <c r="AA41" s="12" t="e">
        <f t="shared" ref="AA41" si="245">D41/D40</f>
        <v>#DIV/0!</v>
      </c>
      <c r="AB41" s="12">
        <f t="shared" ref="AB41" si="246">E41/E40</f>
        <v>8.9347257969647105E-3</v>
      </c>
      <c r="AC41" s="12">
        <f t="shared" ref="AC41" si="247">F41/F40</f>
        <v>8.238924336932664E-3</v>
      </c>
      <c r="AD41" s="12">
        <f t="shared" ref="AD41" si="248">G41/G40</f>
        <v>8.8725771342634211E-3</v>
      </c>
      <c r="AE41" s="12">
        <f t="shared" ref="AE41" si="249">H41/H40</f>
        <v>7.537172416372296E-3</v>
      </c>
      <c r="AF41" s="12">
        <f t="shared" ref="AF41" si="250">I41/I40</f>
        <v>9.2458688692463736E-3</v>
      </c>
      <c r="AG41" s="12">
        <f t="shared" ref="AG41" si="251">J41/J40</f>
        <v>7.5855595096622564E-3</v>
      </c>
      <c r="AH41" s="12">
        <f t="shared" ref="AH41" si="252">K41/K40</f>
        <v>9.2412164274512758E-3</v>
      </c>
      <c r="AI41" s="731"/>
    </row>
    <row r="42" spans="1:36" x14ac:dyDescent="0.25">
      <c r="A42" s="753" t="s">
        <v>68</v>
      </c>
      <c r="C42" s="118">
        <f>'COA by Card'!C31</f>
        <v>2142.5699999999997</v>
      </c>
      <c r="D42" s="118">
        <f>'COA by Card'!D31</f>
        <v>0</v>
      </c>
      <c r="E42" s="118">
        <f>'COA by Card'!E31</f>
        <v>251.15545454545455</v>
      </c>
      <c r="F42" s="7">
        <f>'COA by Card'!F31</f>
        <v>2986.9818181818187</v>
      </c>
      <c r="G42" s="118">
        <f>'COA by Card'!G31</f>
        <v>1298.7572727272727</v>
      </c>
      <c r="H42" s="7">
        <f>'COA by Card'!H31</f>
        <v>622.91454545454542</v>
      </c>
      <c r="I42" s="118">
        <f>'COA by Card'!I31</f>
        <v>1540.8772727272728</v>
      </c>
      <c r="J42" s="7">
        <f>'COA by Card'!J31</f>
        <v>1346.8836363636365</v>
      </c>
      <c r="K42" s="119">
        <f>SUM(C42:J42)</f>
        <v>10190.140000000001</v>
      </c>
      <c r="L42" s="731"/>
      <c r="O42" s="730" t="s">
        <v>68</v>
      </c>
      <c r="Q42" s="118">
        <f t="shared" si="0"/>
        <v>2142.5699999999997</v>
      </c>
      <c r="R42" s="118">
        <f t="shared" si="1"/>
        <v>3609.8963636363642</v>
      </c>
      <c r="S42" s="118">
        <f t="shared" si="2"/>
        <v>1549.9127272727274</v>
      </c>
      <c r="T42" s="118">
        <f t="shared" si="3"/>
        <v>2887.7609090909091</v>
      </c>
      <c r="U42" s="119">
        <f>SUM(Q42:T42)</f>
        <v>10190.14</v>
      </c>
      <c r="V42" s="731"/>
      <c r="X42" s="730" t="s">
        <v>68</v>
      </c>
      <c r="Z42" s="12">
        <f>C42/C40</f>
        <v>1.775107337668734E-2</v>
      </c>
      <c r="AA42" s="12" t="e">
        <f t="shared" ref="AA42" si="253">D42/D40</f>
        <v>#DIV/0!</v>
      </c>
      <c r="AB42" s="12">
        <f t="shared" ref="AB42" si="254">E42/E40</f>
        <v>6.0799665771404162E-3</v>
      </c>
      <c r="AC42" s="12">
        <f t="shared" ref="AC42" si="255">F42/F40</f>
        <v>5.877971541159834E-3</v>
      </c>
      <c r="AD42" s="12">
        <f t="shared" ref="AD42" si="256">G42/G40</f>
        <v>9.1028707488413942E-3</v>
      </c>
      <c r="AE42" s="12">
        <f t="shared" ref="AE42" si="257">H42/H40</f>
        <v>6.5892415763770399E-3</v>
      </c>
      <c r="AF42" s="12">
        <f t="shared" ref="AF42" si="258">I42/I40</f>
        <v>9.6287251104174854E-3</v>
      </c>
      <c r="AG42" s="12">
        <f t="shared" ref="AG42" si="259">J42/J40</f>
        <v>5.7805834686164076E-3</v>
      </c>
      <c r="AH42" s="12">
        <f t="shared" ref="AH42" si="260">K42/K40</f>
        <v>7.83606066664028E-3</v>
      </c>
      <c r="AI42" s="731"/>
    </row>
    <row r="43" spans="1:36" x14ac:dyDescent="0.25">
      <c r="A43" s="751" t="s">
        <v>69</v>
      </c>
      <c r="B43" s="98"/>
      <c r="C43" s="125">
        <f>'GP by Card Type'!C31</f>
        <v>93.557272727272903</v>
      </c>
      <c r="D43" s="125">
        <f>'GP by Card Type'!D31</f>
        <v>0</v>
      </c>
      <c r="E43" s="125">
        <f>'GP by Card Type'!E31</f>
        <v>117.92636363636367</v>
      </c>
      <c r="F43" s="138">
        <f>'GP by Card Type'!F31</f>
        <v>1199.7545454545457</v>
      </c>
      <c r="G43" s="125">
        <f>'GP by Card Type'!G31</f>
        <v>-32.85727272727263</v>
      </c>
      <c r="H43" s="138">
        <f>'GP by Card Type'!H31</f>
        <v>89.61272727272717</v>
      </c>
      <c r="I43" s="125">
        <f>'GP by Card Type'!I31</f>
        <v>-61.268181818182484</v>
      </c>
      <c r="J43" s="138">
        <f>'GP by Card Type'!J31</f>
        <v>420.56181818181744</v>
      </c>
      <c r="K43" s="139">
        <f>SUM(C43:J43)</f>
        <v>1827.2872727272718</v>
      </c>
      <c r="L43" s="752"/>
      <c r="O43" s="749" t="s">
        <v>69</v>
      </c>
      <c r="P43" s="97"/>
      <c r="Q43" s="123">
        <f t="shared" si="0"/>
        <v>93.557272727272903</v>
      </c>
      <c r="R43" s="123">
        <f t="shared" si="1"/>
        <v>1289.3672727272728</v>
      </c>
      <c r="S43" s="123">
        <f t="shared" si="2"/>
        <v>85.069090909091045</v>
      </c>
      <c r="T43" s="123">
        <f t="shared" si="3"/>
        <v>359.29363636363496</v>
      </c>
      <c r="U43" s="124">
        <f>SUM(Q43:T43)</f>
        <v>1827.2872727272718</v>
      </c>
      <c r="V43" s="750"/>
      <c r="X43" s="749" t="s">
        <v>70</v>
      </c>
      <c r="Y43" s="98"/>
      <c r="Z43" s="146">
        <f>C43/C40</f>
        <v>7.7511680510068313E-4</v>
      </c>
      <c r="AA43" s="146" t="e">
        <f t="shared" ref="AA43" si="261">D43/D40</f>
        <v>#DIV/0!</v>
      </c>
      <c r="AB43" s="146">
        <f t="shared" ref="AB43" si="262">E43/E40</f>
        <v>2.8547592198242952E-3</v>
      </c>
      <c r="AC43" s="146">
        <f t="shared" ref="AC43" si="263">F43/F40</f>
        <v>2.3609527957728291E-3</v>
      </c>
      <c r="AD43" s="146">
        <f t="shared" ref="AD43" si="264">G43/G40</f>
        <v>-2.3029361457797313E-4</v>
      </c>
      <c r="AE43" s="146">
        <f t="shared" ref="AE43" si="265">H43/H40</f>
        <v>9.4793083999525633E-4</v>
      </c>
      <c r="AF43" s="146">
        <f t="shared" ref="AF43" si="266">I43/I40</f>
        <v>-3.8285624117111172E-4</v>
      </c>
      <c r="AG43" s="146">
        <f>J43/J40</f>
        <v>1.8049760410458488E-3</v>
      </c>
      <c r="AH43" s="146">
        <f t="shared" ref="AH43" si="267">K43/K40</f>
        <v>1.405155760810996E-3</v>
      </c>
      <c r="AI43" s="752"/>
    </row>
    <row r="44" spans="1:36" x14ac:dyDescent="0.25">
      <c r="A44" s="131" t="s">
        <v>73</v>
      </c>
      <c r="B44" s="132">
        <v>804.56999999999994</v>
      </c>
      <c r="C44" s="133">
        <f>SUM(C4,C8,C12,C16,C20,C24,C28,C32,C36,C40)</f>
        <v>7773747.9000000004</v>
      </c>
      <c r="D44" s="140">
        <f t="shared" ref="D44:J44" si="268">SUM(D4,D8,D12,D16,D20,D24,D28,D32,D36,D40)</f>
        <v>46435674.090000018</v>
      </c>
      <c r="E44" s="133">
        <f t="shared" si="268"/>
        <v>5845626.4700000016</v>
      </c>
      <c r="F44" s="140">
        <f t="shared" si="268"/>
        <v>32721693.030000001</v>
      </c>
      <c r="G44" s="133">
        <f t="shared" si="268"/>
        <v>37104582.900000006</v>
      </c>
      <c r="H44" s="140">
        <f t="shared" si="268"/>
        <v>8618063.129999999</v>
      </c>
      <c r="I44" s="133">
        <f t="shared" si="268"/>
        <v>3623457.5800000005</v>
      </c>
      <c r="J44" s="140">
        <f t="shared" si="268"/>
        <v>3491492.3000000003</v>
      </c>
      <c r="K44" s="133">
        <f>SUM(B44:J44)</f>
        <v>145615141.97000006</v>
      </c>
      <c r="L44" s="134">
        <f>K44/$K$44</f>
        <v>1</v>
      </c>
      <c r="M44" s="71">
        <f>SUM(C44:J44)</f>
        <v>145614337.40000004</v>
      </c>
      <c r="O44" s="83" t="s">
        <v>10</v>
      </c>
      <c r="P44" s="142">
        <v>461.55999999999995</v>
      </c>
      <c r="Q44" s="143">
        <f t="shared" si="0"/>
        <v>7773747.9000000004</v>
      </c>
      <c r="R44" s="144">
        <f t="shared" si="1"/>
        <v>87775430.250000015</v>
      </c>
      <c r="S44" s="143">
        <f t="shared" si="2"/>
        <v>42950209.370000005</v>
      </c>
      <c r="T44" s="143">
        <f t="shared" si="3"/>
        <v>7114949.8800000008</v>
      </c>
      <c r="U44" s="133">
        <f>SUM(P44:T44)</f>
        <v>145614798.96000001</v>
      </c>
      <c r="V44" s="134">
        <f>U44/$K$44</f>
        <v>0.99999764440706229</v>
      </c>
      <c r="W44" s="71">
        <f>SUM(Q44:T44)</f>
        <v>145614337.40000004</v>
      </c>
      <c r="X44" s="131" t="s">
        <v>10</v>
      </c>
      <c r="Y44" s="132">
        <v>804.56999999999994</v>
      </c>
      <c r="Z44" s="143">
        <f>C44</f>
        <v>7773747.9000000004</v>
      </c>
      <c r="AA44" s="143">
        <f t="shared" ref="AA44" si="269">D44</f>
        <v>46435674.090000018</v>
      </c>
      <c r="AB44" s="143">
        <f t="shared" ref="AB44" si="270">E44</f>
        <v>5845626.4700000016</v>
      </c>
      <c r="AC44" s="143">
        <f t="shared" ref="AC44" si="271">F44</f>
        <v>32721693.030000001</v>
      </c>
      <c r="AD44" s="143">
        <f t="shared" ref="AD44" si="272">G44</f>
        <v>37104582.900000006</v>
      </c>
      <c r="AE44" s="143">
        <f t="shared" ref="AE44" si="273">H44</f>
        <v>8618063.129999999</v>
      </c>
      <c r="AF44" s="143">
        <f t="shared" ref="AF44" si="274">I44</f>
        <v>3623457.5800000005</v>
      </c>
      <c r="AG44" s="143">
        <f t="shared" ref="AG44" si="275">J44</f>
        <v>3491492.3000000003</v>
      </c>
      <c r="AH44" s="143">
        <f t="shared" ref="AH44" si="276">K44</f>
        <v>145615141.97000006</v>
      </c>
      <c r="AI44" s="134">
        <f>AH44/$K$44</f>
        <v>1</v>
      </c>
      <c r="AJ44" s="71">
        <f>SUM(Z44:AG44)</f>
        <v>145614337.40000004</v>
      </c>
    </row>
    <row r="45" spans="1:36" x14ac:dyDescent="0.25">
      <c r="A45" s="129" t="s">
        <v>53</v>
      </c>
      <c r="B45" s="33"/>
      <c r="C45" s="141">
        <f>'MSF By Card'!C24</f>
        <v>120445.7818181818</v>
      </c>
      <c r="D45" s="128">
        <f>'MSF By Card'!D24</f>
        <v>663995.53636363626</v>
      </c>
      <c r="E45" s="141">
        <f>'MSF By Card'!E24</f>
        <v>83860.490909090862</v>
      </c>
      <c r="F45" s="128">
        <f>'MSF By Card'!F24</f>
        <v>468632.70909090899</v>
      </c>
      <c r="G45" s="141">
        <f>'MSF By Card'!G24</f>
        <v>551713.47272727289</v>
      </c>
      <c r="H45" s="128">
        <f>'MSF By Card'!H24</f>
        <v>123228.34545454542</v>
      </c>
      <c r="I45" s="141">
        <f>'MSF By Card'!I24</f>
        <v>52705.709090909069</v>
      </c>
      <c r="J45" s="128">
        <f>'MSF By Card'!J24</f>
        <v>48733.409090909074</v>
      </c>
      <c r="K45" s="130">
        <f>SUM(C45:J45)</f>
        <v>2113315.4545454546</v>
      </c>
      <c r="L45" s="135"/>
      <c r="O45" s="129" t="s">
        <v>53</v>
      </c>
      <c r="P45" s="33"/>
      <c r="Q45" s="141">
        <f t="shared" si="0"/>
        <v>120445.7818181818</v>
      </c>
      <c r="R45" s="141">
        <f t="shared" si="1"/>
        <v>1255856.5909090906</v>
      </c>
      <c r="S45" s="141">
        <f t="shared" si="2"/>
        <v>635573.96363636374</v>
      </c>
      <c r="T45" s="141">
        <f t="shared" si="3"/>
        <v>101439.11818181814</v>
      </c>
      <c r="U45" s="130">
        <f>SUM(Q45:T45)</f>
        <v>2113315.4545454541</v>
      </c>
      <c r="V45" s="145"/>
      <c r="X45" s="129" t="s">
        <v>67</v>
      </c>
      <c r="Y45" s="33"/>
      <c r="Z45" s="147">
        <f>C45/C44</f>
        <v>1.5493914051185246E-2</v>
      </c>
      <c r="AA45" s="147">
        <f t="shared" ref="AA45" si="277">D45/D44</f>
        <v>1.4299254815956867E-2</v>
      </c>
      <c r="AB45" s="147">
        <f t="shared" ref="AB45" si="278">E45/E44</f>
        <v>1.4345851781578312E-2</v>
      </c>
      <c r="AC45" s="147">
        <f t="shared" ref="AC45" si="279">F45/F44</f>
        <v>1.432177450785495E-2</v>
      </c>
      <c r="AD45" s="147">
        <f t="shared" ref="AD45" si="280">G45/G44</f>
        <v>1.4869146331982426E-2</v>
      </c>
      <c r="AE45" s="147">
        <f t="shared" ref="AE45" si="281">H45/H44</f>
        <v>1.4298844600659758E-2</v>
      </c>
      <c r="AF45" s="147">
        <f t="shared" ref="AF45" si="282">I45/I44</f>
        <v>1.4545695079148425E-2</v>
      </c>
      <c r="AG45" s="147">
        <f t="shared" ref="AG45" si="283">J45/J44</f>
        <v>1.3957759291323389E-2</v>
      </c>
      <c r="AH45" s="147">
        <f t="shared" ref="AH45" si="284">K45/K44</f>
        <v>1.4513019909569875E-2</v>
      </c>
      <c r="AI45" s="135"/>
    </row>
    <row r="46" spans="1:36" x14ac:dyDescent="0.25">
      <c r="A46" s="129" t="s">
        <v>68</v>
      </c>
      <c r="B46" s="33"/>
      <c r="C46" s="141">
        <f>'COA by Card'!C34</f>
        <v>131934.40999999997</v>
      </c>
      <c r="D46" s="128">
        <f>'COA by Card'!D34</f>
        <v>133087.70000000001</v>
      </c>
      <c r="E46" s="141">
        <f>'COA by Card'!E34</f>
        <v>35211.755454545455</v>
      </c>
      <c r="F46" s="128">
        <f>'COA by Card'!F34</f>
        <v>215727.4118181818</v>
      </c>
      <c r="G46" s="141">
        <f>'COA by Card'!G34</f>
        <v>374267.7372727273</v>
      </c>
      <c r="H46" s="128">
        <f>'COA by Card'!H34</f>
        <v>47321.164545454551</v>
      </c>
      <c r="I46" s="141">
        <f>'COA by Card'!I34</f>
        <v>106029.30727272728</v>
      </c>
      <c r="J46" s="128">
        <f>'COA by Card'!J34</f>
        <v>99615.933636363625</v>
      </c>
      <c r="K46" s="130">
        <f>SUM(C46:J46)</f>
        <v>1143195.42</v>
      </c>
      <c r="L46" s="135"/>
      <c r="O46" s="129" t="s">
        <v>68</v>
      </c>
      <c r="P46" s="33"/>
      <c r="Q46" s="141">
        <f t="shared" si="0"/>
        <v>131934.40999999997</v>
      </c>
      <c r="R46" s="141">
        <f t="shared" si="1"/>
        <v>396136.27636363637</v>
      </c>
      <c r="S46" s="141">
        <f t="shared" si="2"/>
        <v>409479.49272727274</v>
      </c>
      <c r="T46" s="141">
        <f t="shared" si="3"/>
        <v>205645.24090909091</v>
      </c>
      <c r="U46" s="130">
        <f>SUM(Q46:T46)</f>
        <v>1143195.42</v>
      </c>
      <c r="V46" s="145"/>
      <c r="X46" s="129" t="s">
        <v>68</v>
      </c>
      <c r="Y46" s="33"/>
      <c r="Z46" s="147">
        <f>C46/C44</f>
        <v>1.6971789116032431E-2</v>
      </c>
      <c r="AA46" s="147">
        <f t="shared" ref="AA46" si="285">D46/D44</f>
        <v>2.8660658557912613E-3</v>
      </c>
      <c r="AB46" s="147">
        <f t="shared" ref="AB46" si="286">E46/E44</f>
        <v>6.0236068170372581E-3</v>
      </c>
      <c r="AC46" s="147">
        <f t="shared" ref="AC46" si="287">F46/F44</f>
        <v>6.5927949272184035E-3</v>
      </c>
      <c r="AD46" s="147">
        <f t="shared" ref="AD46" si="288">G46/G44</f>
        <v>1.0086833162399658E-2</v>
      </c>
      <c r="AE46" s="147">
        <f t="shared" ref="AE46" si="289">H46/H44</f>
        <v>5.4909280463178219E-3</v>
      </c>
      <c r="AF46" s="147">
        <f t="shared" ref="AF46" si="290">I46/I44</f>
        <v>2.9261914878751599E-2</v>
      </c>
      <c r="AG46" s="147">
        <f t="shared" ref="AG46" si="291">J46/J44</f>
        <v>2.8531047780447235E-2</v>
      </c>
      <c r="AH46" s="147">
        <f>K46/K44</f>
        <v>7.8508004355448378E-3</v>
      </c>
      <c r="AI46" s="135"/>
    </row>
    <row r="47" spans="1:36" x14ac:dyDescent="0.25">
      <c r="A47" s="749" t="s">
        <v>69</v>
      </c>
      <c r="B47" s="136"/>
      <c r="C47" s="754">
        <f>'GP by Card Type'!C34</f>
        <v>-11488.628181818189</v>
      </c>
      <c r="D47" s="755">
        <f>'GP by Card Type'!D34</f>
        <v>530907.83636363631</v>
      </c>
      <c r="E47" s="754">
        <f>'GP by Card Type'!E34</f>
        <v>48648.735454545444</v>
      </c>
      <c r="F47" s="755">
        <f>'GP by Card Type'!F34</f>
        <v>252905.2972727273</v>
      </c>
      <c r="G47" s="754">
        <f>'GP by Card Type'!G34</f>
        <v>177445.73545454562</v>
      </c>
      <c r="H47" s="755">
        <f>'GP by Card Type'!H34</f>
        <v>75907.180909090879</v>
      </c>
      <c r="I47" s="754">
        <f>'GP by Card Type'!I34</f>
        <v>-53323.598181818212</v>
      </c>
      <c r="J47" s="755">
        <f>'GP by Card Type'!J34</f>
        <v>-50882.524545454551</v>
      </c>
      <c r="K47" s="124">
        <f>SUM(C47:J47)</f>
        <v>970120.03454545466</v>
      </c>
      <c r="L47" s="137"/>
      <c r="O47" s="749" t="s">
        <v>69</v>
      </c>
      <c r="P47" s="97"/>
      <c r="Q47" s="123">
        <f t="shared" si="0"/>
        <v>-11488.628181818189</v>
      </c>
      <c r="R47" s="123">
        <f t="shared" si="1"/>
        <v>859720.31454545446</v>
      </c>
      <c r="S47" s="123">
        <f t="shared" si="2"/>
        <v>226094.47090909106</v>
      </c>
      <c r="T47" s="123">
        <f t="shared" si="3"/>
        <v>-104206.12272727277</v>
      </c>
      <c r="U47" s="124">
        <f>SUM(Q47:T47)</f>
        <v>970120.03454545443</v>
      </c>
      <c r="V47" s="750"/>
      <c r="X47" s="749" t="s">
        <v>70</v>
      </c>
      <c r="Y47" s="136"/>
      <c r="Z47" s="146">
        <f>C47/C44</f>
        <v>-1.4778750648471875E-3</v>
      </c>
      <c r="AA47" s="146">
        <f t="shared" ref="AA47" si="292">D47/D44</f>
        <v>1.1433188960165607E-2</v>
      </c>
      <c r="AB47" s="146">
        <f t="shared" ref="AB47" si="293">E47/E44</f>
        <v>8.3222449645410593E-3</v>
      </c>
      <c r="AC47" s="146">
        <f t="shared" ref="AC47" si="294">F47/F44</f>
        <v>7.7289795806365488E-3</v>
      </c>
      <c r="AD47" s="146">
        <f t="shared" ref="AD47" si="295">G47/G44</f>
        <v>4.7823131695827687E-3</v>
      </c>
      <c r="AE47" s="146">
        <f t="shared" ref="AE47" si="296">H47/H44</f>
        <v>8.8079165543419376E-3</v>
      </c>
      <c r="AF47" s="146">
        <f t="shared" ref="AF47" si="297">I47/I44</f>
        <v>-1.4716219799603174E-2</v>
      </c>
      <c r="AG47" s="146">
        <f t="shared" ref="AG47" si="298">J47/J44</f>
        <v>-1.4573288489123848E-2</v>
      </c>
      <c r="AH47" s="146">
        <f t="shared" ref="AH47" si="299">K47/K44</f>
        <v>6.6622194740250358E-3</v>
      </c>
      <c r="AI47" s="137"/>
    </row>
    <row r="48" spans="1:36" x14ac:dyDescent="0.25">
      <c r="C48" s="3">
        <f>C47/$K$47</f>
        <v>-1.1842481108228152E-2</v>
      </c>
      <c r="D48" s="3">
        <f t="shared" ref="D48:K48" si="300">D47/$K$47</f>
        <v>0.54725994460303129</v>
      </c>
      <c r="E48" s="3">
        <f t="shared" si="300"/>
        <v>5.0147129965561005E-2</v>
      </c>
      <c r="F48" s="3">
        <f t="shared" si="300"/>
        <v>0.26069485039676038</v>
      </c>
      <c r="G48" s="3">
        <f t="shared" si="300"/>
        <v>0.18291111319815903</v>
      </c>
      <c r="H48" s="3">
        <f t="shared" si="300"/>
        <v>7.8245143081347501E-2</v>
      </c>
      <c r="I48" s="3">
        <f t="shared" si="300"/>
        <v>-5.4965979758167492E-2</v>
      </c>
      <c r="J48" s="3">
        <f t="shared" si="300"/>
        <v>-5.2449720378463606E-2</v>
      </c>
      <c r="K48" s="3">
        <f t="shared" si="300"/>
        <v>1</v>
      </c>
      <c r="O48" s="276" t="s">
        <v>74</v>
      </c>
      <c r="Q48" s="3">
        <f>Q47/$U$47</f>
        <v>-1.1842481108228154E-2</v>
      </c>
      <c r="R48" s="3">
        <f t="shared" ref="R48:U48" si="301">R47/$U$47</f>
        <v>0.88619993808113928</v>
      </c>
      <c r="S48" s="3">
        <f t="shared" si="301"/>
        <v>0.23305824316372009</v>
      </c>
      <c r="T48" s="3">
        <f t="shared" si="301"/>
        <v>-0.10741570013663114</v>
      </c>
      <c r="U48" s="3">
        <f t="shared" si="301"/>
        <v>1</v>
      </c>
      <c r="Z48" s="3"/>
      <c r="AA48" s="3"/>
      <c r="AB48" s="3"/>
      <c r="AC48" s="3"/>
      <c r="AD48" s="3"/>
      <c r="AE48" s="3"/>
      <c r="AF48" s="3"/>
      <c r="AG48" s="3"/>
      <c r="AH48" s="3"/>
    </row>
    <row r="49" spans="1:35" ht="29.1" customHeight="1" x14ac:dyDescent="0.25">
      <c r="A49" s="37" t="s">
        <v>39</v>
      </c>
      <c r="B49" s="38"/>
      <c r="C49" s="38" t="s">
        <v>2</v>
      </c>
      <c r="D49" s="38" t="s">
        <v>3</v>
      </c>
      <c r="E49" s="39" t="s">
        <v>4</v>
      </c>
      <c r="F49" s="39" t="s">
        <v>5</v>
      </c>
      <c r="G49" s="39" t="s">
        <v>6</v>
      </c>
      <c r="H49" s="39" t="s">
        <v>7</v>
      </c>
      <c r="I49" s="39" t="s">
        <v>43</v>
      </c>
      <c r="J49" s="39" t="s">
        <v>44</v>
      </c>
      <c r="K49" s="40" t="s">
        <v>10</v>
      </c>
      <c r="O49" s="37" t="s">
        <v>39</v>
      </c>
      <c r="P49" s="38"/>
      <c r="Q49" s="38" t="s">
        <v>2</v>
      </c>
      <c r="R49" s="38" t="s">
        <v>3</v>
      </c>
      <c r="S49" s="39" t="s">
        <v>4</v>
      </c>
      <c r="T49" s="39" t="s">
        <v>43</v>
      </c>
      <c r="U49" s="40" t="s">
        <v>10</v>
      </c>
      <c r="X49" s="37" t="s">
        <v>39</v>
      </c>
      <c r="Y49" s="38"/>
      <c r="Z49" s="38" t="s">
        <v>2</v>
      </c>
      <c r="AA49" s="38" t="s">
        <v>3</v>
      </c>
      <c r="AB49" s="39" t="s">
        <v>4</v>
      </c>
      <c r="AC49" s="39" t="s">
        <v>5</v>
      </c>
      <c r="AD49" s="39" t="s">
        <v>6</v>
      </c>
      <c r="AE49" s="39" t="s">
        <v>7</v>
      </c>
      <c r="AF49" s="39" t="s">
        <v>43</v>
      </c>
      <c r="AG49" s="39" t="s">
        <v>44</v>
      </c>
      <c r="AH49" s="40" t="s">
        <v>10</v>
      </c>
    </row>
    <row r="50" spans="1:35" x14ac:dyDescent="0.25">
      <c r="A50" s="41" t="s">
        <v>12</v>
      </c>
      <c r="B50" s="42" t="s">
        <v>41</v>
      </c>
      <c r="C50" s="43" t="s">
        <v>41</v>
      </c>
      <c r="D50" s="43" t="s">
        <v>41</v>
      </c>
      <c r="E50" s="43" t="s">
        <v>41</v>
      </c>
      <c r="F50" s="43" t="s">
        <v>41</v>
      </c>
      <c r="G50" s="43" t="s">
        <v>41</v>
      </c>
      <c r="H50" s="43" t="s">
        <v>41</v>
      </c>
      <c r="I50" s="43" t="s">
        <v>41</v>
      </c>
      <c r="J50" s="43" t="s">
        <v>41</v>
      </c>
      <c r="K50" s="44" t="s">
        <v>41</v>
      </c>
      <c r="O50" s="41" t="s">
        <v>12</v>
      </c>
      <c r="P50" s="42" t="s">
        <v>41</v>
      </c>
      <c r="Q50" s="43" t="s">
        <v>41</v>
      </c>
      <c r="R50" s="43" t="s">
        <v>41</v>
      </c>
      <c r="S50" s="43" t="s">
        <v>41</v>
      </c>
      <c r="T50" s="43" t="s">
        <v>41</v>
      </c>
      <c r="U50" s="44" t="s">
        <v>41</v>
      </c>
      <c r="X50" s="41" t="s">
        <v>12</v>
      </c>
      <c r="Y50" s="42" t="s">
        <v>41</v>
      </c>
      <c r="Z50" s="43" t="s">
        <v>41</v>
      </c>
      <c r="AA50" s="43" t="s">
        <v>41</v>
      </c>
      <c r="AB50" s="43" t="s">
        <v>41</v>
      </c>
      <c r="AC50" s="43" t="s">
        <v>41</v>
      </c>
      <c r="AD50" s="43" t="s">
        <v>41</v>
      </c>
      <c r="AE50" s="43" t="s">
        <v>41</v>
      </c>
      <c r="AF50" s="43" t="s">
        <v>41</v>
      </c>
      <c r="AG50" s="43" t="s">
        <v>41</v>
      </c>
      <c r="AH50" s="44" t="s">
        <v>41</v>
      </c>
    </row>
    <row r="51" spans="1:35" x14ac:dyDescent="0.25">
      <c r="A51" s="734" t="s">
        <v>45</v>
      </c>
      <c r="B51" s="45"/>
      <c r="C51" s="45"/>
      <c r="D51" s="45"/>
      <c r="E51" s="45"/>
      <c r="F51" s="45"/>
      <c r="G51" s="45"/>
      <c r="H51" s="45"/>
      <c r="I51" s="45"/>
      <c r="J51" s="45"/>
      <c r="K51" s="46"/>
      <c r="O51" s="734" t="s">
        <v>45</v>
      </c>
      <c r="P51" s="45"/>
      <c r="Q51" s="45"/>
      <c r="R51" s="45"/>
      <c r="S51" s="45"/>
      <c r="T51" s="45"/>
      <c r="U51" s="46"/>
      <c r="X51" s="734" t="s">
        <v>45</v>
      </c>
      <c r="Y51" s="45"/>
      <c r="Z51" s="45"/>
      <c r="AA51" s="45"/>
      <c r="AB51" s="45"/>
      <c r="AC51" s="45"/>
      <c r="AD51" s="45"/>
      <c r="AE51" s="45"/>
      <c r="AF51" s="45"/>
      <c r="AG51" s="45"/>
      <c r="AH51" s="46"/>
    </row>
    <row r="52" spans="1:35" x14ac:dyDescent="0.25">
      <c r="A52" s="8" t="s">
        <v>33</v>
      </c>
      <c r="B52" s="4">
        <v>287</v>
      </c>
      <c r="C52" s="6">
        <v>10887.050000000001</v>
      </c>
      <c r="D52" s="6"/>
      <c r="E52" s="6"/>
      <c r="F52" s="6"/>
      <c r="G52" s="6"/>
      <c r="H52" s="6"/>
      <c r="I52" s="6">
        <v>111834.90000000001</v>
      </c>
      <c r="J52" s="6">
        <v>191110.40000000002</v>
      </c>
      <c r="K52" s="53">
        <v>314119.35000000003</v>
      </c>
      <c r="O52" s="8" t="s">
        <v>33</v>
      </c>
      <c r="P52" s="4">
        <v>287</v>
      </c>
      <c r="Q52" s="6">
        <v>10887.050000000001</v>
      </c>
      <c r="R52" s="6"/>
      <c r="S52" s="6"/>
      <c r="T52" s="6">
        <v>111834.90000000001</v>
      </c>
      <c r="U52" s="53">
        <v>314119.35000000003</v>
      </c>
      <c r="X52" s="8" t="s">
        <v>33</v>
      </c>
      <c r="Y52" s="4">
        <v>287</v>
      </c>
      <c r="Z52" s="6">
        <v>10887.050000000001</v>
      </c>
      <c r="AA52" s="6"/>
      <c r="AB52" s="6"/>
      <c r="AC52" s="6"/>
      <c r="AD52" s="6"/>
      <c r="AE52" s="6"/>
      <c r="AF52" s="6">
        <v>111834.90000000001</v>
      </c>
      <c r="AG52" s="6">
        <v>191110.40000000002</v>
      </c>
      <c r="AH52" s="53">
        <v>314119.35000000003</v>
      </c>
    </row>
    <row r="53" spans="1:35" x14ac:dyDescent="0.25">
      <c r="A53" s="9" t="s">
        <v>34</v>
      </c>
      <c r="C53" s="7">
        <v>602.70000000000005</v>
      </c>
      <c r="D53" s="7"/>
      <c r="E53" s="7">
        <v>1246.3500000000001</v>
      </c>
      <c r="F53" s="7">
        <v>27119.599999999999</v>
      </c>
      <c r="G53" s="7">
        <v>4290.1000000000004</v>
      </c>
      <c r="H53" s="7">
        <v>4427.8</v>
      </c>
      <c r="I53" s="7">
        <v>108.69999999999999</v>
      </c>
      <c r="J53" s="7">
        <v>13.5</v>
      </c>
      <c r="K53" s="47">
        <v>37808.749999999993</v>
      </c>
      <c r="O53" s="9" t="s">
        <v>34</v>
      </c>
      <c r="Q53" s="7">
        <v>602.70000000000005</v>
      </c>
      <c r="R53" s="7"/>
      <c r="S53" s="7">
        <v>1246.3500000000001</v>
      </c>
      <c r="T53" s="7">
        <v>108.69999999999999</v>
      </c>
      <c r="U53" s="47">
        <v>37808.749999999993</v>
      </c>
      <c r="X53" s="9" t="s">
        <v>34</v>
      </c>
      <c r="Z53" s="7">
        <v>602.70000000000005</v>
      </c>
      <c r="AA53" s="7"/>
      <c r="AB53" s="7">
        <v>1246.3500000000001</v>
      </c>
      <c r="AC53" s="7">
        <v>27119.599999999999</v>
      </c>
      <c r="AD53" s="7">
        <v>4290.1000000000004</v>
      </c>
      <c r="AE53" s="7">
        <v>4427.8</v>
      </c>
      <c r="AF53" s="7">
        <v>108.69999999999999</v>
      </c>
      <c r="AG53" s="7">
        <v>13.5</v>
      </c>
      <c r="AH53" s="47">
        <v>37808.749999999993</v>
      </c>
    </row>
    <row r="54" spans="1:35" x14ac:dyDescent="0.25">
      <c r="A54" s="8" t="s">
        <v>28</v>
      </c>
      <c r="B54" s="4"/>
      <c r="C54" s="6"/>
      <c r="D54" s="6"/>
      <c r="E54" s="6">
        <v>4.0999999999999996</v>
      </c>
      <c r="F54" s="6">
        <v>271.37</v>
      </c>
      <c r="G54" s="6">
        <v>129.76</v>
      </c>
      <c r="H54" s="6"/>
      <c r="I54" s="6">
        <v>69</v>
      </c>
      <c r="J54" s="6">
        <v>227.98000000000002</v>
      </c>
      <c r="K54" s="53">
        <v>702.21</v>
      </c>
      <c r="O54" s="8" t="s">
        <v>28</v>
      </c>
      <c r="P54" s="4"/>
      <c r="Q54" s="6"/>
      <c r="R54" s="6"/>
      <c r="S54" s="6">
        <v>4.0999999999999996</v>
      </c>
      <c r="T54" s="6">
        <v>69</v>
      </c>
      <c r="U54" s="53">
        <v>702.21</v>
      </c>
      <c r="X54" s="8" t="s">
        <v>28</v>
      </c>
      <c r="Y54" s="4"/>
      <c r="Z54" s="6"/>
      <c r="AA54" s="6"/>
      <c r="AB54" s="6">
        <v>4.0999999999999996</v>
      </c>
      <c r="AC54" s="6">
        <v>271.37</v>
      </c>
      <c r="AD54" s="6">
        <v>129.76</v>
      </c>
      <c r="AE54" s="6"/>
      <c r="AF54" s="6">
        <v>69</v>
      </c>
      <c r="AG54" s="6">
        <v>227.98000000000002</v>
      </c>
      <c r="AH54" s="53">
        <v>702.21</v>
      </c>
    </row>
    <row r="55" spans="1:35" x14ac:dyDescent="0.25">
      <c r="A55" s="9" t="s">
        <v>29</v>
      </c>
      <c r="B55">
        <v>19.649999999999999</v>
      </c>
      <c r="C55" s="7">
        <v>52754.05000000001</v>
      </c>
      <c r="D55" s="7"/>
      <c r="E55" s="7">
        <v>19026.5</v>
      </c>
      <c r="F55" s="7">
        <v>270412.50999999995</v>
      </c>
      <c r="G55" s="7">
        <v>61381.830000000024</v>
      </c>
      <c r="H55" s="7">
        <v>51415.040000000015</v>
      </c>
      <c r="I55" s="7">
        <v>8795.5999999999985</v>
      </c>
      <c r="J55" s="7">
        <v>10878.170000000002</v>
      </c>
      <c r="K55" s="47">
        <v>474683.34999999992</v>
      </c>
      <c r="O55" s="9" t="s">
        <v>29</v>
      </c>
      <c r="P55">
        <v>19.649999999999999</v>
      </c>
      <c r="Q55" s="7">
        <v>52754.05000000001</v>
      </c>
      <c r="R55" s="7"/>
      <c r="S55" s="7">
        <v>19026.5</v>
      </c>
      <c r="T55" s="7">
        <v>8795.5999999999985</v>
      </c>
      <c r="U55" s="47">
        <v>474683.34999999992</v>
      </c>
      <c r="X55" s="9" t="s">
        <v>29</v>
      </c>
      <c r="Y55">
        <v>19.649999999999999</v>
      </c>
      <c r="Z55" s="7">
        <v>52754.05000000001</v>
      </c>
      <c r="AA55" s="7"/>
      <c r="AB55" s="7">
        <v>19026.5</v>
      </c>
      <c r="AC55" s="7">
        <v>270412.50999999995</v>
      </c>
      <c r="AD55" s="7">
        <v>61381.830000000024</v>
      </c>
      <c r="AE55" s="7">
        <v>51415.040000000015</v>
      </c>
      <c r="AF55" s="7">
        <v>8795.5999999999985</v>
      </c>
      <c r="AG55" s="7">
        <v>10878.170000000002</v>
      </c>
      <c r="AH55" s="47">
        <v>474683.34999999992</v>
      </c>
    </row>
    <row r="56" spans="1:35" x14ac:dyDescent="0.25">
      <c r="A56" s="8" t="s">
        <v>30</v>
      </c>
      <c r="B56" s="4"/>
      <c r="C56" s="6"/>
      <c r="D56" s="6"/>
      <c r="E56" s="6"/>
      <c r="F56" s="6"/>
      <c r="G56" s="6"/>
      <c r="H56" s="6"/>
      <c r="I56" s="6"/>
      <c r="J56" s="6">
        <v>-5.29</v>
      </c>
      <c r="K56" s="53">
        <v>-5.29</v>
      </c>
      <c r="O56" s="8" t="s">
        <v>30</v>
      </c>
      <c r="P56" s="4"/>
      <c r="Q56" s="6"/>
      <c r="R56" s="6"/>
      <c r="S56" s="6"/>
      <c r="T56" s="6"/>
      <c r="U56" s="53">
        <v>-5.29</v>
      </c>
      <c r="X56" s="8" t="s">
        <v>30</v>
      </c>
      <c r="Y56" s="4"/>
      <c r="Z56" s="6"/>
      <c r="AA56" s="6"/>
      <c r="AB56" s="6"/>
      <c r="AC56" s="6"/>
      <c r="AD56" s="6"/>
      <c r="AE56" s="6"/>
      <c r="AF56" s="6"/>
      <c r="AG56" s="6">
        <v>-5.29</v>
      </c>
      <c r="AH56" s="53">
        <v>-5.29</v>
      </c>
    </row>
    <row r="57" spans="1:35" x14ac:dyDescent="0.25">
      <c r="A57" s="9" t="s">
        <v>31</v>
      </c>
      <c r="C57" s="7">
        <v>5908.7800000000007</v>
      </c>
      <c r="D57" s="7"/>
      <c r="E57" s="7">
        <v>2442.0299999999997</v>
      </c>
      <c r="F57" s="7">
        <v>17459.010000000002</v>
      </c>
      <c r="G57" s="7">
        <v>8972.1200000000008</v>
      </c>
      <c r="H57" s="7">
        <v>517.14</v>
      </c>
      <c r="I57" s="7">
        <v>31648.969999999987</v>
      </c>
      <c r="J57" s="7">
        <v>21297.720000000005</v>
      </c>
      <c r="K57" s="47">
        <v>88245.76999999999</v>
      </c>
      <c r="O57" s="9" t="s">
        <v>31</v>
      </c>
      <c r="Q57" s="7">
        <v>5908.7800000000007</v>
      </c>
      <c r="R57" s="7"/>
      <c r="S57" s="7">
        <v>2442.0299999999997</v>
      </c>
      <c r="T57" s="7">
        <v>31648.969999999987</v>
      </c>
      <c r="U57" s="47">
        <v>88245.76999999999</v>
      </c>
      <c r="X57" s="9" t="s">
        <v>31</v>
      </c>
      <c r="Z57" s="7">
        <v>5908.7800000000007</v>
      </c>
      <c r="AA57" s="7"/>
      <c r="AB57" s="7">
        <v>2442.0299999999997</v>
      </c>
      <c r="AC57" s="7">
        <v>17459.010000000002</v>
      </c>
      <c r="AD57" s="7">
        <v>8972.1200000000008</v>
      </c>
      <c r="AE57" s="7">
        <v>517.14</v>
      </c>
      <c r="AF57" s="7">
        <v>31648.969999999987</v>
      </c>
      <c r="AG57" s="7">
        <v>21297.720000000005</v>
      </c>
      <c r="AH57" s="47">
        <v>88245.76999999999</v>
      </c>
    </row>
    <row r="58" spans="1:35" x14ac:dyDescent="0.25">
      <c r="A58" s="8" t="s">
        <v>32</v>
      </c>
      <c r="B58" s="4">
        <v>10.7</v>
      </c>
      <c r="C58" s="6">
        <v>50548.289999999994</v>
      </c>
      <c r="D58" s="6"/>
      <c r="E58" s="6">
        <v>18589.710000000003</v>
      </c>
      <c r="F58" s="6">
        <v>192902.92</v>
      </c>
      <c r="G58" s="6">
        <v>67901.759999999995</v>
      </c>
      <c r="H58" s="6">
        <v>38175.109999999993</v>
      </c>
      <c r="I58" s="6">
        <v>7572.0400000000009</v>
      </c>
      <c r="J58" s="6">
        <v>9478.85</v>
      </c>
      <c r="K58" s="53">
        <v>385179.38</v>
      </c>
      <c r="O58" s="8" t="s">
        <v>32</v>
      </c>
      <c r="P58" s="4">
        <v>10.7</v>
      </c>
      <c r="Q58" s="6">
        <v>50548.289999999994</v>
      </c>
      <c r="R58" s="6"/>
      <c r="S58" s="6">
        <v>18589.710000000003</v>
      </c>
      <c r="T58" s="6">
        <v>7572.0400000000009</v>
      </c>
      <c r="U58" s="53">
        <v>385179.38</v>
      </c>
      <c r="X58" s="8" t="s">
        <v>32</v>
      </c>
      <c r="Y58" s="4">
        <v>10.7</v>
      </c>
      <c r="Z58" s="6">
        <v>50548.289999999994</v>
      </c>
      <c r="AA58" s="6"/>
      <c r="AB58" s="6">
        <v>18589.710000000003</v>
      </c>
      <c r="AC58" s="6">
        <v>192902.92</v>
      </c>
      <c r="AD58" s="6">
        <v>67901.759999999995</v>
      </c>
      <c r="AE58" s="6">
        <v>38175.109999999993</v>
      </c>
      <c r="AF58" s="6">
        <v>7572.0400000000009</v>
      </c>
      <c r="AG58" s="6">
        <v>9478.85</v>
      </c>
      <c r="AH58" s="53">
        <v>385179.38</v>
      </c>
    </row>
    <row r="59" spans="1:35" x14ac:dyDescent="0.25">
      <c r="A59" s="48"/>
      <c r="K59" s="1"/>
      <c r="O59" s="48"/>
      <c r="U59" s="1"/>
      <c r="X59" s="48"/>
      <c r="AH59" s="1"/>
    </row>
    <row r="60" spans="1:35" s="2" customFormat="1" x14ac:dyDescent="0.25">
      <c r="A60" s="49" t="s">
        <v>10</v>
      </c>
      <c r="B60" s="50"/>
      <c r="C60" s="51">
        <f>SUM(C52:C58)</f>
        <v>120700.87000000001</v>
      </c>
      <c r="D60" s="51">
        <f t="shared" ref="D60:K60" si="302">SUM(D52:D58)</f>
        <v>0</v>
      </c>
      <c r="E60" s="51">
        <f t="shared" si="302"/>
        <v>41308.69</v>
      </c>
      <c r="F60" s="51">
        <f t="shared" si="302"/>
        <v>508165.40999999992</v>
      </c>
      <c r="G60" s="51">
        <f t="shared" si="302"/>
        <v>142675.57</v>
      </c>
      <c r="H60" s="51">
        <f t="shared" si="302"/>
        <v>94535.090000000011</v>
      </c>
      <c r="I60" s="51">
        <f t="shared" si="302"/>
        <v>160029.21</v>
      </c>
      <c r="J60" s="51">
        <f t="shared" si="302"/>
        <v>233001.33000000005</v>
      </c>
      <c r="K60" s="52">
        <f t="shared" si="302"/>
        <v>1300733.52</v>
      </c>
      <c r="L60" s="280"/>
      <c r="M60" s="280"/>
      <c r="N60" s="280"/>
      <c r="O60" s="49" t="s">
        <v>10</v>
      </c>
      <c r="P60" s="50"/>
      <c r="Q60" s="51">
        <f>SUM(Q52:Q58)</f>
        <v>120700.87000000001</v>
      </c>
      <c r="R60" s="51">
        <f t="shared" ref="R60:U60" si="303">SUM(R52:R58)</f>
        <v>0</v>
      </c>
      <c r="S60" s="51">
        <f t="shared" si="303"/>
        <v>41308.69</v>
      </c>
      <c r="T60" s="51">
        <f t="shared" si="303"/>
        <v>160029.21</v>
      </c>
      <c r="U60" s="52">
        <f t="shared" si="303"/>
        <v>1300733.52</v>
      </c>
      <c r="V60" s="280"/>
      <c r="W60" s="280"/>
      <c r="X60" s="49" t="s">
        <v>10</v>
      </c>
      <c r="Y60" s="50"/>
      <c r="Z60" s="51">
        <f>SUM(Z52:Z58)</f>
        <v>120700.87000000001</v>
      </c>
      <c r="AA60" s="51">
        <f t="shared" ref="AA60:AH60" si="304">SUM(AA52:AA58)</f>
        <v>0</v>
      </c>
      <c r="AB60" s="51">
        <f t="shared" si="304"/>
        <v>41308.69</v>
      </c>
      <c r="AC60" s="51">
        <f t="shared" si="304"/>
        <v>508165.40999999992</v>
      </c>
      <c r="AD60" s="51">
        <f t="shared" si="304"/>
        <v>142675.57</v>
      </c>
      <c r="AE60" s="51">
        <f t="shared" si="304"/>
        <v>94535.090000000011</v>
      </c>
      <c r="AF60" s="51">
        <f t="shared" si="304"/>
        <v>160029.21</v>
      </c>
      <c r="AG60" s="51">
        <f t="shared" si="304"/>
        <v>233001.33000000005</v>
      </c>
      <c r="AH60" s="52">
        <f t="shared" si="304"/>
        <v>1300733.52</v>
      </c>
      <c r="AI60" s="280"/>
    </row>
    <row r="62" spans="1:35" x14ac:dyDescent="0.25">
      <c r="W62" s="319"/>
    </row>
    <row r="63" spans="1:35" x14ac:dyDescent="0.25">
      <c r="A63" s="784" t="s">
        <v>75</v>
      </c>
      <c r="B63" s="784"/>
      <c r="C63" s="784"/>
      <c r="D63" s="784"/>
      <c r="E63" s="784"/>
      <c r="F63" s="784"/>
      <c r="G63" s="784"/>
      <c r="H63" s="784"/>
      <c r="I63" s="784"/>
      <c r="J63" s="784"/>
      <c r="K63" s="784"/>
      <c r="L63" s="784"/>
      <c r="N63" s="319"/>
      <c r="O63" s="784" t="s">
        <v>60</v>
      </c>
      <c r="P63" s="784"/>
      <c r="Q63" s="784"/>
      <c r="R63" s="784"/>
      <c r="S63" s="784"/>
      <c r="T63" s="784"/>
      <c r="U63" s="784"/>
      <c r="V63" s="784"/>
      <c r="W63" s="319"/>
    </row>
    <row r="64" spans="1:35" ht="27" x14ac:dyDescent="0.25">
      <c r="A64" s="489" t="s">
        <v>61</v>
      </c>
      <c r="B64" s="490"/>
      <c r="C64" s="491" t="s">
        <v>2</v>
      </c>
      <c r="D64" s="492" t="s">
        <v>3</v>
      </c>
      <c r="E64" s="493" t="s">
        <v>4</v>
      </c>
      <c r="F64" s="494" t="s">
        <v>5</v>
      </c>
      <c r="G64" s="493" t="s">
        <v>6</v>
      </c>
      <c r="H64" s="494" t="s">
        <v>7</v>
      </c>
      <c r="I64" s="493" t="s">
        <v>8</v>
      </c>
      <c r="J64" s="494" t="s">
        <v>9</v>
      </c>
      <c r="K64" s="492" t="s">
        <v>10</v>
      </c>
      <c r="L64" s="495" t="s">
        <v>11</v>
      </c>
      <c r="M64" s="518"/>
      <c r="N64" s="319"/>
      <c r="O64" s="553" t="s">
        <v>61</v>
      </c>
      <c r="P64" s="490"/>
      <c r="Q64" s="491" t="s">
        <v>2</v>
      </c>
      <c r="R64" s="492" t="s">
        <v>62</v>
      </c>
      <c r="S64" s="493" t="s">
        <v>63</v>
      </c>
      <c r="T64" s="493" t="s">
        <v>64</v>
      </c>
      <c r="U64" s="492" t="s">
        <v>10</v>
      </c>
      <c r="V64" s="495" t="s">
        <v>11</v>
      </c>
      <c r="W64" s="319"/>
      <c r="X64" s="489" t="s">
        <v>65</v>
      </c>
      <c r="Y64" s="490"/>
      <c r="Z64" s="491" t="s">
        <v>2</v>
      </c>
      <c r="AA64" s="492" t="s">
        <v>3</v>
      </c>
      <c r="AB64" s="493" t="s">
        <v>4</v>
      </c>
      <c r="AC64" s="494" t="s">
        <v>5</v>
      </c>
      <c r="AD64" s="493" t="s">
        <v>6</v>
      </c>
      <c r="AE64" s="494" t="s">
        <v>7</v>
      </c>
      <c r="AF64" s="493" t="s">
        <v>8</v>
      </c>
      <c r="AG64" s="494" t="s">
        <v>9</v>
      </c>
      <c r="AH64" s="492" t="s">
        <v>10</v>
      </c>
      <c r="AI64" s="495" t="s">
        <v>11</v>
      </c>
    </row>
    <row r="65" spans="1:35" x14ac:dyDescent="0.25">
      <c r="A65" s="535" t="s">
        <v>12</v>
      </c>
      <c r="B65" s="536" t="s">
        <v>41</v>
      </c>
      <c r="C65" s="514"/>
      <c r="D65" s="521"/>
      <c r="E65" s="522"/>
      <c r="F65" s="521"/>
      <c r="G65" s="522"/>
      <c r="H65" s="521"/>
      <c r="I65" s="522"/>
      <c r="J65" s="521"/>
      <c r="K65" s="521"/>
      <c r="L65" s="515" t="s">
        <v>15</v>
      </c>
      <c r="M65" s="518"/>
      <c r="N65" s="319"/>
      <c r="O65" s="554" t="s">
        <v>12</v>
      </c>
      <c r="P65" s="536"/>
      <c r="Q65" s="514"/>
      <c r="R65" s="521"/>
      <c r="S65" s="522"/>
      <c r="T65" s="522"/>
      <c r="U65" s="521"/>
      <c r="V65" s="515" t="s">
        <v>15</v>
      </c>
      <c r="W65" s="319"/>
      <c r="X65" s="535" t="s">
        <v>12</v>
      </c>
      <c r="Y65" s="536" t="s">
        <v>41</v>
      </c>
      <c r="Z65" s="514"/>
      <c r="AA65" s="521"/>
      <c r="AB65" s="522"/>
      <c r="AC65" s="521"/>
      <c r="AD65" s="522"/>
      <c r="AE65" s="521"/>
      <c r="AF65" s="522"/>
      <c r="AG65" s="521"/>
      <c r="AH65" s="521"/>
      <c r="AI65" s="515" t="s">
        <v>15</v>
      </c>
    </row>
    <row r="67" spans="1:35" x14ac:dyDescent="0.25">
      <c r="A67" s="537" t="s">
        <v>73</v>
      </c>
      <c r="B67" s="538">
        <v>804.56999999999994</v>
      </c>
      <c r="C67" s="539">
        <f>'TTV By Card'!C46</f>
        <v>1302400.9993999999</v>
      </c>
      <c r="D67" s="539">
        <f>'TTV By Card'!D46</f>
        <v>11196557.2828</v>
      </c>
      <c r="E67" s="539">
        <f>'TTV By Card'!E46</f>
        <v>1442187.4941</v>
      </c>
      <c r="F67" s="539">
        <f>'TTV By Card'!F46</f>
        <v>7817815.4231000002</v>
      </c>
      <c r="G67" s="539">
        <f>'TTV By Card'!G46</f>
        <v>8636077.8311000001</v>
      </c>
      <c r="H67" s="539">
        <f>'TTV By Card'!H46</f>
        <v>2175214.2345999996</v>
      </c>
      <c r="I67" s="539">
        <f>'TTV By Card'!I46</f>
        <v>828490.68809999991</v>
      </c>
      <c r="J67" s="539">
        <f>'TTV By Card'!J46</f>
        <v>695523.04680000001</v>
      </c>
      <c r="K67" s="539">
        <f>SUM(B67:J67)</f>
        <v>34095071.57</v>
      </c>
      <c r="L67" s="540">
        <f>K67/$K$44</f>
        <v>0.23414509719754514</v>
      </c>
      <c r="M67" s="71">
        <f>SUM(C67:J67)</f>
        <v>34094267</v>
      </c>
      <c r="O67" s="523" t="s">
        <v>10</v>
      </c>
      <c r="P67" s="545">
        <v>461.55999999999995</v>
      </c>
      <c r="Q67" s="546">
        <f t="shared" ref="Q67:Q70" si="305">C67</f>
        <v>1302400.9993999999</v>
      </c>
      <c r="R67" s="547">
        <f t="shared" ref="R67:R70" si="306">D67+F67+H67</f>
        <v>21189586.940499999</v>
      </c>
      <c r="S67" s="546">
        <f t="shared" ref="S67:S70" si="307">E67+G67</f>
        <v>10078265.325200001</v>
      </c>
      <c r="T67" s="546">
        <f t="shared" ref="T67:T70" si="308">I67+J67</f>
        <v>1524013.7349</v>
      </c>
      <c r="U67" s="539">
        <f>SUM(P67:T67)</f>
        <v>34094728.559999995</v>
      </c>
      <c r="V67" s="540">
        <f>U67/$K$44</f>
        <v>0.23414274160460774</v>
      </c>
      <c r="W67" s="71">
        <f>SUM(Q67:T67)</f>
        <v>34094267</v>
      </c>
      <c r="X67" s="537" t="s">
        <v>10</v>
      </c>
      <c r="Y67" s="538">
        <v>804.56999999999994</v>
      </c>
      <c r="Z67" s="546">
        <f>C67</f>
        <v>1302400.9993999999</v>
      </c>
      <c r="AA67" s="546">
        <f t="shared" ref="AA67" si="309">D67</f>
        <v>11196557.2828</v>
      </c>
      <c r="AB67" s="546">
        <f t="shared" ref="AB67" si="310">E67</f>
        <v>1442187.4941</v>
      </c>
      <c r="AC67" s="546">
        <f t="shared" ref="AC67" si="311">F67</f>
        <v>7817815.4231000002</v>
      </c>
      <c r="AD67" s="546">
        <f t="shared" ref="AD67" si="312">G67</f>
        <v>8636077.8311000001</v>
      </c>
      <c r="AE67" s="546">
        <f t="shared" ref="AE67" si="313">H67</f>
        <v>2175214.2345999996</v>
      </c>
      <c r="AF67" s="546">
        <f t="shared" ref="AF67" si="314">I67</f>
        <v>828490.68809999991</v>
      </c>
      <c r="AG67" s="546">
        <f t="shared" ref="AG67" si="315">J67</f>
        <v>695523.04680000001</v>
      </c>
      <c r="AH67" s="546">
        <f t="shared" ref="AH67" si="316">K67</f>
        <v>34095071.57</v>
      </c>
      <c r="AI67" s="540">
        <f>AH67/$K$44</f>
        <v>0.23414509719754514</v>
      </c>
    </row>
    <row r="68" spans="1:35" x14ac:dyDescent="0.25">
      <c r="A68" s="506" t="s">
        <v>53</v>
      </c>
      <c r="B68" s="507"/>
      <c r="C68" s="541">
        <f>'MSF By Card'!C47</f>
        <v>19052.145818181816</v>
      </c>
      <c r="D68" s="541">
        <f>'MSF By Card'!D47</f>
        <v>163788.60436363638</v>
      </c>
      <c r="E68" s="541">
        <f>'MSF By Card'!E47</f>
        <v>21097.009636363633</v>
      </c>
      <c r="F68" s="541">
        <f>'MSF By Card'!F47</f>
        <v>114362.74963636363</v>
      </c>
      <c r="G68" s="541">
        <f>'MSF By Card'!G47</f>
        <v>126332.68418181819</v>
      </c>
      <c r="H68" s="541">
        <f>'MSF By Card'!H47</f>
        <v>31820.075999999997</v>
      </c>
      <c r="I68" s="541">
        <f>'MSF By Card'!I47</f>
        <v>12119.558727272726</v>
      </c>
      <c r="J68" s="541">
        <f>'MSF By Card'!J47</f>
        <v>10174.444363636363</v>
      </c>
      <c r="K68" s="542">
        <f>SUM(C68:J68)</f>
        <v>498747.27272727271</v>
      </c>
      <c r="L68" s="543"/>
      <c r="O68" s="506" t="s">
        <v>53</v>
      </c>
      <c r="P68" s="507"/>
      <c r="Q68" s="541">
        <f t="shared" si="305"/>
        <v>19052.145818181816</v>
      </c>
      <c r="R68" s="541">
        <f t="shared" si="306"/>
        <v>309971.43</v>
      </c>
      <c r="S68" s="541">
        <f t="shared" si="307"/>
        <v>147429.69381818181</v>
      </c>
      <c r="T68" s="541">
        <f t="shared" si="308"/>
        <v>22294.003090909089</v>
      </c>
      <c r="U68" s="542">
        <f>SUM(Q68:T68)</f>
        <v>498747.27272727271</v>
      </c>
      <c r="V68" s="548"/>
      <c r="X68" s="506" t="s">
        <v>67</v>
      </c>
      <c r="Y68" s="507"/>
      <c r="Z68" s="551">
        <f>C68/C67</f>
        <v>1.4628479114311879E-2</v>
      </c>
      <c r="AA68" s="551">
        <f t="shared" ref="AA68" si="317">D68/D67</f>
        <v>1.4628479114311879E-2</v>
      </c>
      <c r="AB68" s="551">
        <f t="shared" ref="AB68" si="318">E68/E67</f>
        <v>1.4628479114311877E-2</v>
      </c>
      <c r="AC68" s="551">
        <f t="shared" ref="AC68" si="319">F68/F67</f>
        <v>1.4628479114311877E-2</v>
      </c>
      <c r="AD68" s="551">
        <f t="shared" ref="AD68" si="320">G68/G67</f>
        <v>1.4628479114311879E-2</v>
      </c>
      <c r="AE68" s="551">
        <f t="shared" ref="AE68" si="321">H68/H67</f>
        <v>1.4628479114311881E-2</v>
      </c>
      <c r="AF68" s="551">
        <f t="shared" ref="AF68" si="322">I68/I67</f>
        <v>1.4628479114311879E-2</v>
      </c>
      <c r="AG68" s="551">
        <f t="shared" ref="AG68" si="323">J68/J67</f>
        <v>1.4628479114311877E-2</v>
      </c>
      <c r="AH68" s="551">
        <f t="shared" ref="AH68" si="324">K68/K67</f>
        <v>1.4628133913821045E-2</v>
      </c>
      <c r="AI68" s="543"/>
    </row>
    <row r="69" spans="1:35" x14ac:dyDescent="0.25">
      <c r="A69" s="506" t="s">
        <v>68</v>
      </c>
      <c r="B69" s="507"/>
      <c r="C69" s="541">
        <f>'COA by Card'!C57</f>
        <v>29900.597935259393</v>
      </c>
      <c r="D69" s="541">
        <f>'COA by Card'!D57</f>
        <v>30161.970693077132</v>
      </c>
      <c r="E69" s="541">
        <f>'COA by Card'!E57</f>
        <v>7980.120898263317</v>
      </c>
      <c r="F69" s="541">
        <f>'COA by Card'!F57</f>
        <v>48890.798119986903</v>
      </c>
      <c r="G69" s="541">
        <f>'COA by Card'!G57</f>
        <v>84821.155696464004</v>
      </c>
      <c r="H69" s="541">
        <f>'COA by Card'!H57</f>
        <v>10724.504053960514</v>
      </c>
      <c r="I69" s="541">
        <f>'COA by Card'!I57</f>
        <v>24029.665089766149</v>
      </c>
      <c r="J69" s="541">
        <f>'COA by Card'!J57</f>
        <v>22576.187513222605</v>
      </c>
      <c r="K69" s="542">
        <f>SUM(C69:J69)</f>
        <v>259085</v>
      </c>
      <c r="L69" s="543"/>
      <c r="O69" s="506" t="s">
        <v>68</v>
      </c>
      <c r="P69" s="507"/>
      <c r="Q69" s="541">
        <f t="shared" si="305"/>
        <v>29900.597935259393</v>
      </c>
      <c r="R69" s="541">
        <f t="shared" si="306"/>
        <v>89777.272867024541</v>
      </c>
      <c r="S69" s="541">
        <f t="shared" si="307"/>
        <v>92801.276594727315</v>
      </c>
      <c r="T69" s="541">
        <f t="shared" si="308"/>
        <v>46605.852602988758</v>
      </c>
      <c r="U69" s="542">
        <f>SUM(Q69:T69)</f>
        <v>259085</v>
      </c>
      <c r="V69" s="548"/>
      <c r="X69" s="506" t="s">
        <v>68</v>
      </c>
      <c r="Y69" s="507"/>
      <c r="Z69" s="551">
        <f>C69/C67</f>
        <v>2.2958058193316984E-2</v>
      </c>
      <c r="AA69" s="551">
        <f t="shared" ref="AA69" si="325">D69/D67</f>
        <v>2.6938611513569037E-3</v>
      </c>
      <c r="AB69" s="551">
        <f t="shared" ref="AB69" si="326">E69/E67</f>
        <v>5.5333449575107625E-3</v>
      </c>
      <c r="AC69" s="551">
        <f t="shared" ref="AC69" si="327">F69/F67</f>
        <v>6.2537672577335198E-3</v>
      </c>
      <c r="AD69" s="551">
        <f t="shared" ref="AD69" si="328">G69/G67</f>
        <v>9.8217220079940045E-3</v>
      </c>
      <c r="AE69" s="551">
        <f t="shared" ref="AE69" si="329">H69/H67</f>
        <v>4.9303208315628943E-3</v>
      </c>
      <c r="AF69" s="551">
        <f t="shared" ref="AF69" si="330">I69/I67</f>
        <v>2.9004146256458269E-2</v>
      </c>
      <c r="AG69" s="551">
        <f t="shared" ref="AG69" si="331">J69/J67</f>
        <v>3.2459294651834107E-2</v>
      </c>
      <c r="AH69" s="551">
        <f>K69/K67</f>
        <v>7.5988988457782554E-3</v>
      </c>
      <c r="AI69" s="543"/>
    </row>
    <row r="70" spans="1:35" x14ac:dyDescent="0.25">
      <c r="A70" s="756" t="s">
        <v>69</v>
      </c>
      <c r="B70" s="527"/>
      <c r="C70" s="757">
        <f>'GP by Card Type'!C47</f>
        <v>-10848.452117077577</v>
      </c>
      <c r="D70" s="757">
        <f>'GP by Card Type'!D47</f>
        <v>133626.63367055924</v>
      </c>
      <c r="E70" s="757">
        <f>'GP by Card Type'!E47</f>
        <v>13116.888738100315</v>
      </c>
      <c r="F70" s="757">
        <f>'GP by Card Type'!F47</f>
        <v>65471.951516376728</v>
      </c>
      <c r="G70" s="757">
        <f>'GP by Card Type'!G47</f>
        <v>41511.528485354182</v>
      </c>
      <c r="H70" s="757">
        <f>'GP by Card Type'!H47</f>
        <v>21095.571946039483</v>
      </c>
      <c r="I70" s="757">
        <f>'GP by Card Type'!I47</f>
        <v>-11910.106362493423</v>
      </c>
      <c r="J70" s="757">
        <f>'GP by Card Type'!J47</f>
        <v>-12401.743149586242</v>
      </c>
      <c r="K70" s="544">
        <f>SUM(C70:J70)</f>
        <v>239662.27272727271</v>
      </c>
      <c r="L70" s="510"/>
      <c r="O70" s="756" t="s">
        <v>69</v>
      </c>
      <c r="P70" s="549"/>
      <c r="Q70" s="550">
        <f t="shared" si="305"/>
        <v>-10848.452117077577</v>
      </c>
      <c r="R70" s="550">
        <f t="shared" si="306"/>
        <v>220194.15713297544</v>
      </c>
      <c r="S70" s="550">
        <f t="shared" si="307"/>
        <v>54628.417223454497</v>
      </c>
      <c r="T70" s="550">
        <f t="shared" si="308"/>
        <v>-24311.849512079665</v>
      </c>
      <c r="U70" s="544">
        <f>SUM(Q70:T70)</f>
        <v>239662.27272727271</v>
      </c>
      <c r="V70" s="758"/>
      <c r="X70" s="756" t="s">
        <v>70</v>
      </c>
      <c r="Y70" s="527"/>
      <c r="Z70" s="552">
        <f>C70/C67</f>
        <v>-8.329579079005103E-3</v>
      </c>
      <c r="AA70" s="552">
        <f t="shared" ref="AA70" si="332">D70/D67</f>
        <v>1.1934617962954976E-2</v>
      </c>
      <c r="AB70" s="552">
        <f t="shared" ref="AB70" si="333">E70/E67</f>
        <v>9.0951341568011133E-3</v>
      </c>
      <c r="AC70" s="552">
        <f t="shared" ref="AC70" si="334">F70/F67</f>
        <v>8.3747118565783586E-3</v>
      </c>
      <c r="AD70" s="552">
        <f t="shared" ref="AD70" si="335">G70/G67</f>
        <v>4.8067571063178747E-3</v>
      </c>
      <c r="AE70" s="552">
        <f t="shared" ref="AE70" si="336">H70/H67</f>
        <v>9.6981582827489858E-3</v>
      </c>
      <c r="AF70" s="552">
        <f t="shared" ref="AF70" si="337">I70/I67</f>
        <v>-1.4375667142146392E-2</v>
      </c>
      <c r="AG70" s="552">
        <f t="shared" ref="AG70" si="338">J70/J67</f>
        <v>-1.7830815537522231E-2</v>
      </c>
      <c r="AH70" s="552">
        <f t="shared" ref="AH70" si="339">K70/K67</f>
        <v>7.0292350680427884E-3</v>
      </c>
      <c r="AI70" s="510"/>
    </row>
    <row r="73" spans="1:35" x14ac:dyDescent="0.25">
      <c r="A73" s="784" t="s">
        <v>75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N73" s="319"/>
      <c r="O73" s="784" t="s">
        <v>60</v>
      </c>
      <c r="P73" s="784"/>
      <c r="Q73" s="784"/>
      <c r="R73" s="784"/>
      <c r="S73" s="784"/>
      <c r="T73" s="784"/>
      <c r="U73" s="784"/>
      <c r="V73" s="784"/>
      <c r="W73" s="319"/>
    </row>
    <row r="74" spans="1:35" ht="27" x14ac:dyDescent="0.25">
      <c r="A74" s="555" t="s">
        <v>61</v>
      </c>
      <c r="B74" s="556"/>
      <c r="C74" s="557" t="s">
        <v>2</v>
      </c>
      <c r="D74" s="558" t="s">
        <v>3</v>
      </c>
      <c r="E74" s="559" t="s">
        <v>4</v>
      </c>
      <c r="F74" s="560" t="s">
        <v>5</v>
      </c>
      <c r="G74" s="559" t="s">
        <v>6</v>
      </c>
      <c r="H74" s="560" t="s">
        <v>7</v>
      </c>
      <c r="I74" s="559" t="s">
        <v>8</v>
      </c>
      <c r="J74" s="560" t="s">
        <v>9</v>
      </c>
      <c r="K74" s="558" t="s">
        <v>10</v>
      </c>
      <c r="L74" s="561" t="s">
        <v>11</v>
      </c>
      <c r="M74" s="518"/>
      <c r="N74" s="319"/>
      <c r="O74" s="611" t="s">
        <v>61</v>
      </c>
      <c r="P74" s="556"/>
      <c r="Q74" s="557" t="s">
        <v>2</v>
      </c>
      <c r="R74" s="558" t="s">
        <v>62</v>
      </c>
      <c r="S74" s="559" t="s">
        <v>63</v>
      </c>
      <c r="T74" s="559" t="s">
        <v>64</v>
      </c>
      <c r="U74" s="558" t="s">
        <v>10</v>
      </c>
      <c r="V74" s="561" t="s">
        <v>11</v>
      </c>
      <c r="W74" s="319"/>
      <c r="X74" s="555" t="s">
        <v>65</v>
      </c>
      <c r="Y74" s="556"/>
      <c r="Z74" s="557" t="s">
        <v>2</v>
      </c>
      <c r="AA74" s="558" t="s">
        <v>3</v>
      </c>
      <c r="AB74" s="559" t="s">
        <v>4</v>
      </c>
      <c r="AC74" s="560" t="s">
        <v>5</v>
      </c>
      <c r="AD74" s="559" t="s">
        <v>6</v>
      </c>
      <c r="AE74" s="560" t="s">
        <v>7</v>
      </c>
      <c r="AF74" s="559" t="s">
        <v>8</v>
      </c>
      <c r="AG74" s="560" t="s">
        <v>9</v>
      </c>
      <c r="AH74" s="558" t="s">
        <v>10</v>
      </c>
      <c r="AI74" s="561" t="s">
        <v>11</v>
      </c>
    </row>
    <row r="75" spans="1:35" x14ac:dyDescent="0.25">
      <c r="A75" s="601" t="s">
        <v>12</v>
      </c>
      <c r="B75" s="602" t="s">
        <v>41</v>
      </c>
      <c r="C75" s="581"/>
      <c r="D75" s="586"/>
      <c r="E75" s="587"/>
      <c r="F75" s="586"/>
      <c r="G75" s="587"/>
      <c r="H75" s="586"/>
      <c r="I75" s="587"/>
      <c r="J75" s="586"/>
      <c r="K75" s="586"/>
      <c r="L75" s="582" t="s">
        <v>15</v>
      </c>
      <c r="M75" s="518"/>
      <c r="N75" s="319"/>
      <c r="O75" s="612" t="s">
        <v>12</v>
      </c>
      <c r="P75" s="602"/>
      <c r="Q75" s="581"/>
      <c r="R75" s="586"/>
      <c r="S75" s="587"/>
      <c r="T75" s="587"/>
      <c r="U75" s="586"/>
      <c r="V75" s="582" t="s">
        <v>15</v>
      </c>
      <c r="W75" s="319"/>
      <c r="X75" s="601" t="s">
        <v>12</v>
      </c>
      <c r="Y75" s="602" t="s">
        <v>41</v>
      </c>
      <c r="Z75" s="581"/>
      <c r="AA75" s="586"/>
      <c r="AB75" s="587"/>
      <c r="AC75" s="586"/>
      <c r="AD75" s="587"/>
      <c r="AE75" s="586"/>
      <c r="AF75" s="587"/>
      <c r="AG75" s="586"/>
      <c r="AH75" s="586"/>
      <c r="AI75" s="582" t="s">
        <v>15</v>
      </c>
    </row>
    <row r="76" spans="1:35" x14ac:dyDescent="0.25">
      <c r="A76" s="568"/>
      <c r="B76" s="568"/>
      <c r="C76" s="568"/>
      <c r="D76" s="568"/>
      <c r="E76" s="568"/>
      <c r="F76" s="568"/>
      <c r="G76" s="568"/>
      <c r="H76" s="568"/>
      <c r="I76" s="568"/>
      <c r="J76" s="568"/>
      <c r="K76" s="568"/>
      <c r="L76" s="568"/>
      <c r="O76" s="568"/>
      <c r="P76" s="568"/>
      <c r="Q76" s="568"/>
      <c r="R76" s="568"/>
      <c r="S76" s="568"/>
      <c r="T76" s="568"/>
      <c r="U76" s="568"/>
      <c r="V76" s="568"/>
      <c r="X76" s="568"/>
      <c r="Y76" s="568"/>
      <c r="Z76" s="568"/>
      <c r="AA76" s="568"/>
      <c r="AB76" s="568"/>
      <c r="AC76" s="568"/>
      <c r="AD76" s="568"/>
      <c r="AE76" s="568"/>
      <c r="AF76" s="568"/>
      <c r="AG76" s="568"/>
      <c r="AH76" s="568"/>
      <c r="AI76" s="568"/>
    </row>
    <row r="77" spans="1:35" x14ac:dyDescent="0.25">
      <c r="A77" s="603" t="s">
        <v>73</v>
      </c>
      <c r="B77" s="604">
        <v>804.56999999999994</v>
      </c>
      <c r="C77" s="605">
        <f>'TTV By Card'!C56</f>
        <v>1.4E-2</v>
      </c>
      <c r="D77" s="605">
        <f>'TTV By Card'!D56</f>
        <v>0.32800000000000001</v>
      </c>
      <c r="E77" s="605">
        <f>'TTV By Card'!E56</f>
        <v>0.18</v>
      </c>
      <c r="F77" s="605">
        <f>'TTV By Card'!F56</f>
        <v>0.17799999999999999</v>
      </c>
      <c r="G77" s="605">
        <f>'TTV By Card'!G56</f>
        <v>0.15</v>
      </c>
      <c r="H77" s="605">
        <f>'TTV By Card'!H56</f>
        <v>0.15</v>
      </c>
      <c r="I77" s="605">
        <f>'TTV By Card'!I56</f>
        <v>0</v>
      </c>
      <c r="J77" s="605">
        <f>'TTV By Card'!J56</f>
        <v>0</v>
      </c>
      <c r="K77" s="605">
        <f>SUM(B77:J77)</f>
        <v>805.56999999999982</v>
      </c>
      <c r="L77" s="606">
        <f>K77/$K$44</f>
        <v>5.5321856580407351E-6</v>
      </c>
      <c r="M77" s="71">
        <f>SUM(C77:J77)</f>
        <v>1</v>
      </c>
      <c r="O77" s="588" t="s">
        <v>10</v>
      </c>
      <c r="P77" s="613">
        <v>461.55999999999995</v>
      </c>
      <c r="Q77" s="614">
        <f t="shared" ref="Q77:Q80" si="340">C77</f>
        <v>1.4E-2</v>
      </c>
      <c r="R77" s="615">
        <f t="shared" ref="R77:R80" si="341">D77+F77+H77</f>
        <v>0.65600000000000003</v>
      </c>
      <c r="S77" s="614">
        <f t="shared" ref="S77:S80" si="342">E77+G77</f>
        <v>0.32999999999999996</v>
      </c>
      <c r="T77" s="614">
        <f t="shared" ref="T77:T80" si="343">I77+J77</f>
        <v>0</v>
      </c>
      <c r="U77" s="605">
        <f>SUM(P77:T77)</f>
        <v>462.55999999999995</v>
      </c>
      <c r="V77" s="606">
        <f>U77/$K$44</f>
        <v>3.1765927206615472E-6</v>
      </c>
      <c r="W77" s="71">
        <f>SUM(Q77:T77)</f>
        <v>1</v>
      </c>
      <c r="X77" s="603" t="s">
        <v>10</v>
      </c>
      <c r="Y77" s="604">
        <v>804.56999999999994</v>
      </c>
      <c r="Z77" s="614">
        <f>C77</f>
        <v>1.4E-2</v>
      </c>
      <c r="AA77" s="614">
        <f t="shared" ref="AA77" si="344">D77</f>
        <v>0.32800000000000001</v>
      </c>
      <c r="AB77" s="614">
        <f t="shared" ref="AB77" si="345">E77</f>
        <v>0.18</v>
      </c>
      <c r="AC77" s="614">
        <f t="shared" ref="AC77" si="346">F77</f>
        <v>0.17799999999999999</v>
      </c>
      <c r="AD77" s="614">
        <f t="shared" ref="AD77" si="347">G77</f>
        <v>0.15</v>
      </c>
      <c r="AE77" s="614">
        <f t="shared" ref="AE77" si="348">H77</f>
        <v>0.15</v>
      </c>
      <c r="AF77" s="614">
        <f t="shared" ref="AF77" si="349">I77</f>
        <v>0</v>
      </c>
      <c r="AG77" s="614">
        <f t="shared" ref="AG77" si="350">J77</f>
        <v>0</v>
      </c>
      <c r="AH77" s="614">
        <f t="shared" ref="AH77" si="351">K77</f>
        <v>805.56999999999982</v>
      </c>
      <c r="AI77" s="606">
        <f>AH77/$K$44</f>
        <v>5.5321856580407351E-6</v>
      </c>
    </row>
    <row r="78" spans="1:35" x14ac:dyDescent="0.25">
      <c r="A78" s="573" t="s">
        <v>53</v>
      </c>
      <c r="B78" s="574"/>
      <c r="C78" s="607">
        <f>'MSF By Card'!C57</f>
        <v>0</v>
      </c>
      <c r="D78" s="607">
        <f>'MSF By Card'!D57</f>
        <v>0</v>
      </c>
      <c r="E78" s="607">
        <f>'MSF By Card'!E57</f>
        <v>0</v>
      </c>
      <c r="F78" s="607">
        <f>'MSF By Card'!F57</f>
        <v>0</v>
      </c>
      <c r="G78" s="607">
        <f>'MSF By Card'!G57</f>
        <v>0</v>
      </c>
      <c r="H78" s="607">
        <f>'MSF By Card'!H57</f>
        <v>0</v>
      </c>
      <c r="I78" s="607">
        <f>'MSF By Card'!I57</f>
        <v>0</v>
      </c>
      <c r="J78" s="607">
        <f>'MSF By Card'!J57</f>
        <v>0</v>
      </c>
      <c r="K78" s="608">
        <f>SUM(C78:J78)</f>
        <v>0</v>
      </c>
      <c r="L78" s="609"/>
      <c r="O78" s="573" t="s">
        <v>53</v>
      </c>
      <c r="P78" s="574"/>
      <c r="Q78" s="607">
        <f t="shared" si="340"/>
        <v>0</v>
      </c>
      <c r="R78" s="607">
        <f t="shared" si="341"/>
        <v>0</v>
      </c>
      <c r="S78" s="607">
        <f t="shared" si="342"/>
        <v>0</v>
      </c>
      <c r="T78" s="607">
        <f t="shared" si="343"/>
        <v>0</v>
      </c>
      <c r="U78" s="608">
        <f>SUM(Q78:T78)</f>
        <v>0</v>
      </c>
      <c r="V78" s="616"/>
      <c r="X78" s="573" t="s">
        <v>67</v>
      </c>
      <c r="Y78" s="574"/>
      <c r="Z78" s="619">
        <f>C78/C77</f>
        <v>0</v>
      </c>
      <c r="AA78" s="619">
        <f t="shared" ref="AA78" si="352">D78/D77</f>
        <v>0</v>
      </c>
      <c r="AB78" s="619">
        <f t="shared" ref="AB78" si="353">E78/E77</f>
        <v>0</v>
      </c>
      <c r="AC78" s="619">
        <f t="shared" ref="AC78" si="354">F78/F77</f>
        <v>0</v>
      </c>
      <c r="AD78" s="619">
        <f t="shared" ref="AD78" si="355">G78/G77</f>
        <v>0</v>
      </c>
      <c r="AE78" s="619">
        <f t="shared" ref="AE78" si="356">H78/H77</f>
        <v>0</v>
      </c>
      <c r="AF78" s="619" t="e">
        <f t="shared" ref="AF78" si="357">I78/I77</f>
        <v>#DIV/0!</v>
      </c>
      <c r="AG78" s="619" t="e">
        <f t="shared" ref="AG78" si="358">J78/J77</f>
        <v>#DIV/0!</v>
      </c>
      <c r="AH78" s="619">
        <f t="shared" ref="AH78" si="359">K78/K77</f>
        <v>0</v>
      </c>
      <c r="AI78" s="609"/>
    </row>
    <row r="79" spans="1:35" x14ac:dyDescent="0.25">
      <c r="A79" s="573" t="s">
        <v>68</v>
      </c>
      <c r="B79" s="574"/>
      <c r="C79" s="607">
        <f>'COA by Card'!C67</f>
        <v>26.16</v>
      </c>
      <c r="D79" s="607">
        <f>'COA by Card'!D67</f>
        <v>0</v>
      </c>
      <c r="E79" s="607">
        <f>'COA by Card'!E67</f>
        <v>0</v>
      </c>
      <c r="F79" s="607">
        <f>'COA by Card'!F67</f>
        <v>0</v>
      </c>
      <c r="G79" s="607">
        <f>'COA by Card'!G67</f>
        <v>0</v>
      </c>
      <c r="H79" s="607">
        <f>'COA by Card'!H67</f>
        <v>0</v>
      </c>
      <c r="I79" s="607">
        <f>'COA by Card'!I67</f>
        <v>313.68</v>
      </c>
      <c r="J79" s="607">
        <f>'COA by Card'!J67</f>
        <v>584.28</v>
      </c>
      <c r="K79" s="608">
        <f>SUM(C79:J79)</f>
        <v>924.12</v>
      </c>
      <c r="L79" s="609"/>
      <c r="O79" s="573" t="s">
        <v>68</v>
      </c>
      <c r="P79" s="574"/>
      <c r="Q79" s="607">
        <f t="shared" si="340"/>
        <v>26.16</v>
      </c>
      <c r="R79" s="607">
        <f t="shared" si="341"/>
        <v>0</v>
      </c>
      <c r="S79" s="607">
        <f t="shared" si="342"/>
        <v>0</v>
      </c>
      <c r="T79" s="607">
        <f t="shared" si="343"/>
        <v>897.96</v>
      </c>
      <c r="U79" s="608">
        <f>SUM(Q79:T79)</f>
        <v>924.12</v>
      </c>
      <c r="V79" s="616"/>
      <c r="X79" s="573" t="s">
        <v>68</v>
      </c>
      <c r="Y79" s="574"/>
      <c r="Z79" s="619">
        <f>C79/C77</f>
        <v>1868.5714285714284</v>
      </c>
      <c r="AA79" s="619">
        <f t="shared" ref="AA79" si="360">D79/D77</f>
        <v>0</v>
      </c>
      <c r="AB79" s="619">
        <f t="shared" ref="AB79" si="361">E79/E77</f>
        <v>0</v>
      </c>
      <c r="AC79" s="619">
        <f t="shared" ref="AC79" si="362">F79/F77</f>
        <v>0</v>
      </c>
      <c r="AD79" s="619">
        <f t="shared" ref="AD79" si="363">G79/G77</f>
        <v>0</v>
      </c>
      <c r="AE79" s="619">
        <f t="shared" ref="AE79" si="364">H79/H77</f>
        <v>0</v>
      </c>
      <c r="AF79" s="619" t="e">
        <f t="shared" ref="AF79" si="365">I79/I77</f>
        <v>#DIV/0!</v>
      </c>
      <c r="AG79" s="619" t="e">
        <f t="shared" ref="AG79" si="366">J79/J77</f>
        <v>#DIV/0!</v>
      </c>
      <c r="AH79" s="619">
        <f>K79/K77</f>
        <v>1.1471628784587313</v>
      </c>
      <c r="AI79" s="609"/>
    </row>
    <row r="80" spans="1:35" x14ac:dyDescent="0.25">
      <c r="A80" s="759" t="s">
        <v>69</v>
      </c>
      <c r="B80" s="592"/>
      <c r="C80" s="760">
        <f>'GP by Card Type'!C57</f>
        <v>0</v>
      </c>
      <c r="D80" s="760">
        <f>'GP by Card Type'!D57</f>
        <v>0</v>
      </c>
      <c r="E80" s="760">
        <f>'GP by Card Type'!E57</f>
        <v>0</v>
      </c>
      <c r="F80" s="760">
        <f>'GP by Card Type'!F57</f>
        <v>0</v>
      </c>
      <c r="G80" s="760">
        <f>'GP by Card Type'!G57</f>
        <v>0</v>
      </c>
      <c r="H80" s="760">
        <f>'GP by Card Type'!H57</f>
        <v>0</v>
      </c>
      <c r="I80" s="760">
        <f>'GP by Card Type'!I57</f>
        <v>0</v>
      </c>
      <c r="J80" s="760">
        <f>'GP by Card Type'!J57</f>
        <v>0</v>
      </c>
      <c r="K80" s="610">
        <f>SUM(C80:J80)</f>
        <v>0</v>
      </c>
      <c r="L80" s="577"/>
      <c r="O80" s="759" t="s">
        <v>69</v>
      </c>
      <c r="P80" s="617"/>
      <c r="Q80" s="618">
        <f t="shared" si="340"/>
        <v>0</v>
      </c>
      <c r="R80" s="618">
        <f t="shared" si="341"/>
        <v>0</v>
      </c>
      <c r="S80" s="618">
        <f t="shared" si="342"/>
        <v>0</v>
      </c>
      <c r="T80" s="618">
        <f t="shared" si="343"/>
        <v>0</v>
      </c>
      <c r="U80" s="610">
        <f>SUM(Q80:T80)</f>
        <v>0</v>
      </c>
      <c r="V80" s="761"/>
      <c r="X80" s="759" t="s">
        <v>70</v>
      </c>
      <c r="Y80" s="592"/>
      <c r="Z80" s="620">
        <f>C80/C77</f>
        <v>0</v>
      </c>
      <c r="AA80" s="620">
        <f t="shared" ref="AA80" si="367">D80/D77</f>
        <v>0</v>
      </c>
      <c r="AB80" s="620">
        <f t="shared" ref="AB80" si="368">E80/E77</f>
        <v>0</v>
      </c>
      <c r="AC80" s="620">
        <f t="shared" ref="AC80" si="369">F80/F77</f>
        <v>0</v>
      </c>
      <c r="AD80" s="620">
        <f t="shared" ref="AD80" si="370">G80/G77</f>
        <v>0</v>
      </c>
      <c r="AE80" s="620">
        <f t="shared" ref="AE80" si="371">H80/H77</f>
        <v>0</v>
      </c>
      <c r="AF80" s="620" t="e">
        <f t="shared" ref="AF80" si="372">I80/I77</f>
        <v>#DIV/0!</v>
      </c>
      <c r="AG80" s="620" t="e">
        <f t="shared" ref="AG80" si="373">J80/J77</f>
        <v>#DIV/0!</v>
      </c>
      <c r="AH80" s="620">
        <f t="shared" ref="AH80" si="374">K80/K77</f>
        <v>0</v>
      </c>
      <c r="AI80" s="577"/>
    </row>
  </sheetData>
  <mergeCells count="6">
    <mergeCell ref="A1:L1"/>
    <mergeCell ref="O1:V1"/>
    <mergeCell ref="A63:L63"/>
    <mergeCell ref="O63:V63"/>
    <mergeCell ref="A73:L73"/>
    <mergeCell ref="O73:V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A478-5E13-407E-8013-13980635C834}">
  <sheetPr codeName="Sheet5"/>
  <dimension ref="A1:L93"/>
  <sheetViews>
    <sheetView workbookViewId="0">
      <selection activeCell="K34" sqref="K34"/>
    </sheetView>
  </sheetViews>
  <sheetFormatPr defaultRowHeight="15" x14ac:dyDescent="0.25"/>
  <cols>
    <col min="1" max="1" width="16.5703125" customWidth="1"/>
    <col min="2" max="2" width="14.28515625" hidden="1" customWidth="1"/>
    <col min="3" max="12" width="14.28515625" customWidth="1"/>
    <col min="13" max="13" width="15.42578125" customWidth="1"/>
  </cols>
  <sheetData>
    <row r="1" spans="1:12" ht="39" customHeight="1" x14ac:dyDescent="0.35">
      <c r="A1" s="782" t="s">
        <v>76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</row>
    <row r="2" spans="1:12" ht="27" x14ac:dyDescent="0.25">
      <c r="A2" s="91" t="s">
        <v>77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13</v>
      </c>
      <c r="C3" s="81" t="s">
        <v>78</v>
      </c>
      <c r="D3" s="81" t="s">
        <v>78</v>
      </c>
      <c r="E3" s="81" t="s">
        <v>78</v>
      </c>
      <c r="F3" s="81" t="s">
        <v>78</v>
      </c>
      <c r="G3" s="90" t="s">
        <v>78</v>
      </c>
      <c r="H3" s="81" t="s">
        <v>78</v>
      </c>
      <c r="I3" s="81" t="s">
        <v>78</v>
      </c>
      <c r="J3" s="81" t="s">
        <v>78</v>
      </c>
      <c r="K3" s="81" t="s">
        <v>78</v>
      </c>
      <c r="L3" s="58" t="s">
        <v>15</v>
      </c>
    </row>
    <row r="4" spans="1:12" x14ac:dyDescent="0.25">
      <c r="A4" s="275" t="s">
        <v>16</v>
      </c>
      <c r="B4" s="73">
        <v>0.32727272727272722</v>
      </c>
      <c r="C4" s="11">
        <f>'MSF By Card'!C4-'COA by Card'!C4</f>
        <v>-4670.9136363636208</v>
      </c>
      <c r="D4" s="11">
        <f>'MSF By Card'!D4-'COA by Card'!D4</f>
        <v>248641.13545454535</v>
      </c>
      <c r="E4" s="11">
        <f>'MSF By Card'!E4-'COA by Card'!E4</f>
        <v>20972.213636363631</v>
      </c>
      <c r="F4" s="11">
        <f>'MSF By Card'!F4-'COA by Card'!F4</f>
        <v>112732.35181818179</v>
      </c>
      <c r="G4" s="11">
        <f>'MSF By Card'!G4-'COA by Card'!G4</f>
        <v>84411.636363636499</v>
      </c>
      <c r="H4" s="11">
        <f>'MSF By Card'!H4-'COA by Card'!H4</f>
        <v>31269.663636363621</v>
      </c>
      <c r="I4" s="11">
        <f>'MSF By Card'!I4-'COA by Card'!I4</f>
        <v>-27962.221818181828</v>
      </c>
      <c r="J4" s="11">
        <f>'MSF By Card'!J4-'COA by Card'!J4</f>
        <v>-29308.448181818185</v>
      </c>
      <c r="K4" s="77">
        <f>SUM(B4:J4)</f>
        <v>436085.74454545463</v>
      </c>
      <c r="L4" s="78">
        <f>K4/$K$34</f>
        <v>0.44951701546913864</v>
      </c>
    </row>
    <row r="5" spans="1:12" x14ac:dyDescent="0.25">
      <c r="A5" s="730" t="s">
        <v>79</v>
      </c>
      <c r="C5" s="12">
        <f>C4/'MSF By Card'!C4</f>
        <v>-8.511398023098006E-2</v>
      </c>
      <c r="D5" s="12">
        <f>D4/'MSF By Card'!D4</f>
        <v>0.79269002820878964</v>
      </c>
      <c r="E5" s="12">
        <f>E4/'MSF By Card'!E4</f>
        <v>0.56518269298142021</v>
      </c>
      <c r="F5" s="12">
        <f>F4/'MSF By Card'!F4</f>
        <v>0.52178322407025679</v>
      </c>
      <c r="G5" s="12">
        <f>G4/'MSF By Card'!G4</f>
        <v>0.33266765980284924</v>
      </c>
      <c r="H5" s="12">
        <f>H4/'MSF By Card'!H4</f>
        <v>0.60006266384493268</v>
      </c>
      <c r="I5" s="12">
        <f>I4/'MSF By Card'!I4</f>
        <v>-1.0242827909454955</v>
      </c>
      <c r="J5" s="12">
        <f>J4/'MSF By Card'!J4</f>
        <v>-1.1430537222212178</v>
      </c>
      <c r="K5" s="12">
        <f>K4/'MSF By Card'!K4</f>
        <v>0.4447583999163025</v>
      </c>
      <c r="L5" s="12"/>
    </row>
    <row r="6" spans="1:12" x14ac:dyDescent="0.25">
      <c r="A6" s="102" t="s">
        <v>80</v>
      </c>
      <c r="B6" s="103"/>
      <c r="C6" s="104">
        <f>C4/$K$4</f>
        <v>-1.071099822635169E-2</v>
      </c>
      <c r="D6" s="104">
        <f t="shared" ref="D6:J6" si="0">D4/$K$4</f>
        <v>0.57016570379687948</v>
      </c>
      <c r="E6" s="104">
        <f t="shared" si="0"/>
        <v>4.8091949573411542E-2</v>
      </c>
      <c r="F6" s="104">
        <f t="shared" si="0"/>
        <v>0.25850960098612291</v>
      </c>
      <c r="G6" s="104">
        <f t="shared" si="0"/>
        <v>0.1935666034018638</v>
      </c>
      <c r="H6" s="104">
        <f t="shared" si="0"/>
        <v>7.1705310314504639E-2</v>
      </c>
      <c r="I6" s="104">
        <f t="shared" si="0"/>
        <v>-6.4120926143384258E-2</v>
      </c>
      <c r="J6" s="104">
        <f t="shared" si="0"/>
        <v>-6.7207994180977573E-2</v>
      </c>
      <c r="K6" s="104">
        <f>SUM(C6:J6)</f>
        <v>0.99999924952206887</v>
      </c>
      <c r="L6" s="107"/>
    </row>
    <row r="7" spans="1:12" x14ac:dyDescent="0.25">
      <c r="A7" s="275" t="s">
        <v>19</v>
      </c>
      <c r="B7" s="4"/>
      <c r="C7" s="11">
        <f>'MSF By Card'!C6-'COA by Card'!C7</f>
        <v>-73.520909090909015</v>
      </c>
      <c r="D7" s="11">
        <f>'MSF By Card'!D6-'COA by Card'!D7</f>
        <v>11961.205454545448</v>
      </c>
      <c r="E7" s="11">
        <f>'MSF By Card'!E6-'COA by Card'!E7</f>
        <v>825.74454545454535</v>
      </c>
      <c r="F7" s="11">
        <f>'MSF By Card'!F6-'COA by Card'!F7</f>
        <v>4762.905454545451</v>
      </c>
      <c r="G7" s="11">
        <f>'MSF By Card'!G6-'COA by Card'!G7</f>
        <v>1488.0300000000016</v>
      </c>
      <c r="H7" s="11">
        <f>'MSF By Card'!H6-'COA by Card'!H7</f>
        <v>1184.5527272727272</v>
      </c>
      <c r="I7" s="11">
        <f>'MSF By Card'!I6-'COA by Card'!I7</f>
        <v>-179.44545454545451</v>
      </c>
      <c r="J7" s="11">
        <f>'MSF By Card'!J6-'COA by Card'!J7</f>
        <v>-256.52363636363634</v>
      </c>
      <c r="K7" s="77">
        <f>SUM(B7:J7)</f>
        <v>19712.948181818174</v>
      </c>
      <c r="L7" s="79">
        <f>K7/$K$34</f>
        <v>2.0320099300712286E-2</v>
      </c>
    </row>
    <row r="8" spans="1:12" x14ac:dyDescent="0.25">
      <c r="A8" s="9" t="s">
        <v>74</v>
      </c>
      <c r="C8" s="12">
        <f>C7/'MSF By Card'!C6</f>
        <v>-0.17181431909921371</v>
      </c>
      <c r="D8" s="12">
        <f>D7/'MSF By Card'!D6</f>
        <v>0.8160442341208064</v>
      </c>
      <c r="E8" s="12">
        <f>E7/'MSF By Card'!E6</f>
        <v>0.56007189586814565</v>
      </c>
      <c r="F8" s="12">
        <f>F7/'MSF By Card'!F6</f>
        <v>0.55782533980396432</v>
      </c>
      <c r="G8" s="12">
        <f>G7/'MSF By Card'!G6</f>
        <v>0.29158763129017107</v>
      </c>
      <c r="H8" s="12">
        <f>H7/'MSF By Card'!H6</f>
        <v>0.62470718528710945</v>
      </c>
      <c r="I8" s="12">
        <f>I7/'MSF By Card'!I6</f>
        <v>-1.2876899993476409</v>
      </c>
      <c r="J8" s="12">
        <f>J7/'MSF By Card'!J6</f>
        <v>-1.1298790742372065</v>
      </c>
      <c r="K8" s="12">
        <f>K7/'MSF By Card'!K6</f>
        <v>0.60722640044289722</v>
      </c>
      <c r="L8" s="12"/>
    </row>
    <row r="9" spans="1:12" x14ac:dyDescent="0.25">
      <c r="A9" s="105" t="s">
        <v>80</v>
      </c>
      <c r="B9" s="103"/>
      <c r="C9" s="104">
        <f>C7/$K$7</f>
        <v>-3.729574511777974E-3</v>
      </c>
      <c r="D9" s="104">
        <f t="shared" ref="D9:J9" si="1">D7/$K$7</f>
        <v>0.60676897966878529</v>
      </c>
      <c r="E9" s="104">
        <f t="shared" si="1"/>
        <v>4.1888434841834243E-2</v>
      </c>
      <c r="F9" s="104">
        <f t="shared" si="1"/>
        <v>0.24161304593386074</v>
      </c>
      <c r="G9" s="104">
        <f t="shared" si="1"/>
        <v>7.5484903946151233E-2</v>
      </c>
      <c r="H9" s="104">
        <f t="shared" si="1"/>
        <v>6.0090084768004141E-2</v>
      </c>
      <c r="I9" s="104">
        <f t="shared" si="1"/>
        <v>-9.1029232609134685E-3</v>
      </c>
      <c r="J9" s="104">
        <f t="shared" si="1"/>
        <v>-1.3012951385944167E-2</v>
      </c>
      <c r="K9" s="104">
        <f>SUM(C9:J9)</f>
        <v>0.99999999999999989</v>
      </c>
      <c r="L9" s="104"/>
    </row>
    <row r="10" spans="1:12" x14ac:dyDescent="0.25">
      <c r="A10" s="732" t="s">
        <v>20</v>
      </c>
      <c r="B10" s="4">
        <v>2.7272727272727268E-2</v>
      </c>
      <c r="C10" s="11">
        <f>'MSF By Card'!C8-'COA by Card'!C10</f>
        <v>-5436.7718181818418</v>
      </c>
      <c r="D10" s="11">
        <f>'MSF By Card'!D8-'COA by Card'!D10</f>
        <v>172714.26363636358</v>
      </c>
      <c r="E10" s="11">
        <f>'MSF By Card'!E8-'COA by Card'!E10</f>
        <v>18568.272727272717</v>
      </c>
      <c r="F10" s="11">
        <f>'MSF By Card'!F8-'COA by Card'!F10</f>
        <v>89629.400000000023</v>
      </c>
      <c r="G10" s="11">
        <f>'MSF By Card'!G8-'COA by Card'!G10</f>
        <v>65245.400000000052</v>
      </c>
      <c r="H10" s="11">
        <f>'MSF By Card'!H8-'COA by Card'!H10</f>
        <v>31234.909090909074</v>
      </c>
      <c r="I10" s="11">
        <f>'MSF By Card'!I8-'COA by Card'!I10</f>
        <v>-18840.245454545471</v>
      </c>
      <c r="J10" s="11">
        <f>'MSF By Card'!J8-'COA by Card'!J10</f>
        <v>-15427.145454545462</v>
      </c>
      <c r="K10" s="77">
        <f>SUM(B10:J10)</f>
        <v>337688.10999999993</v>
      </c>
      <c r="L10" s="78">
        <f>K10/$K$34</f>
        <v>0.34808877214006684</v>
      </c>
    </row>
    <row r="11" spans="1:12" x14ac:dyDescent="0.25">
      <c r="A11" s="9" t="s">
        <v>74</v>
      </c>
      <c r="C11" s="12">
        <f>C10/'MSF By Card'!C8</f>
        <v>-0.10283376896844029</v>
      </c>
      <c r="D11" s="12">
        <f>D10/'MSF By Card'!D8</f>
        <v>0.8392202367671614</v>
      </c>
      <c r="E11" s="12">
        <f>E10/'MSF By Card'!E8</f>
        <v>0.62104834271362575</v>
      </c>
      <c r="F11" s="12">
        <f>F10/'MSF By Card'!F8</f>
        <v>0.59930567535508583</v>
      </c>
      <c r="G11" s="12">
        <f>G10/'MSF By Card'!G8</f>
        <v>0.31746125969723998</v>
      </c>
      <c r="H11" s="12">
        <f>H10/'MSF By Card'!H8</f>
        <v>0.6616737118812166</v>
      </c>
      <c r="I11" s="12">
        <f>I10/'MSF By Card'!I8</f>
        <v>-1.0278503952589773</v>
      </c>
      <c r="J11" s="12">
        <f>J10/'MSF By Card'!J8</f>
        <v>-1.0088472532019432</v>
      </c>
      <c r="K11" s="12">
        <f>K10/'MSF By Card'!K8</f>
        <v>0.46611306466296365</v>
      </c>
      <c r="L11" s="12"/>
    </row>
    <row r="12" spans="1:12" x14ac:dyDescent="0.25">
      <c r="A12" s="105" t="s">
        <v>80</v>
      </c>
      <c r="B12" s="103"/>
      <c r="C12" s="104">
        <f>C10/$K$10</f>
        <v>-1.6099980002795607E-2</v>
      </c>
      <c r="D12" s="104">
        <f t="shared" ref="D12:J12" si="2">D10/$K$10</f>
        <v>0.511460896968992</v>
      </c>
      <c r="E12" s="104">
        <f t="shared" si="2"/>
        <v>5.4986456962528886E-2</v>
      </c>
      <c r="F12" s="104">
        <f t="shared" si="2"/>
        <v>0.26542065694880418</v>
      </c>
      <c r="G12" s="104">
        <f t="shared" si="2"/>
        <v>0.19321201448283171</v>
      </c>
      <c r="H12" s="104">
        <f t="shared" si="2"/>
        <v>9.249632476224609E-2</v>
      </c>
      <c r="I12" s="104">
        <f t="shared" si="2"/>
        <v>-5.5791853182350644E-2</v>
      </c>
      <c r="J12" s="104">
        <f t="shared" si="2"/>
        <v>-4.5684597703322942E-2</v>
      </c>
      <c r="K12" s="104">
        <f>SUM(C12:J12)</f>
        <v>0.99999991923693377</v>
      </c>
      <c r="L12" s="107"/>
    </row>
    <row r="13" spans="1:12" x14ac:dyDescent="0.25">
      <c r="A13" s="762" t="s">
        <v>21</v>
      </c>
      <c r="B13" s="4">
        <v>5.4545454545454536E-2</v>
      </c>
      <c r="C13" s="11">
        <f>'MSF By Card'!C10-'COA by Card'!C13</f>
        <v>-204.73545454545456</v>
      </c>
      <c r="D13" s="11">
        <f>'MSF By Card'!D10-'COA by Card'!D13</f>
        <v>25541.329999999991</v>
      </c>
      <c r="E13" s="11">
        <f>'MSF By Card'!E10-'COA by Card'!E13</f>
        <v>2374.7709090909125</v>
      </c>
      <c r="F13" s="11">
        <f>'MSF By Card'!F10-'COA by Card'!F13</f>
        <v>15526.309090909093</v>
      </c>
      <c r="G13" s="11">
        <f>'MSF By Card'!G10-'COA by Card'!G13</f>
        <v>9882.4909090909059</v>
      </c>
      <c r="H13" s="11">
        <f>'MSF By Card'!H10-'COA by Card'!H13</f>
        <v>3497.6563636363644</v>
      </c>
      <c r="I13" s="11">
        <f>'MSF By Card'!I10-'COA by Card'!I13</f>
        <v>-2478.3363636363683</v>
      </c>
      <c r="J13" s="11">
        <f>'MSF By Card'!J10-'COA by Card'!J13</f>
        <v>-2322.7363636363648</v>
      </c>
      <c r="K13" s="77">
        <f>SUM(B13:J13)</f>
        <v>51816.803636363627</v>
      </c>
      <c r="L13" s="79">
        <f>K13/$K$34</f>
        <v>5.3412740987548453E-2</v>
      </c>
    </row>
    <row r="14" spans="1:12" x14ac:dyDescent="0.25">
      <c r="A14" t="s">
        <v>74</v>
      </c>
      <c r="C14" s="12">
        <f>C13/'MSF By Card'!C10</f>
        <v>-6.1170670759034672E-2</v>
      </c>
      <c r="D14" s="12">
        <f>D13/'MSF By Card'!D10</f>
        <v>0.76299260347959086</v>
      </c>
      <c r="E14" s="12">
        <f>E13/'MSF By Card'!E10</f>
        <v>0.58003423919922048</v>
      </c>
      <c r="F14" s="12">
        <f>F13/'MSF By Card'!F10</f>
        <v>0.54368949964728031</v>
      </c>
      <c r="G14" s="12">
        <f>G13/'MSF By Card'!G10</f>
        <v>0.36733117432546764</v>
      </c>
      <c r="H14" s="12">
        <f>H13/'MSF By Card'!H10</f>
        <v>0.61597583116396581</v>
      </c>
      <c r="I14" s="12">
        <f>I13/'MSF By Card'!I10</f>
        <v>-1.1312659761643971</v>
      </c>
      <c r="J14" s="12">
        <f>J13/'MSF By Card'!J10</f>
        <v>-1.0067060941926496</v>
      </c>
      <c r="K14" s="12">
        <f>K13/'MSF By Card'!K10</f>
        <v>0.48629867381971315</v>
      </c>
      <c r="L14" s="12"/>
    </row>
    <row r="15" spans="1:12" x14ac:dyDescent="0.25">
      <c r="A15" s="105" t="s">
        <v>80</v>
      </c>
      <c r="B15" s="103"/>
      <c r="C15" s="104">
        <f>C13/$K$13</f>
        <v>-3.951140174184283E-3</v>
      </c>
      <c r="D15" s="104">
        <f t="shared" ref="D15:J15" si="3">D13/$K$13</f>
        <v>0.49291596948438127</v>
      </c>
      <c r="E15" s="104">
        <f t="shared" si="3"/>
        <v>4.5830131201384308E-2</v>
      </c>
      <c r="F15" s="104">
        <f t="shared" si="3"/>
        <v>0.29963849564841066</v>
      </c>
      <c r="G15" s="104">
        <f t="shared" si="3"/>
        <v>0.19071980931984084</v>
      </c>
      <c r="H15" s="104">
        <f t="shared" si="3"/>
        <v>6.7500426853458098E-2</v>
      </c>
      <c r="I15" s="104">
        <f t="shared" si="3"/>
        <v>-4.7828815938332776E-2</v>
      </c>
      <c r="J15" s="104">
        <f t="shared" si="3"/>
        <v>-4.4825929054534183E-2</v>
      </c>
      <c r="K15" s="104">
        <f>SUM(C15:J15)</f>
        <v>0.99999894734042372</v>
      </c>
      <c r="L15" s="107"/>
    </row>
    <row r="16" spans="1:12" x14ac:dyDescent="0.25">
      <c r="A16" s="732" t="s">
        <v>22</v>
      </c>
      <c r="B16" s="4"/>
      <c r="C16" s="11">
        <f>'MSF By Card'!C12-'COA by Card'!C16</f>
        <v>-49.890909090909133</v>
      </c>
      <c r="D16" s="11">
        <f>'MSF By Card'!D12-'COA by Card'!D16</f>
        <v>1730.1118181818183</v>
      </c>
      <c r="E16" s="11">
        <f>'MSF By Card'!E12-'COA by Card'!E16</f>
        <v>142.61363636363626</v>
      </c>
      <c r="F16" s="11">
        <f>'MSF By Card'!F12-'COA by Card'!F16</f>
        <v>543.27272727272737</v>
      </c>
      <c r="G16" s="11">
        <f>'MSF By Card'!G12-'COA by Card'!G16</f>
        <v>186.77636363636316</v>
      </c>
      <c r="H16" s="11">
        <f>'MSF By Card'!H12-'COA by Card'!H16</f>
        <v>171.80000000000007</v>
      </c>
      <c r="I16" s="11">
        <f>'MSF By Card'!I12-'COA by Card'!I16</f>
        <v>-66.892727272727271</v>
      </c>
      <c r="J16" s="11">
        <f>'MSF By Card'!J12-'COA by Card'!J16</f>
        <v>-56.941818181818192</v>
      </c>
      <c r="K16" s="77">
        <f>SUM(B16:J16)</f>
        <v>2600.8490909090901</v>
      </c>
      <c r="L16" s="79">
        <f>K16/$K$34</f>
        <v>2.6809542289663517E-3</v>
      </c>
    </row>
    <row r="17" spans="1:12" x14ac:dyDescent="0.25">
      <c r="A17" s="9" t="s">
        <v>74</v>
      </c>
      <c r="C17" s="12">
        <f>C16/'MSF By Card'!C12</f>
        <v>-0.3722949596363887</v>
      </c>
      <c r="D17" s="12">
        <f>D16/'MSF By Card'!D12</f>
        <v>0.80116989345086997</v>
      </c>
      <c r="E17" s="12">
        <f>E16/'MSF By Card'!E12</f>
        <v>0.47119514612681324</v>
      </c>
      <c r="F17" s="12">
        <f>F16/'MSF By Card'!F12</f>
        <v>0.49756048823539212</v>
      </c>
      <c r="G17" s="12">
        <f>G16/'MSF By Card'!G12</f>
        <v>0.10937072467008402</v>
      </c>
      <c r="H17" s="12">
        <f>H16/'MSF By Card'!H12</f>
        <v>0.52845278375884353</v>
      </c>
      <c r="I17" s="12">
        <f>I16/'MSF By Card'!I12</f>
        <v>-1.5766445253910437</v>
      </c>
      <c r="J17" s="12">
        <f>J16/'MSF By Card'!J12</f>
        <v>-1.3114740368509219</v>
      </c>
      <c r="K17" s="12">
        <f>K16/'MSF By Card'!K12</f>
        <v>0.44790414849280913</v>
      </c>
      <c r="L17" s="12"/>
    </row>
    <row r="18" spans="1:12" x14ac:dyDescent="0.25">
      <c r="A18" s="102" t="s">
        <v>80</v>
      </c>
      <c r="B18" s="103"/>
      <c r="C18" s="104">
        <f>C16/$K$16</f>
        <v>-1.9182546678811908E-2</v>
      </c>
      <c r="D18" s="104">
        <f t="shared" ref="D18:J18" si="4">D16/$K$16</f>
        <v>0.66521038234366847</v>
      </c>
      <c r="E18" s="104">
        <f t="shared" si="4"/>
        <v>5.4833491440207965E-2</v>
      </c>
      <c r="F18" s="104">
        <f t="shared" si="4"/>
        <v>0.20888283336840358</v>
      </c>
      <c r="G18" s="104">
        <f t="shared" si="4"/>
        <v>7.1813610520200577E-2</v>
      </c>
      <c r="H18" s="104">
        <f t="shared" si="4"/>
        <v>6.6055351154553063E-2</v>
      </c>
      <c r="I18" s="104">
        <f t="shared" si="4"/>
        <v>-2.5719572698985723E-2</v>
      </c>
      <c r="J18" s="104">
        <f t="shared" si="4"/>
        <v>-2.189354944923582E-2</v>
      </c>
      <c r="K18" s="104">
        <f>SUM(C18:J18)</f>
        <v>1.0000000000000002</v>
      </c>
      <c r="L18" s="107"/>
    </row>
    <row r="19" spans="1:12" x14ac:dyDescent="0.25">
      <c r="A19" s="275" t="s">
        <v>23</v>
      </c>
      <c r="B19" s="4"/>
      <c r="C19" s="11">
        <f>'MSF By Card'!C14-'COA by Card'!C19</f>
        <v>-351.59181818181787</v>
      </c>
      <c r="D19" s="11">
        <f>'MSF By Card'!D14-'COA by Card'!D19</f>
        <v>29532.138181818173</v>
      </c>
      <c r="E19" s="11">
        <f>'MSF By Card'!E14-'COA by Card'!E19</f>
        <v>2239.1727272727271</v>
      </c>
      <c r="F19" s="11">
        <f>'MSF By Card'!F14-'COA by Card'!F19</f>
        <v>10849.454545454555</v>
      </c>
      <c r="G19" s="11">
        <f>'MSF By Card'!G14-'COA by Card'!G19</f>
        <v>6449.8909090909037</v>
      </c>
      <c r="H19" s="11">
        <f>'MSF By Card'!H14-'COA by Card'!H19</f>
        <v>3289.8818181818142</v>
      </c>
      <c r="I19" s="11">
        <f>'MSF By Card'!I14-'COA by Card'!I19</f>
        <v>-1089.3818181818181</v>
      </c>
      <c r="J19" s="11">
        <f>'MSF By Card'!J14-'COA by Card'!J19</f>
        <v>-1161.8000000000004</v>
      </c>
      <c r="K19" s="77">
        <f>SUM(B19:J19)</f>
        <v>49757.764545454535</v>
      </c>
      <c r="L19" s="78">
        <f>K19/$K$34</f>
        <v>5.1290284295357112E-2</v>
      </c>
    </row>
    <row r="20" spans="1:12" x14ac:dyDescent="0.25">
      <c r="A20" s="9" t="s">
        <v>74</v>
      </c>
      <c r="C20" s="12">
        <f>C19/'MSF By Card'!C14</f>
        <v>-0.1513317551307885</v>
      </c>
      <c r="D20" s="12">
        <f>D19/'MSF By Card'!D14</f>
        <v>0.80561196831054194</v>
      </c>
      <c r="E20" s="12">
        <f>E19/'MSF By Card'!E14</f>
        <v>0.58293986921607743</v>
      </c>
      <c r="F20" s="12">
        <f>F19/'MSF By Card'!F14</f>
        <v>0.55779953728587806</v>
      </c>
      <c r="G20" s="12">
        <f>G19/'MSF By Card'!G14</f>
        <v>0.31849911878175485</v>
      </c>
      <c r="H20" s="12">
        <f>H19/'MSF By Card'!H14</f>
        <v>0.6248728711859195</v>
      </c>
      <c r="I20" s="12">
        <f>I19/'MSF By Card'!I14</f>
        <v>-1.0418543184545026</v>
      </c>
      <c r="J20" s="12">
        <f>J19/'MSF By Card'!J14</f>
        <v>-0.99965582515918161</v>
      </c>
      <c r="K20" s="12">
        <f>K19/'MSF By Card'!K14</f>
        <v>0.55288521651485445</v>
      </c>
      <c r="L20" s="12"/>
    </row>
    <row r="21" spans="1:12" x14ac:dyDescent="0.25">
      <c r="A21" s="105" t="s">
        <v>80</v>
      </c>
      <c r="B21" s="103"/>
      <c r="C21" s="104">
        <f>C19/$K$19</f>
        <v>-7.0660694143651285E-3</v>
      </c>
      <c r="D21" s="104">
        <f t="shared" ref="D21:J21" si="5">D19/$K$19</f>
        <v>0.59351818659055877</v>
      </c>
      <c r="E21" s="104">
        <f t="shared" si="5"/>
        <v>4.5001473593678148E-2</v>
      </c>
      <c r="F21" s="104">
        <f t="shared" si="5"/>
        <v>0.21804545772034031</v>
      </c>
      <c r="G21" s="104">
        <f t="shared" si="5"/>
        <v>0.12962581755856059</v>
      </c>
      <c r="H21" s="104">
        <f t="shared" si="5"/>
        <v>6.6117958638926652E-2</v>
      </c>
      <c r="I21" s="104">
        <f t="shared" si="5"/>
        <v>-2.1893704995260586E-2</v>
      </c>
      <c r="J21" s="104">
        <f t="shared" si="5"/>
        <v>-2.3349119692438695E-2</v>
      </c>
      <c r="K21" s="104">
        <f>SUM(C21:J21)</f>
        <v>1</v>
      </c>
      <c r="L21" s="107"/>
    </row>
    <row r="22" spans="1:12" x14ac:dyDescent="0.25">
      <c r="A22" s="732" t="s">
        <v>24</v>
      </c>
      <c r="B22" s="4"/>
      <c r="C22" s="11">
        <f>'MSF By Card'!C16-'COA by Card'!C22</f>
        <v>-227.35272727272741</v>
      </c>
      <c r="D22" s="11">
        <f>'MSF By Card'!D16-'COA by Card'!D22</f>
        <v>8361.0372727272716</v>
      </c>
      <c r="E22" s="11">
        <f>'MSF By Card'!E16-'COA by Card'!E22</f>
        <v>725.56727272727255</v>
      </c>
      <c r="F22" s="11">
        <f>'MSF By Card'!F16-'COA by Card'!F22</f>
        <v>3487.9545454545455</v>
      </c>
      <c r="G22" s="11">
        <f>'MSF By Card'!G16-'COA by Card'!G22</f>
        <v>3429.4181818181814</v>
      </c>
      <c r="H22" s="11">
        <f>'MSF By Card'!H16-'COA by Card'!H22</f>
        <v>1181.4827272727275</v>
      </c>
      <c r="I22" s="11">
        <f>'MSF By Card'!I16-'COA by Card'!I22</f>
        <v>-583.125454545455</v>
      </c>
      <c r="J22" s="11">
        <f>'MSF By Card'!J16-'COA by Card'!J22</f>
        <v>-624.8154545454546</v>
      </c>
      <c r="K22" s="77">
        <f>SUM(B22:J22)</f>
        <v>15750.166363636359</v>
      </c>
      <c r="L22" s="78">
        <f>K22/$K$34</f>
        <v>1.6235265347423585E-2</v>
      </c>
    </row>
    <row r="23" spans="1:12" x14ac:dyDescent="0.25">
      <c r="A23" s="9" t="s">
        <v>74</v>
      </c>
      <c r="C23" s="12">
        <f>C22/'MSF By Card'!C16</f>
        <v>-0.21439728411360789</v>
      </c>
      <c r="D23" s="12">
        <f>D22/'MSF By Card'!D16</f>
        <v>0.80047251262876817</v>
      </c>
      <c r="E23" s="12">
        <f>E22/'MSF By Card'!E16</f>
        <v>0.58944771864521939</v>
      </c>
      <c r="F23" s="12">
        <f>F22/'MSF By Card'!F16</f>
        <v>0.54143511527942811</v>
      </c>
      <c r="G23" s="12">
        <f>G22/'MSF By Card'!G16</f>
        <v>0.39661959273620373</v>
      </c>
      <c r="H23" s="12">
        <f>H22/'MSF By Card'!H16</f>
        <v>0.64867707173909794</v>
      </c>
      <c r="I23" s="12">
        <f>I22/'MSF By Card'!I16</f>
        <v>-1.0310684605616385</v>
      </c>
      <c r="J23" s="12">
        <f>J22/'MSF By Card'!J16</f>
        <v>-1.0668669088199685</v>
      </c>
      <c r="K23" s="12">
        <f>K22/'MSF By Card'!K16</f>
        <v>0.5114066234501885</v>
      </c>
      <c r="L23" s="12"/>
    </row>
    <row r="24" spans="1:12" x14ac:dyDescent="0.25">
      <c r="A24" s="105" t="s">
        <v>80</v>
      </c>
      <c r="B24" s="103"/>
      <c r="C24" s="104">
        <f>C22/$K$22</f>
        <v>-1.4434941322120535E-2</v>
      </c>
      <c r="D24" s="104">
        <f t="shared" ref="D24:J24" si="6">D22/$K$22</f>
        <v>0.53085390209153926</v>
      </c>
      <c r="E24" s="104">
        <f t="shared" si="6"/>
        <v>4.6067276749688593E-2</v>
      </c>
      <c r="F24" s="104">
        <f t="shared" si="6"/>
        <v>0.22145509227810184</v>
      </c>
      <c r="G24" s="104">
        <f t="shared" si="6"/>
        <v>0.21773853701862778</v>
      </c>
      <c r="H24" s="104">
        <f t="shared" si="6"/>
        <v>7.5013983979274598E-2</v>
      </c>
      <c r="I24" s="104">
        <f t="shared" si="6"/>
        <v>-3.7023447313659009E-2</v>
      </c>
      <c r="J24" s="104">
        <f t="shared" si="6"/>
        <v>-3.967040348145242E-2</v>
      </c>
      <c r="K24" s="104">
        <f>SUM(C24:J24)</f>
        <v>0.99999999999999989</v>
      </c>
      <c r="L24" s="107"/>
    </row>
    <row r="25" spans="1:12" x14ac:dyDescent="0.25">
      <c r="A25" s="275" t="s">
        <v>25</v>
      </c>
      <c r="B25" s="4">
        <v>0.21818181818181814</v>
      </c>
      <c r="C25" s="11">
        <f>'MSF By Card'!C18-'COA by Card'!C25</f>
        <v>-554.69090909090801</v>
      </c>
      <c r="D25" s="11">
        <f>'MSF By Card'!D18-'COA by Card'!D25</f>
        <v>30322.395454545469</v>
      </c>
      <c r="E25" s="11">
        <f>'MSF By Card'!E18-'COA by Card'!E25</f>
        <v>2517.6890909090889</v>
      </c>
      <c r="F25" s="11">
        <f>'MSF By Card'!F18-'COA by Card'!F25</f>
        <v>13433.036363636351</v>
      </c>
      <c r="G25" s="11">
        <f>'MSF By Card'!G18-'COA by Card'!G25</f>
        <v>6021.6999999999935</v>
      </c>
      <c r="H25" s="11">
        <f>'MSF By Card'!H18-'COA by Card'!H25</f>
        <v>3798.6745454545458</v>
      </c>
      <c r="I25" s="11">
        <f>'MSF By Card'!I18-'COA by Card'!I25</f>
        <v>-2049.5163636363641</v>
      </c>
      <c r="J25" s="11">
        <f>'MSF By Card'!J18-'COA by Card'!J25</f>
        <v>-2135.619999999999</v>
      </c>
      <c r="K25" s="77">
        <f>SUM(B25:J25)</f>
        <v>51353.886363636353</v>
      </c>
      <c r="L25" s="78">
        <f>K25/$K$34</f>
        <v>5.2935566043289785E-2</v>
      </c>
    </row>
    <row r="26" spans="1:12" x14ac:dyDescent="0.25">
      <c r="A26" s="9" t="s">
        <v>74</v>
      </c>
      <c r="C26" s="12">
        <f>C25/'MSF By Card'!C18</f>
        <v>-0.17889740139034224</v>
      </c>
      <c r="D26" s="12">
        <f>D25/'MSF By Card'!D18</f>
        <v>0.68075740728494949</v>
      </c>
      <c r="E26" s="12">
        <f>E25/'MSF By Card'!E18</f>
        <v>0.47802930530647314</v>
      </c>
      <c r="F26" s="12">
        <f>F25/'MSF By Card'!F18</f>
        <v>0.40121567507274153</v>
      </c>
      <c r="G26" s="12">
        <f>G25/'MSF By Card'!G18</f>
        <v>0.21963620712923126</v>
      </c>
      <c r="H26" s="12">
        <f>H25/'MSF By Card'!H18</f>
        <v>0.4819335276349222</v>
      </c>
      <c r="I26" s="12">
        <f>I25/'MSF By Card'!I18</f>
        <v>-1.2829012359729597</v>
      </c>
      <c r="J26" s="12">
        <f>J25/'MSF By Card'!J18</f>
        <v>-1.256173166284335</v>
      </c>
      <c r="K26" s="12">
        <f>K25/'MSF By Card'!K18</f>
        <v>0.41088120347478008</v>
      </c>
      <c r="L26" s="12"/>
    </row>
    <row r="27" spans="1:12" x14ac:dyDescent="0.25">
      <c r="A27" s="105" t="s">
        <v>80</v>
      </c>
      <c r="B27" s="103"/>
      <c r="C27" s="104">
        <f>C25/$K$25</f>
        <v>-1.0801342378708152E-2</v>
      </c>
      <c r="D27" s="104">
        <f t="shared" ref="D27:J27" si="7">D25/$K$25</f>
        <v>0.59045960494270855</v>
      </c>
      <c r="E27" s="104">
        <f t="shared" si="7"/>
        <v>4.9026262064790146E-2</v>
      </c>
      <c r="F27" s="104">
        <f t="shared" si="7"/>
        <v>0.26157779507702994</v>
      </c>
      <c r="G27" s="104">
        <f t="shared" si="7"/>
        <v>0.11725889560451952</v>
      </c>
      <c r="H27" s="104">
        <f t="shared" si="7"/>
        <v>7.3970536885099011E-2</v>
      </c>
      <c r="I27" s="104">
        <f t="shared" si="7"/>
        <v>-3.9909664268128787E-2</v>
      </c>
      <c r="J27" s="104">
        <f t="shared" si="7"/>
        <v>-4.1586336521401618E-2</v>
      </c>
      <c r="K27" s="104">
        <f>SUM(C27:J27)</f>
        <v>0.99999575140590846</v>
      </c>
      <c r="L27" s="107"/>
    </row>
    <row r="28" spans="1:12" x14ac:dyDescent="0.25">
      <c r="A28" s="275" t="s">
        <v>26</v>
      </c>
      <c r="B28" s="4"/>
      <c r="C28" s="11">
        <f>'MSF By Card'!C20-'COA by Card'!C28</f>
        <v>-12.717272727272743</v>
      </c>
      <c r="D28" s="11">
        <f>'MSF By Card'!D20-'COA by Card'!D28</f>
        <v>2104.2190909090905</v>
      </c>
      <c r="E28" s="11">
        <f>'MSF By Card'!E20-'COA by Card'!E28</f>
        <v>164.76454545454538</v>
      </c>
      <c r="F28" s="11">
        <f>'MSF By Card'!F20-'COA by Card'!F28</f>
        <v>740.85818181818172</v>
      </c>
      <c r="G28" s="11">
        <f>'MSF By Card'!G20-'COA by Card'!G28</f>
        <v>363.24999999999943</v>
      </c>
      <c r="H28" s="11">
        <f>'MSF By Card'!H20-'COA by Card'!H28</f>
        <v>188.94727272727266</v>
      </c>
      <c r="I28" s="11">
        <f>'MSF By Card'!I20-'COA by Card'!I28</f>
        <v>-13.164545454545456</v>
      </c>
      <c r="J28" s="11">
        <f>'MSF By Card'!J20-'COA by Card'!J28</f>
        <v>-9.0554545454545483</v>
      </c>
      <c r="K28" s="77">
        <f>SUM(B28:J28)</f>
        <v>3527.1018181818172</v>
      </c>
      <c r="L28" s="78">
        <f>K28/$K$34</f>
        <v>3.6357351791388402E-3</v>
      </c>
    </row>
    <row r="29" spans="1:12" x14ac:dyDescent="0.25">
      <c r="A29" s="9" t="s">
        <v>74</v>
      </c>
      <c r="C29" s="12">
        <f>C28/'MSF By Card'!C20</f>
        <v>-0.18545671483494655</v>
      </c>
      <c r="D29" s="12">
        <f>D28/'MSF By Card'!D20</f>
        <v>0.81331620946404148</v>
      </c>
      <c r="E29" s="12">
        <f>E28/'MSF By Card'!E20</f>
        <v>0.59685503523677785</v>
      </c>
      <c r="F29" s="12">
        <f>F28/'MSF By Card'!F20</f>
        <v>0.57987448234641159</v>
      </c>
      <c r="G29" s="12">
        <f>G28/'MSF By Card'!G20</f>
        <v>0.31452939648454381</v>
      </c>
      <c r="H29" s="12">
        <f>H28/'MSF By Card'!H20</f>
        <v>0.57027382977555829</v>
      </c>
      <c r="I29" s="12">
        <f>I28/'MSF By Card'!I20</f>
        <v>-0.83608545034642046</v>
      </c>
      <c r="J29" s="12">
        <f>J28/'MSF By Card'!J20</f>
        <v>-1.1384000000000005</v>
      </c>
      <c r="K29" s="12">
        <f>K28/'MSF By Card'!K20</f>
        <v>0.61669284029424654</v>
      </c>
      <c r="L29" s="12"/>
    </row>
    <row r="30" spans="1:12" x14ac:dyDescent="0.25">
      <c r="A30" s="102" t="s">
        <v>80</v>
      </c>
      <c r="B30" s="103"/>
      <c r="C30" s="104">
        <f>C28/$K$28</f>
        <v>-3.6055870748376521E-3</v>
      </c>
      <c r="D30" s="104">
        <f t="shared" ref="D30:J30" si="8">D28/$K$28</f>
        <v>0.59658586550069959</v>
      </c>
      <c r="E30" s="104">
        <f t="shared" si="8"/>
        <v>4.6713861393283998E-2</v>
      </c>
      <c r="F30" s="104">
        <f t="shared" si="8"/>
        <v>0.21004729095121108</v>
      </c>
      <c r="G30" s="104">
        <f t="shared" si="8"/>
        <v>0.1029882375743978</v>
      </c>
      <c r="H30" s="104">
        <f t="shared" si="8"/>
        <v>5.3570121438873838E-2</v>
      </c>
      <c r="I30" s="104">
        <f t="shared" si="8"/>
        <v>-3.7323973429640419E-3</v>
      </c>
      <c r="J30" s="104">
        <f t="shared" si="8"/>
        <v>-2.5673924406646523E-3</v>
      </c>
      <c r="K30" s="104">
        <f>SUM(C30:J30)</f>
        <v>1.0000000000000002</v>
      </c>
      <c r="L30" s="107"/>
    </row>
    <row r="31" spans="1:12" x14ac:dyDescent="0.25">
      <c r="A31" s="275" t="s">
        <v>27</v>
      </c>
      <c r="B31" s="4"/>
      <c r="C31" s="11">
        <f>'MSF By Card'!C22-'COA by Card'!C31</f>
        <v>93.557272727272903</v>
      </c>
      <c r="D31" s="11">
        <f>'MSF By Card'!D22-'COA by Card'!D31</f>
        <v>0</v>
      </c>
      <c r="E31" s="11">
        <f>'MSF By Card'!E22-'COA by Card'!E31</f>
        <v>117.92636363636367</v>
      </c>
      <c r="F31" s="11">
        <f>'MSF By Card'!F22-'COA by Card'!F31</f>
        <v>1199.7545454545457</v>
      </c>
      <c r="G31" s="11">
        <f>'MSF By Card'!G22-'COA by Card'!G31</f>
        <v>-32.85727272727263</v>
      </c>
      <c r="H31" s="11">
        <f>'MSF By Card'!H22-'COA by Card'!H31</f>
        <v>89.61272727272717</v>
      </c>
      <c r="I31" s="11">
        <f>'MSF By Card'!I22-'COA by Card'!I31</f>
        <v>-61.268181818182484</v>
      </c>
      <c r="J31" s="11">
        <f>'MSF By Card'!J22-'COA by Card'!J31</f>
        <v>420.56181818181744</v>
      </c>
      <c r="K31" s="77">
        <f>SUM(B31:J31)</f>
        <v>1827.2872727272718</v>
      </c>
      <c r="L31" s="78">
        <f>K31/$K$34</f>
        <v>1.8835670083581198E-3</v>
      </c>
    </row>
    <row r="32" spans="1:12" x14ac:dyDescent="0.25">
      <c r="A32" s="9" t="s">
        <v>74</v>
      </c>
      <c r="C32" s="12">
        <f>C31/'MSF By Card'!C22</f>
        <v>4.183897485100059E-2</v>
      </c>
      <c r="D32" s="12" t="e">
        <f>D31/'MSF By Card'!D22</f>
        <v>#DIV/0!</v>
      </c>
      <c r="E32" s="12">
        <f>E31/'MSF By Card'!E22</f>
        <v>0.31951279588167203</v>
      </c>
      <c r="F32" s="12">
        <f>F31/'MSF By Card'!F22</f>
        <v>0.28656080566116809</v>
      </c>
      <c r="G32" s="12">
        <f>G31/'MSF By Card'!G22</f>
        <v>-2.5955662159153667E-2</v>
      </c>
      <c r="H32" s="12">
        <f>H31/'MSF By Card'!H22</f>
        <v>0.12576743473933999</v>
      </c>
      <c r="I32" s="12">
        <f>I31/'MSF By Card'!I22</f>
        <v>-4.1408357244235736E-2</v>
      </c>
      <c r="J32" s="12">
        <f>J31/'MSF By Card'!J22</f>
        <v>0.23794896589325085</v>
      </c>
      <c r="K32" s="12">
        <f>K31/'MSF By Card'!K22</f>
        <v>0.15203253016422402</v>
      </c>
      <c r="L32" s="12"/>
    </row>
    <row r="33" spans="1:12" x14ac:dyDescent="0.25">
      <c r="A33" s="102" t="s">
        <v>80</v>
      </c>
      <c r="B33" s="103"/>
      <c r="C33" s="107">
        <f>C31/$K$31</f>
        <v>5.1200089949532859E-2</v>
      </c>
      <c r="D33" s="107">
        <f t="shared" ref="D33:J33" si="9">D31/$K$31</f>
        <v>0</v>
      </c>
      <c r="E33" s="107">
        <f t="shared" si="9"/>
        <v>6.4536302198589524E-2</v>
      </c>
      <c r="F33" s="107">
        <f t="shared" si="9"/>
        <v>0.65657686306974716</v>
      </c>
      <c r="G33" s="107">
        <f t="shared" si="9"/>
        <v>-1.7981448903889276E-2</v>
      </c>
      <c r="H33" s="107">
        <f t="shared" si="9"/>
        <v>4.9041400665467312E-2</v>
      </c>
      <c r="I33" s="107">
        <f t="shared" si="9"/>
        <v>-3.3529583844109083E-2</v>
      </c>
      <c r="J33" s="107">
        <f t="shared" si="9"/>
        <v>0.23015637686466148</v>
      </c>
      <c r="K33" s="107">
        <f>SUM(C33:J33)</f>
        <v>1</v>
      </c>
      <c r="L33" s="107"/>
    </row>
    <row r="34" spans="1:12" x14ac:dyDescent="0.25">
      <c r="A34" s="83" t="s">
        <v>10</v>
      </c>
      <c r="B34" s="29">
        <v>1.227272727272728</v>
      </c>
      <c r="C34" s="94">
        <f>SUM(C4,C7,C10,C13,C16,C19,C22,C25,C28,C31)</f>
        <v>-11488.628181818189</v>
      </c>
      <c r="D34" s="84">
        <f t="shared" ref="D34:K34" si="10">SUM(D4,D7,D10,D13,D16,D19,D22,D25,D28,D31)</f>
        <v>530907.83636363631</v>
      </c>
      <c r="E34" s="86">
        <f t="shared" si="10"/>
        <v>48648.735454545444</v>
      </c>
      <c r="F34" s="84">
        <f t="shared" si="10"/>
        <v>252905.2972727273</v>
      </c>
      <c r="G34" s="86">
        <f t="shared" si="10"/>
        <v>177445.73545454562</v>
      </c>
      <c r="H34" s="84">
        <f t="shared" si="10"/>
        <v>75907.180909090879</v>
      </c>
      <c r="I34" s="84">
        <f t="shared" si="10"/>
        <v>-53323.598181818212</v>
      </c>
      <c r="J34" s="84">
        <f t="shared" si="10"/>
        <v>-50882.524545454551</v>
      </c>
      <c r="K34" s="84">
        <f t="shared" si="10"/>
        <v>970120.66181818175</v>
      </c>
      <c r="L34" s="64">
        <f>K34/$K$34</f>
        <v>1</v>
      </c>
    </row>
    <row r="35" spans="1:12" x14ac:dyDescent="0.25">
      <c r="A35" s="88" t="s">
        <v>74</v>
      </c>
      <c r="B35" s="29"/>
      <c r="C35" s="85">
        <f>C34/'MSF By Card'!C24</f>
        <v>-9.5384230218711827E-2</v>
      </c>
      <c r="D35" s="85">
        <f>D34/'MSF By Card'!D24</f>
        <v>0.79956536947694978</v>
      </c>
      <c r="E35" s="85">
        <f>E34/'MSF By Card'!E24</f>
        <v>0.58011508073907181</v>
      </c>
      <c r="F35" s="85">
        <f>F34/'MSF By Card'!F24</f>
        <v>0.53966633648627116</v>
      </c>
      <c r="G35" s="87">
        <f>G34/'MSF By Card'!G24</f>
        <v>0.32162661277307963</v>
      </c>
      <c r="H35" s="85">
        <f>H34/'MSF By Card'!H24</f>
        <v>0.61598799066153453</v>
      </c>
      <c r="I35" s="85">
        <f>I34/'MSF By Card'!I24</f>
        <v>-1.0117233806653352</v>
      </c>
      <c r="J35" s="87">
        <f>J34/'MSF By Card'!J24</f>
        <v>-1.0440994277772859</v>
      </c>
      <c r="K35" s="85">
        <f>K34/'MSF By Card'!K24</f>
        <v>0.45905081432561995</v>
      </c>
      <c r="L35" s="75"/>
    </row>
    <row r="36" spans="1:12" x14ac:dyDescent="0.25">
      <c r="A36" s="111" t="s">
        <v>80</v>
      </c>
      <c r="B36" s="112"/>
      <c r="C36" s="113">
        <f>C34/$K$34</f>
        <v>-1.1842473450968893E-2</v>
      </c>
      <c r="D36" s="114">
        <f t="shared" ref="D36:J36" si="11">D34/$K$34</f>
        <v>0.5472595907488651</v>
      </c>
      <c r="E36" s="113">
        <f t="shared" si="11"/>
        <v>5.0147097540803744E-2</v>
      </c>
      <c r="F36" s="113">
        <f t="shared" si="11"/>
        <v>0.26069468183342986</v>
      </c>
      <c r="G36" s="113">
        <f t="shared" si="11"/>
        <v>0.18291099492920829</v>
      </c>
      <c r="H36" s="113">
        <f t="shared" si="11"/>
        <v>7.8245092488626183E-2</v>
      </c>
      <c r="I36" s="113">
        <f t="shared" si="11"/>
        <v>-5.4965944217578187E-2</v>
      </c>
      <c r="J36" s="113">
        <f t="shared" si="11"/>
        <v>-5.2449686464868701E-2</v>
      </c>
      <c r="K36" s="113">
        <f>SUM(C36:J36)</f>
        <v>0.99999935340751733</v>
      </c>
      <c r="L36" s="115"/>
    </row>
    <row r="43" spans="1:12" ht="21" x14ac:dyDescent="0.35">
      <c r="A43" s="782" t="s">
        <v>81</v>
      </c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</row>
    <row r="44" spans="1:12" ht="27" x14ac:dyDescent="0.25">
      <c r="A44" s="517" t="s">
        <v>77</v>
      </c>
      <c r="B44" s="518"/>
      <c r="C44" s="519" t="s">
        <v>2</v>
      </c>
      <c r="D44" s="519" t="s">
        <v>3</v>
      </c>
      <c r="E44" s="520" t="s">
        <v>4</v>
      </c>
      <c r="F44" s="520" t="s">
        <v>5</v>
      </c>
      <c r="G44" s="493" t="s">
        <v>6</v>
      </c>
      <c r="H44" s="494" t="s">
        <v>7</v>
      </c>
      <c r="I44" s="493" t="s">
        <v>8</v>
      </c>
      <c r="J44" s="494" t="s">
        <v>9</v>
      </c>
      <c r="K44" s="492" t="s">
        <v>10</v>
      </c>
      <c r="L44" s="495" t="s">
        <v>11</v>
      </c>
    </row>
    <row r="45" spans="1:12" x14ac:dyDescent="0.25">
      <c r="A45" s="503" t="s">
        <v>12</v>
      </c>
      <c r="B45" s="518" t="s">
        <v>13</v>
      </c>
      <c r="C45" s="530" t="s">
        <v>78</v>
      </c>
      <c r="D45" s="530" t="s">
        <v>78</v>
      </c>
      <c r="E45" s="530" t="s">
        <v>78</v>
      </c>
      <c r="F45" s="530" t="s">
        <v>78</v>
      </c>
      <c r="G45" s="531" t="s">
        <v>78</v>
      </c>
      <c r="H45" s="530" t="s">
        <v>78</v>
      </c>
      <c r="I45" s="530" t="s">
        <v>78</v>
      </c>
      <c r="J45" s="530" t="s">
        <v>78</v>
      </c>
      <c r="K45" s="530" t="s">
        <v>78</v>
      </c>
      <c r="L45" s="515" t="s">
        <v>15</v>
      </c>
    </row>
    <row r="47" spans="1:12" x14ac:dyDescent="0.25">
      <c r="A47" s="523" t="s">
        <v>10</v>
      </c>
      <c r="B47" s="503">
        <v>1.227272727272728</v>
      </c>
      <c r="C47" s="525">
        <f>'MSF By Card'!C47-'COA by Card'!C57</f>
        <v>-10848.452117077577</v>
      </c>
      <c r="D47" s="525">
        <f>'MSF By Card'!D47-'COA by Card'!D57</f>
        <v>133626.63367055924</v>
      </c>
      <c r="E47" s="525">
        <f>'MSF By Card'!E47-'COA by Card'!E57</f>
        <v>13116.888738100315</v>
      </c>
      <c r="F47" s="525">
        <f>'MSF By Card'!F47-'COA by Card'!F57</f>
        <v>65471.951516376728</v>
      </c>
      <c r="G47" s="525">
        <f>'MSF By Card'!G47-'COA by Card'!G57</f>
        <v>41511.528485354182</v>
      </c>
      <c r="H47" s="525">
        <f>'MSF By Card'!H47-'COA by Card'!H57</f>
        <v>21095.571946039483</v>
      </c>
      <c r="I47" s="525">
        <f>'MSF By Card'!I47-'COA by Card'!I57</f>
        <v>-11910.106362493423</v>
      </c>
      <c r="J47" s="525">
        <f>'MSF By Card'!J47-'COA by Card'!J57</f>
        <v>-12401.743149586242</v>
      </c>
      <c r="K47" s="532">
        <f>SUM(B47:J47)</f>
        <v>239663.5</v>
      </c>
      <c r="L47" s="516">
        <f>K47/$K$34</f>
        <v>0.24704504236702599</v>
      </c>
    </row>
    <row r="48" spans="1:12" x14ac:dyDescent="0.25">
      <c r="A48" s="533" t="s">
        <v>74</v>
      </c>
      <c r="B48" s="503"/>
      <c r="C48" s="534">
        <f>C47/'MSF By Card'!C47</f>
        <v>-0.56940841313132817</v>
      </c>
      <c r="D48" s="534">
        <f>D47/'MSF By Card'!D47</f>
        <v>0.81584817325805625</v>
      </c>
      <c r="E48" s="534">
        <f>E47/'MSF By Card'!E47</f>
        <v>0.62174161002853845</v>
      </c>
      <c r="F48" s="534">
        <f>F47/'MSF By Card'!F47</f>
        <v>0.57249368106797227</v>
      </c>
      <c r="G48" s="534">
        <f>G47/'MSF By Card'!G47</f>
        <v>0.32858898514030405</v>
      </c>
      <c r="H48" s="534">
        <f>H47/'MSF By Card'!H47</f>
        <v>0.66296422252541087</v>
      </c>
      <c r="I48" s="534">
        <f>I47/'MSF By Card'!I47</f>
        <v>-0.98271782253028972</v>
      </c>
      <c r="J48" s="534">
        <f>J47/'MSF By Card'!J47</f>
        <v>-1.2189110978787483</v>
      </c>
      <c r="K48" s="534">
        <f>K47/'MSF By Card'!K47</f>
        <v>0.48053094844902322</v>
      </c>
      <c r="L48" s="529"/>
    </row>
    <row r="51" spans="1:12" ht="21" x14ac:dyDescent="0.35">
      <c r="A51" s="782" t="s">
        <v>82</v>
      </c>
      <c r="B51" s="783"/>
      <c r="C51" s="783"/>
      <c r="D51" s="783"/>
      <c r="E51" s="783"/>
      <c r="F51" s="783"/>
      <c r="G51" s="783"/>
      <c r="H51" s="783"/>
      <c r="I51" s="783"/>
      <c r="J51" s="783"/>
      <c r="K51" s="783"/>
      <c r="L51" s="783"/>
    </row>
    <row r="52" spans="1:12" ht="27" x14ac:dyDescent="0.25">
      <c r="A52" s="583" t="s">
        <v>77</v>
      </c>
      <c r="B52" s="568"/>
      <c r="C52" s="584" t="s">
        <v>2</v>
      </c>
      <c r="D52" s="584" t="s">
        <v>3</v>
      </c>
      <c r="E52" s="585" t="s">
        <v>4</v>
      </c>
      <c r="F52" s="585" t="s">
        <v>5</v>
      </c>
      <c r="G52" s="559" t="s">
        <v>6</v>
      </c>
      <c r="H52" s="560" t="s">
        <v>7</v>
      </c>
      <c r="I52" s="559" t="s">
        <v>8</v>
      </c>
      <c r="J52" s="560" t="s">
        <v>9</v>
      </c>
      <c r="K52" s="558" t="s">
        <v>10</v>
      </c>
      <c r="L52" s="561" t="s">
        <v>11</v>
      </c>
    </row>
    <row r="53" spans="1:12" x14ac:dyDescent="0.25">
      <c r="A53" s="570" t="s">
        <v>12</v>
      </c>
      <c r="B53" s="568" t="s">
        <v>13</v>
      </c>
      <c r="C53" s="595" t="s">
        <v>78</v>
      </c>
      <c r="D53" s="595" t="s">
        <v>78</v>
      </c>
      <c r="E53" s="595" t="s">
        <v>78</v>
      </c>
      <c r="F53" s="595" t="s">
        <v>78</v>
      </c>
      <c r="G53" s="596" t="s">
        <v>78</v>
      </c>
      <c r="H53" s="595" t="s">
        <v>78</v>
      </c>
      <c r="I53" s="595" t="s">
        <v>78</v>
      </c>
      <c r="J53" s="595" t="s">
        <v>78</v>
      </c>
      <c r="K53" s="595" t="s">
        <v>78</v>
      </c>
      <c r="L53" s="582" t="s">
        <v>15</v>
      </c>
    </row>
    <row r="54" spans="1:12" x14ac:dyDescent="0.25">
      <c r="A54" s="568"/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</row>
    <row r="55" spans="1:12" x14ac:dyDescent="0.25">
      <c r="A55" s="588" t="s">
        <v>10</v>
      </c>
      <c r="B55" s="570">
        <v>1.227272727272728</v>
      </c>
      <c r="C55" s="590">
        <f>'MSF By Card'!C55-'COA by Card'!C65</f>
        <v>19052.145818181816</v>
      </c>
      <c r="D55" s="590">
        <f>'MSF By Card'!D55-'COA by Card'!D65</f>
        <v>163788.60436363638</v>
      </c>
      <c r="E55" s="590">
        <f>'MSF By Card'!E55-'COA by Card'!E65</f>
        <v>21097.009636363633</v>
      </c>
      <c r="F55" s="590">
        <f>'MSF By Card'!F55-'COA by Card'!F65</f>
        <v>114362.74963636363</v>
      </c>
      <c r="G55" s="590">
        <f>'MSF By Card'!G55-'COA by Card'!G65</f>
        <v>126332.68418181819</v>
      </c>
      <c r="H55" s="590">
        <f>'MSF By Card'!H55-'COA by Card'!H65</f>
        <v>31820.075999999997</v>
      </c>
      <c r="I55" s="590">
        <f>'MSF By Card'!I55-'COA by Card'!I65</f>
        <v>12119.558727272726</v>
      </c>
      <c r="J55" s="590">
        <f>'MSF By Card'!J55-'COA by Card'!J65</f>
        <v>10174.444363636363</v>
      </c>
      <c r="K55" s="597">
        <f>SUM(B55:J55)</f>
        <v>498748.5</v>
      </c>
      <c r="L55" s="598">
        <f>K55/$K$34</f>
        <v>0.51410975936256731</v>
      </c>
    </row>
    <row r="56" spans="1:12" x14ac:dyDescent="0.25">
      <c r="A56" s="599" t="s">
        <v>74</v>
      </c>
      <c r="B56" s="570"/>
      <c r="C56" s="600">
        <f>C55/'MSF By Card'!C55</f>
        <v>1</v>
      </c>
      <c r="D56" s="600">
        <f>D55/'MSF By Card'!D55</f>
        <v>1</v>
      </c>
      <c r="E56" s="600">
        <f>E55/'MSF By Card'!E55</f>
        <v>1</v>
      </c>
      <c r="F56" s="600">
        <f>F55/'MSF By Card'!F55</f>
        <v>1</v>
      </c>
      <c r="G56" s="600">
        <f>G55/'MSF By Card'!G55</f>
        <v>1</v>
      </c>
      <c r="H56" s="600">
        <f>H55/'MSF By Card'!H55</f>
        <v>1</v>
      </c>
      <c r="I56" s="600">
        <f>I55/'MSF By Card'!I55</f>
        <v>1</v>
      </c>
      <c r="J56" s="600">
        <f>J55/'MSF By Card'!J55</f>
        <v>1</v>
      </c>
      <c r="K56" s="600">
        <f>K55/'MSF By Card'!K55</f>
        <v>1.0000024607106532</v>
      </c>
      <c r="L56" s="594"/>
    </row>
    <row r="58" spans="1:12" ht="21" x14ac:dyDescent="0.35">
      <c r="A58" s="782" t="s">
        <v>76</v>
      </c>
      <c r="B58" s="783"/>
      <c r="C58" s="783"/>
      <c r="D58" s="783"/>
      <c r="E58" s="783"/>
      <c r="F58" s="783"/>
      <c r="G58" s="783"/>
      <c r="H58" s="783"/>
      <c r="I58" s="783"/>
      <c r="J58" s="783"/>
      <c r="K58" s="783"/>
      <c r="L58" s="783"/>
    </row>
    <row r="59" spans="1:12" ht="27" x14ac:dyDescent="0.25">
      <c r="A59" s="91" t="s">
        <v>77</v>
      </c>
      <c r="C59" s="80" t="s">
        <v>2</v>
      </c>
      <c r="D59" s="80" t="s">
        <v>3</v>
      </c>
      <c r="E59" s="82" t="s">
        <v>4</v>
      </c>
      <c r="F59" s="82" t="s">
        <v>5</v>
      </c>
      <c r="G59" s="25" t="s">
        <v>6</v>
      </c>
      <c r="H59" s="27" t="s">
        <v>7</v>
      </c>
      <c r="I59" s="25" t="s">
        <v>8</v>
      </c>
      <c r="J59" s="27" t="s">
        <v>9</v>
      </c>
      <c r="K59" s="23" t="s">
        <v>10</v>
      </c>
      <c r="L59" s="21" t="s">
        <v>11</v>
      </c>
    </row>
    <row r="60" spans="1:12" x14ac:dyDescent="0.25">
      <c r="A60" s="29" t="s">
        <v>12</v>
      </c>
      <c r="B60" t="s">
        <v>13</v>
      </c>
      <c r="C60" s="81" t="s">
        <v>78</v>
      </c>
      <c r="D60" s="81" t="s">
        <v>78</v>
      </c>
      <c r="E60" s="81" t="s">
        <v>78</v>
      </c>
      <c r="F60" s="81" t="s">
        <v>78</v>
      </c>
      <c r="G60" s="90" t="s">
        <v>78</v>
      </c>
      <c r="H60" s="81" t="s">
        <v>78</v>
      </c>
      <c r="I60" s="81" t="s">
        <v>78</v>
      </c>
      <c r="J60" s="81" t="s">
        <v>78</v>
      </c>
      <c r="K60" s="81" t="s">
        <v>78</v>
      </c>
      <c r="L60" s="58" t="s">
        <v>15</v>
      </c>
    </row>
    <row r="61" spans="1:12" x14ac:dyDescent="0.25">
      <c r="A61" s="275" t="s">
        <v>16</v>
      </c>
      <c r="B61" s="73">
        <v>0.32727272727272722</v>
      </c>
      <c r="C61" s="11" t="e">
        <f>'MSF By Card'!C61-'COA by Card'!C55</f>
        <v>#VALUE!</v>
      </c>
      <c r="D61" s="11" t="e">
        <f>'MSF By Card'!D61-'COA by Card'!D55</f>
        <v>#VALUE!</v>
      </c>
      <c r="E61" s="11" t="e">
        <f>'MSF By Card'!E61-'COA by Card'!E55</f>
        <v>#VALUE!</v>
      </c>
      <c r="F61" s="11" t="e">
        <f>'MSF By Card'!F61-'COA by Card'!F55</f>
        <v>#VALUE!</v>
      </c>
      <c r="G61" s="11" t="e">
        <f>'MSF By Card'!G61-'COA by Card'!G55</f>
        <v>#VALUE!</v>
      </c>
      <c r="H61" s="11" t="e">
        <f>'MSF By Card'!H61-'COA by Card'!H55</f>
        <v>#VALUE!</v>
      </c>
      <c r="I61" s="11" t="e">
        <f>'MSF By Card'!I61-'COA by Card'!I55</f>
        <v>#VALUE!</v>
      </c>
      <c r="J61" s="11" t="e">
        <f>'MSF By Card'!J61-'COA by Card'!J55</f>
        <v>#VALUE!</v>
      </c>
      <c r="K61" s="77" t="e">
        <f>SUM(B61:J61)</f>
        <v>#VALUE!</v>
      </c>
      <c r="L61" s="78" t="e">
        <f>K61/$K$34</f>
        <v>#VALUE!</v>
      </c>
    </row>
    <row r="62" spans="1:12" x14ac:dyDescent="0.25">
      <c r="A62" s="730" t="s">
        <v>79</v>
      </c>
      <c r="C62" s="12" t="e">
        <f>C61/'MSF By Card'!C61</f>
        <v>#VALUE!</v>
      </c>
      <c r="D62" s="12" t="e">
        <f>D61/'MSF By Card'!D61</f>
        <v>#VALUE!</v>
      </c>
      <c r="E62" s="12" t="e">
        <f>E61/'MSF By Card'!E61</f>
        <v>#VALUE!</v>
      </c>
      <c r="F62" s="12" t="e">
        <f>F61/'MSF By Card'!F61</f>
        <v>#VALUE!</v>
      </c>
      <c r="G62" s="12" t="e">
        <f>G61/'MSF By Card'!G61</f>
        <v>#VALUE!</v>
      </c>
      <c r="H62" s="12" t="e">
        <f>H61/'MSF By Card'!H61</f>
        <v>#VALUE!</v>
      </c>
      <c r="I62" s="12" t="e">
        <f>I61/'MSF By Card'!I61</f>
        <v>#VALUE!</v>
      </c>
      <c r="J62" s="12" t="e">
        <f>J61/'MSF By Card'!J61</f>
        <v>#VALUE!</v>
      </c>
      <c r="K62" s="12" t="e">
        <f>K61/'MSF By Card'!K61</f>
        <v>#VALUE!</v>
      </c>
      <c r="L62" s="12"/>
    </row>
    <row r="63" spans="1:12" x14ac:dyDescent="0.25">
      <c r="A63" s="102" t="s">
        <v>80</v>
      </c>
      <c r="B63" s="103"/>
      <c r="C63" s="104" t="e">
        <f>C61/$K$4</f>
        <v>#VALUE!</v>
      </c>
      <c r="D63" s="104" t="e">
        <f t="shared" ref="D63:J63" si="12">D61/$K$4</f>
        <v>#VALUE!</v>
      </c>
      <c r="E63" s="104" t="e">
        <f t="shared" si="12"/>
        <v>#VALUE!</v>
      </c>
      <c r="F63" s="104" t="e">
        <f t="shared" si="12"/>
        <v>#VALUE!</v>
      </c>
      <c r="G63" s="104" t="e">
        <f t="shared" si="12"/>
        <v>#VALUE!</v>
      </c>
      <c r="H63" s="104" t="e">
        <f t="shared" si="12"/>
        <v>#VALUE!</v>
      </c>
      <c r="I63" s="104" t="e">
        <f t="shared" si="12"/>
        <v>#VALUE!</v>
      </c>
      <c r="J63" s="104" t="e">
        <f t="shared" si="12"/>
        <v>#VALUE!</v>
      </c>
      <c r="K63" s="104" t="e">
        <f>SUM(C63:J63)</f>
        <v>#VALUE!</v>
      </c>
      <c r="L63" s="107"/>
    </row>
    <row r="64" spans="1:12" x14ac:dyDescent="0.25">
      <c r="A64" s="275" t="s">
        <v>19</v>
      </c>
      <c r="B64" s="4"/>
      <c r="C64" s="11">
        <f>'MSF By Card'!C63-'COA by Card'!C58</f>
        <v>427.79368246037626</v>
      </c>
      <c r="D64" s="11">
        <f>'MSF By Card'!D63-'COA by Card'!D58</f>
        <v>14657.429037266589</v>
      </c>
      <c r="E64" s="11">
        <f>'MSF By Card'!E63-'COA by Card'!E58</f>
        <v>1474.3237442854377</v>
      </c>
      <c r="F64" s="11">
        <f>'MSF By Card'!F63-'COA by Card'!F58</f>
        <v>8538.1567489155623</v>
      </c>
      <c r="G64" s="11">
        <f>'MSF By Card'!G63-'COA by Card'!G58</f>
        <v>5102.8726126340925</v>
      </c>
      <c r="H64" s="11">
        <f>'MSF By Card'!H63-'COA by Card'!H58</f>
        <v>1896.1313335059942</v>
      </c>
      <c r="I64" s="11">
        <f>'MSF By Card'!I63-'COA by Card'!I58</f>
        <v>139.26179726345083</v>
      </c>
      <c r="J64" s="11">
        <f>'MSF By Card'!J63-'COA by Card'!J58</f>
        <v>226.94922548667063</v>
      </c>
      <c r="K64" s="77">
        <f>SUM(B64:J64)</f>
        <v>32462.918181818175</v>
      </c>
      <c r="L64" s="79">
        <f>K64/$K$34</f>
        <v>3.3462763406128047E-2</v>
      </c>
    </row>
    <row r="65" spans="1:12" x14ac:dyDescent="0.25">
      <c r="A65" s="9" t="s">
        <v>74</v>
      </c>
      <c r="C65" s="12">
        <f>C64/'MSF By Card'!C63</f>
        <v>0.99973029680563796</v>
      </c>
      <c r="D65" s="12">
        <f>D64/'MSF By Card'!D63</f>
        <v>0.99999205751882403</v>
      </c>
      <c r="E65" s="12">
        <f>E64/'MSF By Card'!E63</f>
        <v>0.99997910870950091</v>
      </c>
      <c r="F65" s="12">
        <f>F64/'MSF By Card'!F63</f>
        <v>0.99997789904017187</v>
      </c>
      <c r="G65" s="12">
        <f>G64/'MSF By Card'!G63</f>
        <v>0.99993584665192248</v>
      </c>
      <c r="H65" s="12">
        <f>H64/'MSF By Card'!H63</f>
        <v>0.99997816983329757</v>
      </c>
      <c r="I65" s="12">
        <f>I64/'MSF By Card'!I63</f>
        <v>0.99933444445036113</v>
      </c>
      <c r="J65" s="12">
        <f>J64/'MSF By Card'!J63</f>
        <v>0.99961619298205195</v>
      </c>
      <c r="K65" s="12">
        <f>K64/'MSF By Card'!K63</f>
        <v>0.99996919657096239</v>
      </c>
      <c r="L65" s="12"/>
    </row>
    <row r="66" spans="1:12" x14ac:dyDescent="0.25">
      <c r="A66" s="105" t="s">
        <v>80</v>
      </c>
      <c r="B66" s="103"/>
      <c r="C66" s="104">
        <f>C64/$K$7</f>
        <v>2.1701151878182424E-2</v>
      </c>
      <c r="D66" s="104">
        <f t="shared" ref="D66:J66" si="13">D64/$K$7</f>
        <v>0.74354322357452163</v>
      </c>
      <c r="E66" s="104">
        <f t="shared" si="13"/>
        <v>7.4789611918386179E-2</v>
      </c>
      <c r="F66" s="104">
        <f t="shared" si="13"/>
        <v>0.43312429323943302</v>
      </c>
      <c r="G66" s="104">
        <f t="shared" si="13"/>
        <v>0.25885892691285117</v>
      </c>
      <c r="H66" s="104">
        <f t="shared" si="13"/>
        <v>9.6187100783577936E-2</v>
      </c>
      <c r="I66" s="104">
        <f t="shared" si="13"/>
        <v>7.0644835049024296E-3</v>
      </c>
      <c r="J66" s="104">
        <f t="shared" si="13"/>
        <v>1.1512698323632409E-2</v>
      </c>
      <c r="K66" s="104">
        <f>SUM(C66:J66)</f>
        <v>1.6467814901354874</v>
      </c>
      <c r="L66" s="104"/>
    </row>
    <row r="67" spans="1:12" x14ac:dyDescent="0.25">
      <c r="A67" s="732" t="s">
        <v>20</v>
      </c>
      <c r="B67" s="4">
        <v>2.7272727272727268E-2</v>
      </c>
      <c r="C67" s="11">
        <f>'MSF By Card'!C65-'COA by Card'!C61</f>
        <v>52869.518181818159</v>
      </c>
      <c r="D67" s="11">
        <f>'MSF By Card'!D65-'COA by Card'!D61</f>
        <v>205803.26363636358</v>
      </c>
      <c r="E67" s="11">
        <f>'MSF By Card'!E65-'COA by Card'!E61</f>
        <v>29898.272727272717</v>
      </c>
      <c r="F67" s="11">
        <f>'MSF By Card'!F65-'COA by Card'!F61</f>
        <v>149555.40000000002</v>
      </c>
      <c r="G67" s="11">
        <f>'MSF By Card'!G65-'COA by Card'!G61</f>
        <v>205522.40000000005</v>
      </c>
      <c r="H67" s="11">
        <f>'MSF By Card'!H65-'COA by Card'!H61</f>
        <v>47205.909090909074</v>
      </c>
      <c r="I67" s="11">
        <f>'MSF By Card'!I65-'COA by Card'!I61</f>
        <v>18329.754545454529</v>
      </c>
      <c r="J67" s="11">
        <f>'MSF By Card'!J65-'COA by Card'!J61</f>
        <v>15291.854545454538</v>
      </c>
      <c r="K67" s="77">
        <f>SUM(B67:J67)</f>
        <v>724476.39999999991</v>
      </c>
      <c r="L67" s="78">
        <f>K67/$K$34</f>
        <v>0.74678999068239615</v>
      </c>
    </row>
    <row r="68" spans="1:12" x14ac:dyDescent="0.25">
      <c r="A68" s="9" t="s">
        <v>74</v>
      </c>
      <c r="C68" s="12">
        <f>C67/'MSF By Card'!C65</f>
        <v>1</v>
      </c>
      <c r="D68" s="12">
        <f>D67/'MSF By Card'!D65</f>
        <v>1</v>
      </c>
      <c r="E68" s="12">
        <f>E67/'MSF By Card'!E65</f>
        <v>1</v>
      </c>
      <c r="F68" s="12">
        <f>F67/'MSF By Card'!F65</f>
        <v>1</v>
      </c>
      <c r="G68" s="12">
        <f>G67/'MSF By Card'!G65</f>
        <v>1</v>
      </c>
      <c r="H68" s="12">
        <f>H67/'MSF By Card'!H65</f>
        <v>1</v>
      </c>
      <c r="I68" s="12">
        <f>I67/'MSF By Card'!I65</f>
        <v>1</v>
      </c>
      <c r="J68" s="12">
        <f>J67/'MSF By Card'!J65</f>
        <v>1</v>
      </c>
      <c r="K68" s="12">
        <f>K67/'MSF By Card'!K65</f>
        <v>0.99999942278095344</v>
      </c>
      <c r="L68" s="12"/>
    </row>
    <row r="69" spans="1:12" x14ac:dyDescent="0.25">
      <c r="A69" s="105" t="s">
        <v>80</v>
      </c>
      <c r="B69" s="103"/>
      <c r="C69" s="104">
        <f>C67/$K$10</f>
        <v>0.15656316173470891</v>
      </c>
      <c r="D69" s="104">
        <f t="shared" ref="D69:J69" si="14">D67/$K$10</f>
        <v>0.60944776419982227</v>
      </c>
      <c r="E69" s="104">
        <f t="shared" si="14"/>
        <v>8.8538126874744633E-2</v>
      </c>
      <c r="F69" s="104">
        <f t="shared" si="14"/>
        <v>0.44288026605378572</v>
      </c>
      <c r="G69" s="104">
        <f t="shared" si="14"/>
        <v>0.60861603922033292</v>
      </c>
      <c r="H69" s="104">
        <f t="shared" si="14"/>
        <v>0.1397914456949908</v>
      </c>
      <c r="I69" s="104">
        <f t="shared" si="14"/>
        <v>5.4280130104238884E-2</v>
      </c>
      <c r="J69" s="104">
        <f t="shared" si="14"/>
        <v>4.5283959051606947E-2</v>
      </c>
      <c r="K69" s="104">
        <f>SUM(C69:J69)</f>
        <v>2.145400892934231</v>
      </c>
      <c r="L69" s="107"/>
    </row>
    <row r="70" spans="1:12" x14ac:dyDescent="0.25">
      <c r="A70" s="762" t="s">
        <v>21</v>
      </c>
      <c r="B70" s="4">
        <v>5.4545454545454536E-2</v>
      </c>
      <c r="C70" s="11" t="e">
        <f>'MSF By Card'!C67-'COA by Card'!C70</f>
        <v>#VALUE!</v>
      </c>
      <c r="D70" s="11" t="e">
        <f>'MSF By Card'!D67-'COA by Card'!D70</f>
        <v>#VALUE!</v>
      </c>
      <c r="E70" s="11" t="e">
        <f>'MSF By Card'!E67-'COA by Card'!E70</f>
        <v>#VALUE!</v>
      </c>
      <c r="F70" s="11" t="e">
        <f>'MSF By Card'!F67-'COA by Card'!F70</f>
        <v>#VALUE!</v>
      </c>
      <c r="G70" s="11" t="e">
        <f>'MSF By Card'!G67-'COA by Card'!G70</f>
        <v>#VALUE!</v>
      </c>
      <c r="H70" s="11" t="e">
        <f>'MSF By Card'!H67-'COA by Card'!H70</f>
        <v>#VALUE!</v>
      </c>
      <c r="I70" s="11" t="e">
        <f>'MSF By Card'!I67-'COA by Card'!I70</f>
        <v>#VALUE!</v>
      </c>
      <c r="J70" s="11" t="e">
        <f>'MSF By Card'!J67-'COA by Card'!J70</f>
        <v>#VALUE!</v>
      </c>
      <c r="K70" s="77" t="e">
        <f>SUM(B70:J70)</f>
        <v>#VALUE!</v>
      </c>
      <c r="L70" s="79" t="e">
        <f>K70/$K$34</f>
        <v>#VALUE!</v>
      </c>
    </row>
    <row r="71" spans="1:12" x14ac:dyDescent="0.25">
      <c r="A71" t="s">
        <v>74</v>
      </c>
      <c r="C71" s="12" t="e">
        <f>C70/'MSF By Card'!C67</f>
        <v>#VALUE!</v>
      </c>
      <c r="D71" s="12" t="e">
        <f>D70/'MSF By Card'!D67</f>
        <v>#VALUE!</v>
      </c>
      <c r="E71" s="12" t="e">
        <f>E70/'MSF By Card'!E67</f>
        <v>#VALUE!</v>
      </c>
      <c r="F71" s="12" t="e">
        <f>F70/'MSF By Card'!F67</f>
        <v>#VALUE!</v>
      </c>
      <c r="G71" s="12" t="e">
        <f>G70/'MSF By Card'!G67</f>
        <v>#VALUE!</v>
      </c>
      <c r="H71" s="12" t="e">
        <f>H70/'MSF By Card'!H67</f>
        <v>#VALUE!</v>
      </c>
      <c r="I71" s="12" t="e">
        <f>I70/'MSF By Card'!I67</f>
        <v>#VALUE!</v>
      </c>
      <c r="J71" s="12" t="e">
        <f>J70/'MSF By Card'!J67</f>
        <v>#VALUE!</v>
      </c>
      <c r="K71" s="12" t="e">
        <f>K70/'MSF By Card'!K67</f>
        <v>#VALUE!</v>
      </c>
      <c r="L71" s="12"/>
    </row>
    <row r="72" spans="1:12" x14ac:dyDescent="0.25">
      <c r="A72" s="105" t="s">
        <v>80</v>
      </c>
      <c r="B72" s="103"/>
      <c r="C72" s="104" t="e">
        <f>C70/$K$13</f>
        <v>#VALUE!</v>
      </c>
      <c r="D72" s="104" t="e">
        <f t="shared" ref="D72:J72" si="15">D70/$K$13</f>
        <v>#VALUE!</v>
      </c>
      <c r="E72" s="104" t="e">
        <f t="shared" si="15"/>
        <v>#VALUE!</v>
      </c>
      <c r="F72" s="104" t="e">
        <f t="shared" si="15"/>
        <v>#VALUE!</v>
      </c>
      <c r="G72" s="104" t="e">
        <f t="shared" si="15"/>
        <v>#VALUE!</v>
      </c>
      <c r="H72" s="104" t="e">
        <f t="shared" si="15"/>
        <v>#VALUE!</v>
      </c>
      <c r="I72" s="104" t="e">
        <f t="shared" si="15"/>
        <v>#VALUE!</v>
      </c>
      <c r="J72" s="104" t="e">
        <f t="shared" si="15"/>
        <v>#VALUE!</v>
      </c>
      <c r="K72" s="104" t="e">
        <f>SUM(C72:J72)</f>
        <v>#VALUE!</v>
      </c>
      <c r="L72" s="107"/>
    </row>
    <row r="73" spans="1:12" x14ac:dyDescent="0.25">
      <c r="A73" s="732" t="s">
        <v>22</v>
      </c>
      <c r="B73" s="4"/>
      <c r="C73" s="11">
        <f>'MSF By Card'!C69-'COA by Card'!C73</f>
        <v>133.89970813894752</v>
      </c>
      <c r="D73" s="11">
        <f>'MSF By Card'!D69-'COA by Card'!D73</f>
        <v>2159.3623747151369</v>
      </c>
      <c r="E73" s="11">
        <f>'MSF By Card'!E69-'COA by Card'!E73</f>
        <v>302.63399932117864</v>
      </c>
      <c r="F73" s="11">
        <f>'MSF By Card'!F69-'COA by Card'!F73</f>
        <v>1091.6829448946478</v>
      </c>
      <c r="G73" s="11">
        <f>'MSF By Card'!G69-'COA by Card'!G73</f>
        <v>1707.4253305928173</v>
      </c>
      <c r="H73" s="11">
        <f>'MSF By Card'!H69-'COA by Card'!H73</f>
        <v>325.06171830354617</v>
      </c>
      <c r="I73" s="11">
        <f>'MSF By Card'!I69-'COA by Card'!I73</f>
        <v>42.325765817822351</v>
      </c>
      <c r="J73" s="11">
        <f>'MSF By Card'!J69-'COA by Card'!J73</f>
        <v>43.317249124994021</v>
      </c>
      <c r="K73" s="77">
        <f>SUM(B73:J73)</f>
        <v>5805.7090909090921</v>
      </c>
      <c r="L73" s="79">
        <f>K73/$K$34</f>
        <v>5.9845226675495624E-3</v>
      </c>
    </row>
    <row r="74" spans="1:12" x14ac:dyDescent="0.25">
      <c r="A74" s="9" t="s">
        <v>74</v>
      </c>
      <c r="C74" s="12">
        <f>C73/'MSF By Card'!C69</f>
        <v>0.99918376604600978</v>
      </c>
      <c r="D74" s="12">
        <f>D73/'MSF By Card'!D69</f>
        <v>0.9999446888296647</v>
      </c>
      <c r="E74" s="12">
        <f>E73/'MSF By Card'!E69</f>
        <v>0.99990207927581354</v>
      </c>
      <c r="F74" s="12">
        <f>F73/'MSF By Card'!F69</f>
        <v>0.99982618635547971</v>
      </c>
      <c r="G74" s="12">
        <f>G73/'MSF By Card'!G69</f>
        <v>0.99981786823178986</v>
      </c>
      <c r="H74" s="12">
        <f>H73/'MSF By Card'!H69</f>
        <v>0.99988224639663514</v>
      </c>
      <c r="I74" s="12">
        <f>I73/'MSF By Card'!I69</f>
        <v>0.99760750802666787</v>
      </c>
      <c r="J74" s="12">
        <f>J73/'MSF By Card'!J69</f>
        <v>0.99767533579341361</v>
      </c>
      <c r="K74" s="12">
        <f>K73/'MSF By Card'!K69</f>
        <v>0.99982778541436412</v>
      </c>
      <c r="L74" s="12"/>
    </row>
    <row r="75" spans="1:12" x14ac:dyDescent="0.25">
      <c r="A75" s="102" t="s">
        <v>80</v>
      </c>
      <c r="B75" s="103"/>
      <c r="C75" s="104">
        <f>C73/$K$16</f>
        <v>5.1483074741620151E-2</v>
      </c>
      <c r="D75" s="104">
        <f t="shared" ref="D75:J75" si="16">D73/$K$16</f>
        <v>0.83025285175633246</v>
      </c>
      <c r="E75" s="104">
        <f t="shared" si="16"/>
        <v>0.11635969206325508</v>
      </c>
      <c r="F75" s="104">
        <f t="shared" si="16"/>
        <v>0.41974097947876915</v>
      </c>
      <c r="G75" s="104">
        <f t="shared" si="16"/>
        <v>0.65648765880376814</v>
      </c>
      <c r="H75" s="104">
        <f t="shared" si="16"/>
        <v>0.12498292170805091</v>
      </c>
      <c r="I75" s="104">
        <f t="shared" si="16"/>
        <v>1.6273826100009506E-2</v>
      </c>
      <c r="J75" s="104">
        <f t="shared" si="16"/>
        <v>1.6655041338770289E-2</v>
      </c>
      <c r="K75" s="104">
        <f>SUM(C75:J75)</f>
        <v>2.2322360459905761</v>
      </c>
      <c r="L75" s="107"/>
    </row>
    <row r="76" spans="1:12" x14ac:dyDescent="0.25">
      <c r="A76" s="275" t="s">
        <v>23</v>
      </c>
      <c r="B76" s="4"/>
      <c r="C76" s="11">
        <f>'MSF By Card'!C71-'COA by Card'!C76</f>
        <v>2323.2788569668178</v>
      </c>
      <c r="D76" s="11">
        <f>'MSF By Card'!D71-'COA by Card'!D76</f>
        <v>36657.806720258777</v>
      </c>
      <c r="E76" s="11">
        <f>'MSF By Card'!E71-'COA by Card'!E76</f>
        <v>3841.1218597700981</v>
      </c>
      <c r="F76" s="11">
        <f>'MSF By Card'!F71-'COA by Card'!F76</f>
        <v>19450.158455039473</v>
      </c>
      <c r="G76" s="11">
        <f>'MSF By Card'!G71-'COA by Card'!G76</f>
        <v>20250.60738791565</v>
      </c>
      <c r="H76" s="11">
        <f>'MSF By Card'!H71-'COA by Card'!H76</f>
        <v>5264.8260090943486</v>
      </c>
      <c r="I76" s="11">
        <f>'MSF By Card'!I71-'COA by Card'!I76</f>
        <v>1045.5931797987278</v>
      </c>
      <c r="J76" s="11">
        <f>'MSF By Card'!J71-'COA by Card'!J76</f>
        <v>1162.1620766106419</v>
      </c>
      <c r="K76" s="77">
        <f>SUM(B76:J76)</f>
        <v>89995.554545454535</v>
      </c>
      <c r="L76" s="78">
        <f>K76/$K$34</f>
        <v>9.2767382540628066E-2</v>
      </c>
    </row>
    <row r="77" spans="1:12" x14ac:dyDescent="0.25">
      <c r="A77" s="9" t="s">
        <v>74</v>
      </c>
      <c r="C77" s="12">
        <f>C76/'MSF By Card'!C71</f>
        <v>0.99998307384168383</v>
      </c>
      <c r="D77" s="12">
        <f>D76/'MSF By Card'!D71</f>
        <v>0.99999423150596012</v>
      </c>
      <c r="E77" s="12">
        <f>E76/'MSF By Card'!E71</f>
        <v>0.99998675729881459</v>
      </c>
      <c r="F77" s="12">
        <f>F76/'MSF By Card'!F71</f>
        <v>0.99998477719816825</v>
      </c>
      <c r="G77" s="12">
        <f>G76/'MSF By Card'!G71</f>
        <v>0.99998599957026457</v>
      </c>
      <c r="H77" s="12">
        <f>H76/'MSF By Card'!H71</f>
        <v>0.99998939974544676</v>
      </c>
      <c r="I77" s="12">
        <f>I76/'MSF By Card'!I71</f>
        <v>0.99997608876749766</v>
      </c>
      <c r="J77" s="12">
        <f>J76/'MSF By Card'!J71</f>
        <v>0.99996736930876118</v>
      </c>
      <c r="K77" s="12">
        <f>K76/'MSF By Card'!K71</f>
        <v>0.99998888846350797</v>
      </c>
      <c r="L77" s="12"/>
    </row>
    <row r="78" spans="1:12" x14ac:dyDescent="0.25">
      <c r="A78" s="105" t="s">
        <v>80</v>
      </c>
      <c r="B78" s="103"/>
      <c r="C78" s="104">
        <f>C76/$K$19</f>
        <v>4.6691785255836088E-2</v>
      </c>
      <c r="D78" s="104">
        <f t="shared" ref="D78:J78" si="17">D76/$K$19</f>
        <v>0.73672535442727272</v>
      </c>
      <c r="E78" s="104">
        <f t="shared" si="17"/>
        <v>7.7196431448626882E-2</v>
      </c>
      <c r="F78" s="104">
        <f t="shared" si="17"/>
        <v>0.39089695111345757</v>
      </c>
      <c r="G78" s="104">
        <f t="shared" si="17"/>
        <v>0.40698386619471999</v>
      </c>
      <c r="H78" s="104">
        <f t="shared" si="17"/>
        <v>0.1058091346584681</v>
      </c>
      <c r="I78" s="104">
        <f t="shared" si="17"/>
        <v>2.1013668707796574E-2</v>
      </c>
      <c r="J78" s="104">
        <f t="shared" si="17"/>
        <v>2.3356396478563416E-2</v>
      </c>
      <c r="K78" s="104">
        <f>SUM(C78:J78)</f>
        <v>1.8086735882847416</v>
      </c>
      <c r="L78" s="107"/>
    </row>
    <row r="79" spans="1:12" x14ac:dyDescent="0.25">
      <c r="A79" s="732" t="s">
        <v>24</v>
      </c>
      <c r="B79" s="4"/>
      <c r="C79" s="11">
        <f>'MSF By Card'!C73-'COA by Card'!C79</f>
        <v>1060.2765280136723</v>
      </c>
      <c r="D79" s="11">
        <f>'MSF By Card'!D73-'COA by Card'!D79</f>
        <v>10445.041724635834</v>
      </c>
      <c r="E79" s="11">
        <f>'MSF By Card'!E73-'COA by Card'!E79</f>
        <v>1230.8979802168917</v>
      </c>
      <c r="F79" s="11">
        <f>'MSF By Card'!F73-'COA by Card'!F79</f>
        <v>6441.8996131529493</v>
      </c>
      <c r="G79" s="11">
        <f>'MSF By Card'!G73-'COA by Card'!G79</f>
        <v>8646.255510549101</v>
      </c>
      <c r="H79" s="11">
        <f>'MSF By Card'!H73-'COA by Card'!H79</f>
        <v>1821.3314359502833</v>
      </c>
      <c r="I79" s="11">
        <f>'MSF By Card'!I73-'COA by Card'!I79</f>
        <v>565.45844637150401</v>
      </c>
      <c r="J79" s="11">
        <f>'MSF By Card'!J73-'COA by Card'!J79</f>
        <v>585.57512474612633</v>
      </c>
      <c r="K79" s="77">
        <f>SUM(B79:J79)</f>
        <v>30796.736363636363</v>
      </c>
      <c r="L79" s="78">
        <f>K79/$K$34</f>
        <v>3.1745263837508322E-2</v>
      </c>
    </row>
    <row r="80" spans="1:12" x14ac:dyDescent="0.25">
      <c r="A80" s="9" t="s">
        <v>74</v>
      </c>
      <c r="C80" s="12">
        <f>C79/'MSF By Card'!C73</f>
        <v>0.99985784530681432</v>
      </c>
      <c r="D80" s="12">
        <f>D79/'MSF By Card'!D73</f>
        <v>0.99999180976074253</v>
      </c>
      <c r="E80" s="12">
        <f>E79/'MSF By Card'!E73</f>
        <v>0.99997620289108069</v>
      </c>
      <c r="F80" s="12">
        <f>F79/'MSF By Card'!F73</f>
        <v>0.99997594986187976</v>
      </c>
      <c r="G80" s="12">
        <f>G79/'MSF By Card'!G73</f>
        <v>0.99995805628727275</v>
      </c>
      <c r="H80" s="12">
        <f>H79/'MSF By Card'!H73</f>
        <v>0.9999773295592792</v>
      </c>
      <c r="I80" s="12">
        <f>I79/'MSF By Card'!I73</f>
        <v>0.99983007990332073</v>
      </c>
      <c r="J80" s="12">
        <f>J79/'MSF By Card'!J73</f>
        <v>0.9998643898369175</v>
      </c>
      <c r="K80" s="12">
        <f>K79/'MSF By Card'!K73</f>
        <v>0.9999675300811659</v>
      </c>
      <c r="L80" s="12"/>
    </row>
    <row r="81" spans="1:12" x14ac:dyDescent="0.25">
      <c r="A81" s="105" t="s">
        <v>80</v>
      </c>
      <c r="B81" s="103"/>
      <c r="C81" s="104">
        <f>C79/$K$22</f>
        <v>6.7318433566620331E-2</v>
      </c>
      <c r="D81" s="104">
        <f t="shared" ref="D81:J81" si="18">D79/$K$22</f>
        <v>0.66317024744266306</v>
      </c>
      <c r="E81" s="104">
        <f t="shared" si="18"/>
        <v>7.8151427216588784E-2</v>
      </c>
      <c r="F81" s="104">
        <f t="shared" si="18"/>
        <v>0.40900517901994143</v>
      </c>
      <c r="G81" s="104">
        <f t="shared" si="18"/>
        <v>0.54896280527622787</v>
      </c>
      <c r="H81" s="104">
        <f t="shared" si="18"/>
        <v>0.11563886970459776</v>
      </c>
      <c r="I81" s="104">
        <f t="shared" si="18"/>
        <v>3.590174435725467E-2</v>
      </c>
      <c r="J81" s="104">
        <f t="shared" si="18"/>
        <v>3.7178980286715541E-2</v>
      </c>
      <c r="K81" s="104">
        <f>SUM(C81:J81)</f>
        <v>1.9553276868706095</v>
      </c>
      <c r="L81" s="107"/>
    </row>
    <row r="82" spans="1:12" x14ac:dyDescent="0.25">
      <c r="A82" s="275" t="s">
        <v>25</v>
      </c>
      <c r="B82" s="4">
        <v>0.21818181818181814</v>
      </c>
      <c r="C82" s="11">
        <f>'MSF By Card'!C75-'COA by Card'!C82</f>
        <v>3100.5442040489879</v>
      </c>
      <c r="D82" s="11">
        <f>'MSF By Card'!D75-'COA by Card'!D82</f>
        <v>44542.000508361321</v>
      </c>
      <c r="E82" s="11">
        <f>'MSF By Card'!E75-'COA by Card'!E82</f>
        <v>5266.7776783238123</v>
      </c>
      <c r="F82" s="11">
        <f>'MSF By Card'!F75-'COA by Card'!F82</f>
        <v>33480.598296498167</v>
      </c>
      <c r="G82" s="11">
        <f>'MSF By Card'!G75-'COA by Card'!G82</f>
        <v>27416.389038388526</v>
      </c>
      <c r="H82" s="11">
        <f>'MSF By Card'!H75-'COA by Card'!H82</f>
        <v>7882.114707802778</v>
      </c>
      <c r="I82" s="11">
        <f>'MSF By Card'!I75-'COA by Card'!I82</f>
        <v>1597.4783352144607</v>
      </c>
      <c r="J82" s="11">
        <f>'MSF By Card'!J75-'COA by Card'!J82</f>
        <v>1700.0154131801257</v>
      </c>
      <c r="K82" s="77">
        <f>SUM(B82:J82)</f>
        <v>124986.13636363637</v>
      </c>
      <c r="L82" s="78">
        <f>K82/$K$34</f>
        <v>0.12883566063770843</v>
      </c>
    </row>
    <row r="83" spans="1:12" x14ac:dyDescent="0.25">
      <c r="A83" s="9" t="s">
        <v>74</v>
      </c>
      <c r="C83" s="12">
        <f>C82/'MSF By Card'!C75</f>
        <v>0.99997907286658794</v>
      </c>
      <c r="D83" s="12">
        <f>D82/'MSF By Card'!D75</f>
        <v>0.9999967458643344</v>
      </c>
      <c r="E83" s="12">
        <f>E82/'MSF By Card'!E75</f>
        <v>0.99999403574636292</v>
      </c>
      <c r="F83" s="12">
        <f>F82/'MSF By Card'!F75</f>
        <v>0.99999288945068165</v>
      </c>
      <c r="G83" s="12">
        <f>G82/'MSF By Card'!G75</f>
        <v>0.99998865794893377</v>
      </c>
      <c r="H83" s="12">
        <f>H82/'MSF By Card'!H75</f>
        <v>0.99999494584234072</v>
      </c>
      <c r="I83" s="12">
        <f>I82/'MSF By Card'!I75</f>
        <v>0.99994660547646852</v>
      </c>
      <c r="J83" s="12">
        <f>J82/'MSF By Card'!J75</f>
        <v>0.99995024597383964</v>
      </c>
      <c r="K83" s="12">
        <f>K82/'MSF By Card'!K75</f>
        <v>1.0000110558938715</v>
      </c>
      <c r="L83" s="12"/>
    </row>
    <row r="84" spans="1:12" x14ac:dyDescent="0.25">
      <c r="A84" s="105" t="s">
        <v>80</v>
      </c>
      <c r="B84" s="103"/>
      <c r="C84" s="104">
        <f>C82/$K$25</f>
        <v>6.037603818519334E-2</v>
      </c>
      <c r="D84" s="104">
        <f t="shared" ref="D84:J84" si="19">D82/$K$25</f>
        <v>0.86735403418077972</v>
      </c>
      <c r="E84" s="104">
        <f t="shared" si="19"/>
        <v>0.10255850240875272</v>
      </c>
      <c r="F84" s="104">
        <f t="shared" si="19"/>
        <v>0.65195841380771824</v>
      </c>
      <c r="G84" s="104">
        <f t="shared" si="19"/>
        <v>0.53387174719851482</v>
      </c>
      <c r="H84" s="104">
        <f t="shared" si="19"/>
        <v>0.15348623572497713</v>
      </c>
      <c r="I84" s="104">
        <f t="shared" si="19"/>
        <v>3.1107252991579501E-2</v>
      </c>
      <c r="J84" s="104">
        <f t="shared" si="19"/>
        <v>3.3103929099782901E-2</v>
      </c>
      <c r="K84" s="104">
        <f>SUM(C84:J84)</f>
        <v>2.4338161535972986</v>
      </c>
      <c r="L84" s="107"/>
    </row>
    <row r="85" spans="1:12" x14ac:dyDescent="0.25">
      <c r="A85" s="275" t="s">
        <v>26</v>
      </c>
      <c r="B85" s="4"/>
      <c r="C85" s="11">
        <f>'MSF By Card'!C77-'COA by Card'!C85</f>
        <v>68.515363570007864</v>
      </c>
      <c r="D85" s="11">
        <f>'MSF By Card'!D77-'COA by Card'!D85</f>
        <v>2587.0751580486412</v>
      </c>
      <c r="E85" s="11">
        <f>'MSF By Card'!E77-'COA by Card'!E85</f>
        <v>276.00462125323907</v>
      </c>
      <c r="F85" s="11">
        <f>'MSF By Card'!F77-'COA by Card'!F85</f>
        <v>1277.4470576892429</v>
      </c>
      <c r="G85" s="11">
        <f>'MSF By Card'!G77-'COA by Card'!G85</f>
        <v>1154.4255688021306</v>
      </c>
      <c r="H85" s="11">
        <f>'MSF By Card'!H77-'COA by Card'!H85</f>
        <v>331.27945404523416</v>
      </c>
      <c r="I85" s="11">
        <f>'MSF By Card'!I77-'COA by Card'!I85</f>
        <v>15.711354491178936</v>
      </c>
      <c r="J85" s="11">
        <f>'MSF By Card'!J77-'COA by Card'!J85</f>
        <v>7.9232402821424168</v>
      </c>
      <c r="K85" s="77">
        <f>SUM(B85:J85)</f>
        <v>5718.3818181818169</v>
      </c>
      <c r="L85" s="78">
        <f>K85/$K$34</f>
        <v>5.8945057488668821E-3</v>
      </c>
    </row>
    <row r="86" spans="1:12" x14ac:dyDescent="0.25">
      <c r="A86" s="9" t="s">
        <v>74</v>
      </c>
      <c r="C86" s="12">
        <f>C85/'MSF By Card'!C77</f>
        <v>0.9991634618455344</v>
      </c>
      <c r="D86" s="12">
        <f>D85/'MSF By Card'!D77</f>
        <v>0.99994823268791067</v>
      </c>
      <c r="E86" s="12">
        <f>E85/'MSF By Card'!E77</f>
        <v>0.99981915095357643</v>
      </c>
      <c r="F86" s="12">
        <f>F85/'MSF By Card'!F77</f>
        <v>0.99986606003939671</v>
      </c>
      <c r="G86" s="12">
        <f>G85/'MSF By Card'!G77</f>
        <v>0.99958920149115171</v>
      </c>
      <c r="H86" s="12">
        <f>H85/'MSF By Card'!H77</f>
        <v>0.99985567538209308</v>
      </c>
      <c r="I86" s="12">
        <f>I85/'MSF By Card'!I77</f>
        <v>0.99783429216494401</v>
      </c>
      <c r="J86" s="12">
        <f>J85/'MSF By Card'!J77</f>
        <v>0.99606449261218954</v>
      </c>
      <c r="K86" s="12">
        <f>K85/'MSF By Card'!K77</f>
        <v>0.99982515592912125</v>
      </c>
      <c r="L86" s="12"/>
    </row>
    <row r="87" spans="1:12" x14ac:dyDescent="0.25">
      <c r="A87" s="102" t="s">
        <v>80</v>
      </c>
      <c r="B87" s="103"/>
      <c r="C87" s="104">
        <f>C85/$K$28</f>
        <v>1.9425399974794828E-2</v>
      </c>
      <c r="D87" s="104">
        <f t="shared" ref="D87:J87" si="20">D85/$K$28</f>
        <v>0.73348468272522127</v>
      </c>
      <c r="E87" s="104">
        <f t="shared" si="20"/>
        <v>7.825252444669048E-2</v>
      </c>
      <c r="F87" s="104">
        <f t="shared" si="20"/>
        <v>0.36218037457953312</v>
      </c>
      <c r="G87" s="104">
        <f t="shared" si="20"/>
        <v>0.32730145833930713</v>
      </c>
      <c r="H87" s="104">
        <f t="shared" si="20"/>
        <v>9.3923983803791952E-2</v>
      </c>
      <c r="I87" s="104">
        <f t="shared" si="20"/>
        <v>4.4544658195543587E-3</v>
      </c>
      <c r="J87" s="104">
        <f t="shared" si="20"/>
        <v>2.2463883070511304E-3</v>
      </c>
      <c r="K87" s="104">
        <f>SUM(C87:J87)</f>
        <v>1.6212692779959446</v>
      </c>
      <c r="L87" s="107"/>
    </row>
    <row r="88" spans="1:12" x14ac:dyDescent="0.25">
      <c r="A88" s="275" t="s">
        <v>27</v>
      </c>
      <c r="B88" s="4"/>
      <c r="C88" s="11">
        <f>'MSF By Card'!C79-'COA by Card'!C88</f>
        <v>2236.0607968218092</v>
      </c>
      <c r="D88" s="11">
        <f>'MSF By Card'!D79-'COA by Card'!D88</f>
        <v>-0.1770898180586444</v>
      </c>
      <c r="E88" s="11">
        <f>'MSF By Card'!E79-'COA by Card'!E88</f>
        <v>369.04200585147726</v>
      </c>
      <c r="F88" s="11">
        <f>'MSF By Card'!F79-'COA by Card'!F88</f>
        <v>4186.5226146642908</v>
      </c>
      <c r="G88" s="11">
        <f>'MSF By Card'!G79-'COA by Card'!G88</f>
        <v>1265.5570224899905</v>
      </c>
      <c r="H88" s="11">
        <f>'MSF By Card'!H79-'COA by Card'!H88</f>
        <v>712.47819073449898</v>
      </c>
      <c r="I88" s="11">
        <f>'MSF By Card'!I79-'COA by Card'!I88</f>
        <v>1479.5560326536111</v>
      </c>
      <c r="J88" s="11">
        <f>'MSF By Card'!J79-'COA by Card'!J88</f>
        <v>1767.3876993296535</v>
      </c>
      <c r="K88" s="77">
        <f>SUM(B88:J88)</f>
        <v>12016.427272727273</v>
      </c>
      <c r="L88" s="78">
        <f>K88/$K$34</f>
        <v>1.2386528548115151E-2</v>
      </c>
    </row>
    <row r="89" spans="1:12" x14ac:dyDescent="0.25">
      <c r="A89" s="9" t="s">
        <v>74</v>
      </c>
      <c r="C89" s="12">
        <f>C88/'MSF By Card'!C79</f>
        <v>0.99997027185962351</v>
      </c>
      <c r="D89" s="12" t="e">
        <f>D88/'MSF By Card'!D79</f>
        <v>#DIV/0!</v>
      </c>
      <c r="E89" s="12">
        <f>E88/'MSF By Card'!E79</f>
        <v>0.99989213142349553</v>
      </c>
      <c r="F89" s="12">
        <f>F88/'MSF By Card'!F79</f>
        <v>0.9999489461591301</v>
      </c>
      <c r="G89" s="12">
        <f>G88/'MSF By Card'!G79</f>
        <v>0.99972906429417041</v>
      </c>
      <c r="H89" s="12">
        <f>H88/'MSF By Card'!H79</f>
        <v>0.9999311156293208</v>
      </c>
      <c r="I89" s="12">
        <f>I88/'MSF By Card'!I79</f>
        <v>0.99996414035585124</v>
      </c>
      <c r="J89" s="12">
        <f>J88/'MSF By Card'!J79</f>
        <v>0.99996732277329869</v>
      </c>
      <c r="K89" s="12">
        <f>K88/'MSF By Card'!K79</f>
        <v>0.99978140770413049</v>
      </c>
      <c r="L89" s="12"/>
    </row>
    <row r="90" spans="1:12" x14ac:dyDescent="0.25">
      <c r="A90" s="102" t="s">
        <v>80</v>
      </c>
      <c r="B90" s="103"/>
      <c r="C90" s="107">
        <f>C88/$K$31</f>
        <v>1.2237051229960316</v>
      </c>
      <c r="D90" s="107">
        <f t="shared" ref="D90:J90" si="21">D88/$K$31</f>
        <v>-9.6914054348079288E-5</v>
      </c>
      <c r="E90" s="107">
        <f t="shared" si="21"/>
        <v>0.20196167912923341</v>
      </c>
      <c r="F90" s="107">
        <f t="shared" si="21"/>
        <v>2.2911135414497807</v>
      </c>
      <c r="G90" s="107">
        <f t="shared" si="21"/>
        <v>0.69258788225516121</v>
      </c>
      <c r="H90" s="107">
        <f t="shared" si="21"/>
        <v>0.38991033395154528</v>
      </c>
      <c r="I90" s="107">
        <f t="shared" si="21"/>
        <v>0.80970083617193744</v>
      </c>
      <c r="J90" s="107">
        <f t="shared" si="21"/>
        <v>0.96721939987672734</v>
      </c>
      <c r="K90" s="107">
        <f>SUM(C90:J90)</f>
        <v>6.5761018817760686</v>
      </c>
      <c r="L90" s="107"/>
    </row>
    <row r="91" spans="1:12" x14ac:dyDescent="0.25">
      <c r="A91" s="83" t="s">
        <v>10</v>
      </c>
      <c r="B91" s="29">
        <v>1.227272727272728</v>
      </c>
      <c r="C91" s="94" t="e">
        <f>SUM(C61,C64,C67,C70,C73,C76,C79,C82,C85,C88)</f>
        <v>#VALUE!</v>
      </c>
      <c r="D91" s="84" t="e">
        <f t="shared" ref="D91:K91" si="22">SUM(D61,D64,D67,D70,D73,D76,D79,D82,D85,D88)</f>
        <v>#VALUE!</v>
      </c>
      <c r="E91" s="86" t="e">
        <f t="shared" si="22"/>
        <v>#VALUE!</v>
      </c>
      <c r="F91" s="84" t="e">
        <f t="shared" si="22"/>
        <v>#VALUE!</v>
      </c>
      <c r="G91" s="86" t="e">
        <f t="shared" si="22"/>
        <v>#VALUE!</v>
      </c>
      <c r="H91" s="84" t="e">
        <f t="shared" si="22"/>
        <v>#VALUE!</v>
      </c>
      <c r="I91" s="84" t="e">
        <f t="shared" si="22"/>
        <v>#VALUE!</v>
      </c>
      <c r="J91" s="84" t="e">
        <f t="shared" si="22"/>
        <v>#VALUE!</v>
      </c>
      <c r="K91" s="84" t="e">
        <f t="shared" si="22"/>
        <v>#VALUE!</v>
      </c>
      <c r="L91" s="64" t="e">
        <f>K91/$K$34</f>
        <v>#VALUE!</v>
      </c>
    </row>
    <row r="92" spans="1:12" x14ac:dyDescent="0.25">
      <c r="A92" s="88" t="s">
        <v>74</v>
      </c>
      <c r="B92" s="29"/>
      <c r="C92" s="85" t="e">
        <f>C91/'MSF By Card'!C81</f>
        <v>#VALUE!</v>
      </c>
      <c r="D92" s="85" t="e">
        <f>D91/'MSF By Card'!D81</f>
        <v>#VALUE!</v>
      </c>
      <c r="E92" s="85" t="e">
        <f>E91/'MSF By Card'!E81</f>
        <v>#VALUE!</v>
      </c>
      <c r="F92" s="85" t="e">
        <f>F91/'MSF By Card'!F81</f>
        <v>#VALUE!</v>
      </c>
      <c r="G92" s="87" t="e">
        <f>G91/'MSF By Card'!G81</f>
        <v>#VALUE!</v>
      </c>
      <c r="H92" s="85" t="e">
        <f>H91/'MSF By Card'!H81</f>
        <v>#VALUE!</v>
      </c>
      <c r="I92" s="85" t="e">
        <f>I91/'MSF By Card'!I81</f>
        <v>#VALUE!</v>
      </c>
      <c r="J92" s="87" t="e">
        <f>J91/'MSF By Card'!J81</f>
        <v>#VALUE!</v>
      </c>
      <c r="K92" s="85" t="e">
        <f>K91/'MSF By Card'!K81</f>
        <v>#VALUE!</v>
      </c>
      <c r="L92" s="75"/>
    </row>
    <row r="93" spans="1:12" x14ac:dyDescent="0.25">
      <c r="A93" s="111" t="s">
        <v>80</v>
      </c>
      <c r="B93" s="112"/>
      <c r="C93" s="113" t="e">
        <f>C91/$K$34</f>
        <v>#VALUE!</v>
      </c>
      <c r="D93" s="114" t="e">
        <f t="shared" ref="D93:J93" si="23">D91/$K$34</f>
        <v>#VALUE!</v>
      </c>
      <c r="E93" s="113" t="e">
        <f t="shared" si="23"/>
        <v>#VALUE!</v>
      </c>
      <c r="F93" s="113" t="e">
        <f t="shared" si="23"/>
        <v>#VALUE!</v>
      </c>
      <c r="G93" s="113" t="e">
        <f t="shared" si="23"/>
        <v>#VALUE!</v>
      </c>
      <c r="H93" s="113" t="e">
        <f t="shared" si="23"/>
        <v>#VALUE!</v>
      </c>
      <c r="I93" s="113" t="e">
        <f t="shared" si="23"/>
        <v>#VALUE!</v>
      </c>
      <c r="J93" s="113" t="e">
        <f t="shared" si="23"/>
        <v>#VALUE!</v>
      </c>
      <c r="K93" s="113" t="e">
        <f>SUM(C93:J93)</f>
        <v>#VALUE!</v>
      </c>
      <c r="L93" s="115"/>
    </row>
  </sheetData>
  <mergeCells count="4">
    <mergeCell ref="A1:L1"/>
    <mergeCell ref="A43:L43"/>
    <mergeCell ref="A58:L58"/>
    <mergeCell ref="A51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805-FC92-4283-B015-42340BD4BCCA}">
  <sheetPr codeName="Sheet7"/>
  <dimension ref="A1:AD53"/>
  <sheetViews>
    <sheetView showGridLines="0" workbookViewId="0">
      <selection activeCell="C4" sqref="C4"/>
    </sheetView>
  </sheetViews>
  <sheetFormatPr defaultRowHeight="15" x14ac:dyDescent="0.25"/>
  <cols>
    <col min="1" max="1" width="17.5703125" customWidth="1"/>
    <col min="2" max="2" width="14" bestFit="1" customWidth="1"/>
    <col min="3" max="3" width="8" bestFit="1" customWidth="1"/>
    <col min="4" max="4" width="12.7109375" bestFit="1" customWidth="1"/>
    <col min="5" max="5" width="11.5703125" bestFit="1" customWidth="1"/>
    <col min="6" max="6" width="11.7109375" bestFit="1" customWidth="1"/>
    <col min="7" max="7" width="9.85546875" customWidth="1"/>
    <col min="8" max="8" width="10" customWidth="1"/>
    <col min="9" max="9" width="10.140625" bestFit="1" customWidth="1"/>
    <col min="10" max="10" width="11.85546875" customWidth="1"/>
    <col min="11" max="11" width="9.5703125" bestFit="1" customWidth="1"/>
    <col min="12" max="12" width="10.140625" bestFit="1" customWidth="1"/>
    <col min="16" max="16" width="17.85546875" customWidth="1"/>
    <col min="17" max="17" width="13.28515625" bestFit="1" customWidth="1"/>
    <col min="18" max="18" width="7.5703125" bestFit="1" customWidth="1"/>
    <col min="19" max="19" width="10.42578125" customWidth="1"/>
    <col min="20" max="20" width="9.140625" customWidth="1"/>
    <col min="21" max="21" width="8.85546875" bestFit="1" customWidth="1"/>
    <col min="22" max="22" width="9.85546875" customWidth="1"/>
    <col min="23" max="23" width="10" customWidth="1"/>
    <col min="24" max="24" width="10.140625" bestFit="1" customWidth="1"/>
    <col min="25" max="25" width="10.140625" customWidth="1"/>
    <col min="27" max="27" width="9.42578125" customWidth="1"/>
  </cols>
  <sheetData>
    <row r="1" spans="1:30" x14ac:dyDescent="0.25">
      <c r="A1" s="276" t="s">
        <v>83</v>
      </c>
      <c r="D1">
        <f>13/12</f>
        <v>1.0833333333333333</v>
      </c>
    </row>
    <row r="3" spans="1:30" ht="31.5" customHeight="1" x14ac:dyDescent="0.25">
      <c r="A3" s="763" t="s">
        <v>12</v>
      </c>
      <c r="B3" s="150" t="s">
        <v>84</v>
      </c>
      <c r="C3" s="150" t="s">
        <v>85</v>
      </c>
      <c r="D3" s="150" t="s">
        <v>86</v>
      </c>
      <c r="E3" s="150" t="s">
        <v>87</v>
      </c>
      <c r="F3" s="150" t="s">
        <v>88</v>
      </c>
      <c r="G3" s="764" t="s">
        <v>89</v>
      </c>
      <c r="H3" s="764" t="s">
        <v>90</v>
      </c>
      <c r="I3" s="764" t="s">
        <v>91</v>
      </c>
      <c r="J3" s="764" t="s">
        <v>92</v>
      </c>
      <c r="K3" s="765" t="s">
        <v>93</v>
      </c>
      <c r="L3" s="764" t="s">
        <v>94</v>
      </c>
      <c r="P3" s="766" t="s">
        <v>12</v>
      </c>
      <c r="Q3" s="150" t="s">
        <v>84</v>
      </c>
      <c r="R3" s="150" t="s">
        <v>85</v>
      </c>
      <c r="S3" s="150" t="s">
        <v>95</v>
      </c>
      <c r="T3" s="150" t="s">
        <v>96</v>
      </c>
      <c r="U3" s="160" t="s">
        <v>97</v>
      </c>
      <c r="V3" s="767" t="s">
        <v>89</v>
      </c>
      <c r="W3" s="767" t="s">
        <v>90</v>
      </c>
      <c r="X3" s="767" t="s">
        <v>91</v>
      </c>
      <c r="Y3" s="767" t="s">
        <v>92</v>
      </c>
      <c r="Z3" s="765" t="s">
        <v>98</v>
      </c>
      <c r="AA3" s="767" t="s">
        <v>94</v>
      </c>
    </row>
    <row r="4" spans="1:30" x14ac:dyDescent="0.25">
      <c r="A4" s="29" t="s">
        <v>16</v>
      </c>
      <c r="B4" s="151">
        <v>67848672.599999979</v>
      </c>
      <c r="C4" s="152">
        <v>35.002536946842035</v>
      </c>
      <c r="D4" s="153">
        <v>980500.29999999981</v>
      </c>
      <c r="E4" s="153">
        <v>485535.61818181816</v>
      </c>
      <c r="F4" s="153">
        <f t="shared" ref="F4:F13" si="0">D4-E4</f>
        <v>494964.68181818165</v>
      </c>
      <c r="G4" s="158">
        <v>35644.000000000015</v>
      </c>
      <c r="H4" s="158">
        <v>20232.230000000003</v>
      </c>
      <c r="I4" s="158">
        <v>84832.900000000023</v>
      </c>
      <c r="J4" s="158">
        <f>SUM(G4:I4)</f>
        <v>140709.13000000003</v>
      </c>
      <c r="K4" s="164">
        <f t="shared" ref="K4:K14" si="1">Z4*Q4%/100</f>
        <v>50954.353122599983</v>
      </c>
      <c r="L4" s="768">
        <f t="shared" ref="L4:L13" si="2">F4-J4</f>
        <v>354255.55181818164</v>
      </c>
      <c r="P4" s="769" t="s">
        <v>16</v>
      </c>
      <c r="Q4" s="153">
        <v>67848672.599999979</v>
      </c>
      <c r="R4" s="152">
        <v>35.002536946842035</v>
      </c>
      <c r="S4" s="154">
        <f t="shared" ref="S4:S14" si="3">D4/B4*10000</f>
        <v>144.51281984255064</v>
      </c>
      <c r="T4" s="154">
        <f t="shared" ref="T4:T14" si="4">E4/B4*10000</f>
        <v>71.561550075456935</v>
      </c>
      <c r="U4" s="159">
        <f t="shared" ref="U4:U14" si="5">F4/B4*10000</f>
        <v>72.951269767093692</v>
      </c>
      <c r="V4" s="155">
        <f t="shared" ref="V4:V14" si="6">G4/B4*10000</f>
        <v>5.2534557617859754</v>
      </c>
      <c r="W4" s="155">
        <f t="shared" ref="W4:W14" si="7">H4/B4*10000</f>
        <v>2.9819640126607299</v>
      </c>
      <c r="X4" s="155">
        <f t="shared" ref="X4:X14" si="8">I4/B4*10000</f>
        <v>12.503251242677965</v>
      </c>
      <c r="Y4" s="156">
        <f t="shared" ref="Y4:Y14" si="9">SUM(V4:X4)</f>
        <v>20.73867101712467</v>
      </c>
      <c r="Z4" s="165">
        <v>7.51</v>
      </c>
      <c r="AA4" s="770">
        <f t="shared" ref="AA4:AA14" si="10">U4-Y4</f>
        <v>52.212598749969018</v>
      </c>
      <c r="AD4" s="163"/>
    </row>
    <row r="5" spans="1:30" x14ac:dyDescent="0.25">
      <c r="A5" s="29" t="s">
        <v>19</v>
      </c>
      <c r="B5" s="151">
        <v>2197241.5799999991</v>
      </c>
      <c r="C5" s="152">
        <v>33.875637198976278</v>
      </c>
      <c r="D5" s="153">
        <v>32463.918181818222</v>
      </c>
      <c r="E5" s="153">
        <v>11226.545454545458</v>
      </c>
      <c r="F5" s="153">
        <f t="shared" si="0"/>
        <v>21237.372727272763</v>
      </c>
      <c r="G5" s="158">
        <v>1232.0000000000002</v>
      </c>
      <c r="H5" s="158">
        <v>0</v>
      </c>
      <c r="I5" s="158">
        <v>0</v>
      </c>
      <c r="J5" s="158">
        <f t="shared" ref="J5:J14" si="11">SUM(G5:I5)</f>
        <v>1232.0000000000002</v>
      </c>
      <c r="K5" s="164">
        <f t="shared" si="1"/>
        <v>1650.1284265799993</v>
      </c>
      <c r="L5" s="768">
        <f t="shared" si="2"/>
        <v>20005.372727272763</v>
      </c>
      <c r="P5" s="769" t="s">
        <v>19</v>
      </c>
      <c r="Q5" s="153">
        <v>2197241.5799999991</v>
      </c>
      <c r="R5" s="152">
        <v>33.875637198976278</v>
      </c>
      <c r="S5" s="154">
        <f t="shared" si="3"/>
        <v>147.74851558115077</v>
      </c>
      <c r="T5" s="154">
        <f t="shared" si="4"/>
        <v>51.093814884685841</v>
      </c>
      <c r="U5" s="159">
        <f t="shared" si="5"/>
        <v>96.654700696464943</v>
      </c>
      <c r="V5" s="155">
        <f t="shared" si="6"/>
        <v>5.6070302474432543</v>
      </c>
      <c r="W5" s="155">
        <f t="shared" si="7"/>
        <v>0</v>
      </c>
      <c r="X5" s="155">
        <f t="shared" si="8"/>
        <v>0</v>
      </c>
      <c r="Y5" s="156">
        <f t="shared" si="9"/>
        <v>5.6070302474432543</v>
      </c>
      <c r="Z5" s="165">
        <v>7.51</v>
      </c>
      <c r="AA5" s="770">
        <f t="shared" si="10"/>
        <v>91.047670449021695</v>
      </c>
    </row>
    <row r="6" spans="1:30" x14ac:dyDescent="0.25">
      <c r="A6" s="29" t="s">
        <v>20</v>
      </c>
      <c r="B6" s="151">
        <v>49911580.539999992</v>
      </c>
      <c r="C6" s="152">
        <v>45.805317084631149</v>
      </c>
      <c r="D6" s="153">
        <v>724476.81818181858</v>
      </c>
      <c r="E6" s="153">
        <v>352105.10000000003</v>
      </c>
      <c r="F6" s="153">
        <f t="shared" si="0"/>
        <v>372371.71818181855</v>
      </c>
      <c r="G6" s="158">
        <v>28872.96344890109</v>
      </c>
      <c r="H6" s="158">
        <v>17893.449999999997</v>
      </c>
      <c r="I6" s="158">
        <v>63631.584349784091</v>
      </c>
      <c r="J6" s="158">
        <f t="shared" si="11"/>
        <v>110397.99779868519</v>
      </c>
      <c r="K6" s="164">
        <f t="shared" si="1"/>
        <v>37483.596985539989</v>
      </c>
      <c r="L6" s="768">
        <f t="shared" si="2"/>
        <v>261973.72038313336</v>
      </c>
      <c r="P6" s="769" t="s">
        <v>20</v>
      </c>
      <c r="Q6" s="153">
        <v>49911580.539999992</v>
      </c>
      <c r="R6" s="152">
        <v>45.805317084631149</v>
      </c>
      <c r="S6" s="154">
        <f t="shared" si="3"/>
        <v>145.15204895208848</v>
      </c>
      <c r="T6" s="154">
        <f t="shared" si="4"/>
        <v>70.545772381985984</v>
      </c>
      <c r="U6" s="159">
        <f t="shared" si="5"/>
        <v>74.606276570102494</v>
      </c>
      <c r="V6" s="155">
        <f t="shared" si="6"/>
        <v>5.7848225074262682</v>
      </c>
      <c r="W6" s="155">
        <f t="shared" si="7"/>
        <v>3.585029727852413</v>
      </c>
      <c r="X6" s="155">
        <f t="shared" si="8"/>
        <v>12.748861819510736</v>
      </c>
      <c r="Y6" s="156">
        <f t="shared" si="9"/>
        <v>22.118714054789418</v>
      </c>
      <c r="Z6" s="165">
        <v>7.51</v>
      </c>
      <c r="AA6" s="770">
        <f t="shared" si="10"/>
        <v>52.487562515313073</v>
      </c>
    </row>
    <row r="7" spans="1:30" x14ac:dyDescent="0.25">
      <c r="A7" s="29" t="s">
        <v>21</v>
      </c>
      <c r="B7" s="151">
        <v>6660419.1699999934</v>
      </c>
      <c r="C7" s="152">
        <v>25.897687901952676</v>
      </c>
      <c r="D7" s="153">
        <v>106553.45454545466</v>
      </c>
      <c r="E7" s="153">
        <v>49508.700000000033</v>
      </c>
      <c r="F7" s="153">
        <f t="shared" si="0"/>
        <v>57044.754545454627</v>
      </c>
      <c r="G7" s="158">
        <v>574.00000000000023</v>
      </c>
      <c r="H7" s="158">
        <v>0</v>
      </c>
      <c r="I7" s="158">
        <v>106.77999999999999</v>
      </c>
      <c r="J7" s="158">
        <f t="shared" si="11"/>
        <v>680.7800000000002</v>
      </c>
      <c r="K7" s="164">
        <f t="shared" si="1"/>
        <v>5001.9747966699952</v>
      </c>
      <c r="L7" s="768">
        <f t="shared" si="2"/>
        <v>56363.974545454628</v>
      </c>
      <c r="P7" s="769" t="s">
        <v>21</v>
      </c>
      <c r="Q7" s="153">
        <v>6660419.1699999934</v>
      </c>
      <c r="R7" s="152">
        <v>25.897687901952676</v>
      </c>
      <c r="S7" s="154">
        <f t="shared" si="3"/>
        <v>159.98010309230244</v>
      </c>
      <c r="T7" s="154">
        <f t="shared" si="4"/>
        <v>74.33270900275798</v>
      </c>
      <c r="U7" s="159">
        <f t="shared" si="5"/>
        <v>85.647394089544491</v>
      </c>
      <c r="V7" s="155">
        <f t="shared" si="6"/>
        <v>0.86180762103596065</v>
      </c>
      <c r="W7" s="155">
        <f t="shared" si="7"/>
        <v>0</v>
      </c>
      <c r="X7" s="157">
        <f t="shared" si="8"/>
        <v>0.16032024002477324</v>
      </c>
      <c r="Y7" s="156">
        <f t="shared" si="9"/>
        <v>1.0221278610607338</v>
      </c>
      <c r="Z7" s="165">
        <v>7.51</v>
      </c>
      <c r="AA7" s="770">
        <f t="shared" si="10"/>
        <v>84.625266228483753</v>
      </c>
    </row>
    <row r="8" spans="1:30" x14ac:dyDescent="0.25">
      <c r="A8" s="29" t="s">
        <v>22</v>
      </c>
      <c r="B8" s="151">
        <v>431420.33999999973</v>
      </c>
      <c r="C8" s="152">
        <v>38.7132394113424</v>
      </c>
      <c r="D8" s="153">
        <v>5806.7090909090894</v>
      </c>
      <c r="E8" s="153">
        <v>2444.3454545454565</v>
      </c>
      <c r="F8" s="153">
        <f t="shared" si="0"/>
        <v>3362.3636363636328</v>
      </c>
      <c r="G8" s="158">
        <v>425.00000000000011</v>
      </c>
      <c r="H8" s="158">
        <v>0</v>
      </c>
      <c r="I8" s="158">
        <v>0</v>
      </c>
      <c r="J8" s="158">
        <f t="shared" si="11"/>
        <v>425.00000000000011</v>
      </c>
      <c r="K8" s="164">
        <f t="shared" si="1"/>
        <v>323.9966753399998</v>
      </c>
      <c r="L8" s="768">
        <f t="shared" si="2"/>
        <v>2937.3636363636328</v>
      </c>
      <c r="P8" s="769" t="s">
        <v>22</v>
      </c>
      <c r="Q8" s="153">
        <v>431420.33999999973</v>
      </c>
      <c r="R8" s="152">
        <v>38.7132394113424</v>
      </c>
      <c r="S8" s="154">
        <f t="shared" si="3"/>
        <v>134.59516282679422</v>
      </c>
      <c r="T8" s="154">
        <f t="shared" si="4"/>
        <v>56.658094853512424</v>
      </c>
      <c r="U8" s="159">
        <f t="shared" si="5"/>
        <v>77.937067973281813</v>
      </c>
      <c r="V8" s="155">
        <f t="shared" si="6"/>
        <v>9.8511813328041136</v>
      </c>
      <c r="W8" s="155">
        <f t="shared" si="7"/>
        <v>0</v>
      </c>
      <c r="X8" s="157">
        <f t="shared" si="8"/>
        <v>0</v>
      </c>
      <c r="Y8" s="156">
        <f t="shared" si="9"/>
        <v>9.8511813328041136</v>
      </c>
      <c r="Z8" s="165">
        <v>7.51</v>
      </c>
      <c r="AA8" s="770">
        <f t="shared" si="10"/>
        <v>68.085886640477696</v>
      </c>
    </row>
    <row r="9" spans="1:30" x14ac:dyDescent="0.25">
      <c r="A9" s="29" t="s">
        <v>23</v>
      </c>
      <c r="B9" s="151">
        <v>6301210.0699999938</v>
      </c>
      <c r="C9" s="152">
        <v>33.993893441517422</v>
      </c>
      <c r="D9" s="153">
        <v>89996.554545454535</v>
      </c>
      <c r="E9" s="153">
        <v>36097.290909090923</v>
      </c>
      <c r="F9" s="153">
        <f t="shared" si="0"/>
        <v>53899.263636363612</v>
      </c>
      <c r="G9" s="158">
        <v>-1900.0000000000005</v>
      </c>
      <c r="H9" s="158">
        <v>1123.0100000000002</v>
      </c>
      <c r="I9" s="158">
        <v>0</v>
      </c>
      <c r="J9" s="158">
        <f t="shared" si="11"/>
        <v>-776.99000000000024</v>
      </c>
      <c r="K9" s="164">
        <f t="shared" si="1"/>
        <v>4732.2087625699951</v>
      </c>
      <c r="L9" s="768">
        <f t="shared" si="2"/>
        <v>54676.25363636361</v>
      </c>
      <c r="P9" s="769" t="s">
        <v>23</v>
      </c>
      <c r="Q9" s="153">
        <v>6301210.0699999938</v>
      </c>
      <c r="R9" s="152">
        <v>33.993893441517422</v>
      </c>
      <c r="S9" s="154">
        <f t="shared" si="3"/>
        <v>142.82424097226556</v>
      </c>
      <c r="T9" s="154">
        <f t="shared" si="4"/>
        <v>57.286283917036528</v>
      </c>
      <c r="U9" s="159">
        <f t="shared" si="5"/>
        <v>85.537957055229015</v>
      </c>
      <c r="V9" s="155">
        <f t="shared" si="6"/>
        <v>-3.0152938545024615</v>
      </c>
      <c r="W9" s="155">
        <f t="shared" si="7"/>
        <v>1.7822132376551625</v>
      </c>
      <c r="X9" s="157">
        <f t="shared" si="8"/>
        <v>0</v>
      </c>
      <c r="Y9" s="156">
        <f t="shared" si="9"/>
        <v>-1.233080616847299</v>
      </c>
      <c r="Z9" s="165">
        <v>7.51</v>
      </c>
      <c r="AA9" s="770">
        <f t="shared" si="10"/>
        <v>86.771037672076318</v>
      </c>
    </row>
    <row r="10" spans="1:30" x14ac:dyDescent="0.25">
      <c r="A10" s="29" t="s">
        <v>24</v>
      </c>
      <c r="B10" s="151">
        <v>2086356.2500000016</v>
      </c>
      <c r="C10" s="152">
        <v>36.187536857806947</v>
      </c>
      <c r="D10" s="153">
        <v>30797.736363636377</v>
      </c>
      <c r="E10" s="153">
        <v>13348.163636363632</v>
      </c>
      <c r="F10" s="153">
        <f t="shared" si="0"/>
        <v>17449.572727272745</v>
      </c>
      <c r="G10" s="158">
        <v>2374</v>
      </c>
      <c r="H10" s="158">
        <v>0</v>
      </c>
      <c r="I10" s="158">
        <v>0</v>
      </c>
      <c r="J10" s="158">
        <f t="shared" si="11"/>
        <v>2374</v>
      </c>
      <c r="K10" s="164">
        <f t="shared" si="1"/>
        <v>1566.8535437500011</v>
      </c>
      <c r="L10" s="768">
        <f t="shared" si="2"/>
        <v>15075.572727272745</v>
      </c>
      <c r="P10" s="769" t="s">
        <v>24</v>
      </c>
      <c r="Q10" s="153">
        <v>2086356.2500000016</v>
      </c>
      <c r="R10" s="152">
        <v>36.187536857806947</v>
      </c>
      <c r="S10" s="154">
        <f t="shared" si="3"/>
        <v>147.6149452598824</v>
      </c>
      <c r="T10" s="154">
        <f t="shared" si="4"/>
        <v>63.978352864538941</v>
      </c>
      <c r="U10" s="159">
        <f t="shared" si="5"/>
        <v>83.636592395343456</v>
      </c>
      <c r="V10" s="155">
        <f t="shared" si="6"/>
        <v>11.378689521504288</v>
      </c>
      <c r="W10" s="155">
        <f t="shared" si="7"/>
        <v>0</v>
      </c>
      <c r="X10" s="157">
        <f t="shared" si="8"/>
        <v>0</v>
      </c>
      <c r="Y10" s="156">
        <f t="shared" si="9"/>
        <v>11.378689521504288</v>
      </c>
      <c r="Z10" s="165">
        <v>7.51</v>
      </c>
      <c r="AA10" s="770">
        <f t="shared" si="10"/>
        <v>72.257902873839171</v>
      </c>
    </row>
    <row r="11" spans="1:30" x14ac:dyDescent="0.25">
      <c r="A11" s="29" t="s">
        <v>26</v>
      </c>
      <c r="B11" s="151">
        <v>387891.4200000001</v>
      </c>
      <c r="C11" s="152">
        <v>31.211089475378188</v>
      </c>
      <c r="D11" s="153">
        <v>5719.3818181818169</v>
      </c>
      <c r="E11" s="153">
        <v>1924.3636363636367</v>
      </c>
      <c r="F11" s="153">
        <f t="shared" si="0"/>
        <v>3795.01818181818</v>
      </c>
      <c r="G11" s="158">
        <v>56.000000000000021</v>
      </c>
      <c r="H11" s="158">
        <v>0</v>
      </c>
      <c r="I11" s="158">
        <v>68.500000000000014</v>
      </c>
      <c r="J11" s="158">
        <f t="shared" si="11"/>
        <v>124.50000000000003</v>
      </c>
      <c r="K11" s="164">
        <f t="shared" si="1"/>
        <v>291.30645642000007</v>
      </c>
      <c r="L11" s="768">
        <f t="shared" si="2"/>
        <v>3670.51818181818</v>
      </c>
      <c r="P11" s="769" t="s">
        <v>26</v>
      </c>
      <c r="Q11" s="153">
        <v>387891.4200000001</v>
      </c>
      <c r="R11" s="152">
        <v>31.211089475378188</v>
      </c>
      <c r="S11" s="154">
        <f t="shared" si="3"/>
        <v>147.4480105329944</v>
      </c>
      <c r="T11" s="154">
        <f t="shared" si="4"/>
        <v>49.610884313028535</v>
      </c>
      <c r="U11" s="159">
        <f t="shared" si="5"/>
        <v>97.837126219965867</v>
      </c>
      <c r="V11" s="155">
        <f t="shared" si="6"/>
        <v>1.4437029826542698</v>
      </c>
      <c r="W11" s="155">
        <f t="shared" si="7"/>
        <v>0</v>
      </c>
      <c r="X11" s="157">
        <f t="shared" si="8"/>
        <v>1.765958112711026</v>
      </c>
      <c r="Y11" s="156">
        <f t="shared" si="9"/>
        <v>3.2096610953652958</v>
      </c>
      <c r="Z11" s="165">
        <v>7.51</v>
      </c>
      <c r="AA11" s="770">
        <f t="shared" si="10"/>
        <v>94.627465124600576</v>
      </c>
    </row>
    <row r="12" spans="1:30" x14ac:dyDescent="0.25">
      <c r="A12" s="29" t="s">
        <v>25</v>
      </c>
      <c r="B12" s="151">
        <v>8489616.4800000042</v>
      </c>
      <c r="C12" s="152">
        <v>20.15162224326885</v>
      </c>
      <c r="D12" s="153">
        <v>124984.75454545459</v>
      </c>
      <c r="E12" s="153">
        <v>64904.145454545396</v>
      </c>
      <c r="F12" s="153">
        <f t="shared" si="0"/>
        <v>60080.609090909194</v>
      </c>
      <c r="G12" s="158">
        <v>6688.0000000000082</v>
      </c>
      <c r="H12" s="158">
        <v>6272.5200000000032</v>
      </c>
      <c r="I12" s="158">
        <v>8895.3599999999951</v>
      </c>
      <c r="J12" s="158">
        <f t="shared" si="11"/>
        <v>21855.880000000005</v>
      </c>
      <c r="K12" s="164">
        <f t="shared" si="1"/>
        <v>6375.7019764800034</v>
      </c>
      <c r="L12" s="768">
        <f t="shared" si="2"/>
        <v>38224.72909090919</v>
      </c>
      <c r="P12" s="769" t="s">
        <v>25</v>
      </c>
      <c r="Q12" s="153">
        <v>8489616.4800000042</v>
      </c>
      <c r="R12" s="152">
        <v>20.15162224326885</v>
      </c>
      <c r="S12" s="154">
        <f t="shared" si="3"/>
        <v>147.22073116011305</v>
      </c>
      <c r="T12" s="154">
        <f t="shared" si="4"/>
        <v>76.451210260731784</v>
      </c>
      <c r="U12" s="159">
        <f t="shared" si="5"/>
        <v>70.769520899381277</v>
      </c>
      <c r="V12" s="155">
        <f t="shared" si="6"/>
        <v>7.8778588122982027</v>
      </c>
      <c r="W12" s="155">
        <f t="shared" si="7"/>
        <v>7.3884609684983085</v>
      </c>
      <c r="X12" s="155">
        <f t="shared" si="8"/>
        <v>10.477929151400241</v>
      </c>
      <c r="Y12" s="156">
        <f t="shared" si="9"/>
        <v>25.744248932196754</v>
      </c>
      <c r="Z12" s="165">
        <v>7.51</v>
      </c>
      <c r="AA12" s="770">
        <f t="shared" si="10"/>
        <v>45.025271967184523</v>
      </c>
    </row>
    <row r="13" spans="1:30" x14ac:dyDescent="0.25">
      <c r="A13" s="145" t="s">
        <v>27</v>
      </c>
      <c r="B13" s="153">
        <f>B24</f>
        <v>1300733.5199999998</v>
      </c>
      <c r="C13" s="152">
        <f t="shared" ref="C13:I13" si="12">C24</f>
        <v>15.28</v>
      </c>
      <c r="D13" s="153">
        <f t="shared" si="12"/>
        <v>12019.054545454544</v>
      </c>
      <c r="E13" s="153">
        <f t="shared" si="12"/>
        <v>8579.9090909090937</v>
      </c>
      <c r="F13" s="153">
        <f t="shared" si="0"/>
        <v>3439.1454545454508</v>
      </c>
      <c r="G13" s="158">
        <f t="shared" si="12"/>
        <v>0</v>
      </c>
      <c r="H13" s="158">
        <f t="shared" si="12"/>
        <v>0</v>
      </c>
      <c r="I13" s="158">
        <f t="shared" si="12"/>
        <v>0</v>
      </c>
      <c r="J13" s="158">
        <f t="shared" si="11"/>
        <v>0</v>
      </c>
      <c r="K13" s="164">
        <f t="shared" si="1"/>
        <v>976.85087351999971</v>
      </c>
      <c r="L13" s="768">
        <f t="shared" si="2"/>
        <v>3439.1454545454508</v>
      </c>
      <c r="P13" s="29" t="s">
        <v>27</v>
      </c>
      <c r="Q13" s="174">
        <f>Q24</f>
        <v>1300733.5199999998</v>
      </c>
      <c r="R13" s="152">
        <f t="shared" ref="R13" si="13">R24</f>
        <v>15.28</v>
      </c>
      <c r="S13" s="154">
        <f t="shared" si="3"/>
        <v>92.402128188828001</v>
      </c>
      <c r="T13" s="154">
        <f t="shared" si="4"/>
        <v>65.962081848318135</v>
      </c>
      <c r="U13" s="159">
        <f t="shared" si="5"/>
        <v>26.440046340509863</v>
      </c>
      <c r="V13" s="155">
        <f t="shared" si="6"/>
        <v>0</v>
      </c>
      <c r="W13" s="155">
        <f t="shared" si="7"/>
        <v>0</v>
      </c>
      <c r="X13" s="155">
        <f t="shared" si="8"/>
        <v>0</v>
      </c>
      <c r="Y13" s="156">
        <f t="shared" si="9"/>
        <v>0</v>
      </c>
      <c r="Z13" s="165">
        <v>7.51</v>
      </c>
      <c r="AA13" s="770">
        <f t="shared" si="10"/>
        <v>26.440046340509863</v>
      </c>
    </row>
    <row r="14" spans="1:30" ht="16.5" customHeight="1" x14ac:dyDescent="0.25">
      <c r="A14" s="771" t="s">
        <v>10</v>
      </c>
      <c r="B14" s="166">
        <f>SUM(B4:B13)</f>
        <v>145615141.96999994</v>
      </c>
      <c r="C14" s="167">
        <v>35.32</v>
      </c>
      <c r="D14" s="168">
        <f t="shared" ref="D14:I14" si="14">SUM(D4:D13)</f>
        <v>2113318.6818181821</v>
      </c>
      <c r="E14" s="168">
        <f t="shared" si="14"/>
        <v>1025674.1818181818</v>
      </c>
      <c r="F14" s="168">
        <f t="shared" si="14"/>
        <v>1087644.5000000005</v>
      </c>
      <c r="G14" s="169">
        <f t="shared" si="14"/>
        <v>73965.963448901122</v>
      </c>
      <c r="H14" s="169">
        <f t="shared" si="14"/>
        <v>45521.210000000006</v>
      </c>
      <c r="I14" s="169">
        <f t="shared" si="14"/>
        <v>157535.12434978411</v>
      </c>
      <c r="J14" s="169">
        <f t="shared" si="11"/>
        <v>277022.29779868526</v>
      </c>
      <c r="K14" s="772">
        <f t="shared" si="1"/>
        <v>109356.97161946996</v>
      </c>
      <c r="L14" s="169">
        <f>SUM(L4:L13)</f>
        <v>810622.20220131532</v>
      </c>
      <c r="P14" s="773" t="s">
        <v>10</v>
      </c>
      <c r="Q14" s="168">
        <f>SUM(Q4:Q13)</f>
        <v>145615141.96999994</v>
      </c>
      <c r="R14" s="167">
        <v>35.32</v>
      </c>
      <c r="S14" s="175">
        <f t="shared" si="3"/>
        <v>145.13042072599663</v>
      </c>
      <c r="T14" s="175">
        <f t="shared" si="4"/>
        <v>70.437330070350399</v>
      </c>
      <c r="U14" s="774">
        <f t="shared" si="5"/>
        <v>74.693090655646259</v>
      </c>
      <c r="V14" s="172">
        <f t="shared" si="6"/>
        <v>5.0795516488346948</v>
      </c>
      <c r="W14" s="172">
        <f t="shared" si="7"/>
        <v>3.1261316223129061</v>
      </c>
      <c r="X14" s="172">
        <f t="shared" si="8"/>
        <v>10.818594977041601</v>
      </c>
      <c r="Y14" s="775">
        <f t="shared" si="9"/>
        <v>19.024278248189201</v>
      </c>
      <c r="Z14" s="173">
        <v>7.51</v>
      </c>
      <c r="AA14" s="172">
        <f t="shared" si="10"/>
        <v>55.668812407457054</v>
      </c>
    </row>
    <row r="17" spans="1:29" hidden="1" x14ac:dyDescent="0.25">
      <c r="A17" t="s">
        <v>28</v>
      </c>
      <c r="B17" s="69">
        <v>702.21000000000015</v>
      </c>
      <c r="C17" s="148">
        <v>43.888125000000009</v>
      </c>
      <c r="D17" s="69">
        <v>15.272727272727275</v>
      </c>
      <c r="E17" s="69">
        <v>11.518181818181819</v>
      </c>
      <c r="F17" s="69">
        <v>3.7545454545454557</v>
      </c>
      <c r="G17" s="69"/>
      <c r="H17" s="69"/>
      <c r="I17" s="69"/>
      <c r="J17" s="69"/>
      <c r="L17" s="69">
        <v>3.7545454545454557</v>
      </c>
      <c r="P17" t="s">
        <v>28</v>
      </c>
      <c r="Q17" s="69">
        <v>702.21000000000015</v>
      </c>
      <c r="R17" s="148">
        <v>43.888125000000009</v>
      </c>
      <c r="S17" s="69">
        <v>15.272727272727275</v>
      </c>
      <c r="T17" s="69">
        <v>11.518181818181819</v>
      </c>
      <c r="U17" s="69">
        <v>3.7545454545454557</v>
      </c>
      <c r="V17" s="69"/>
      <c r="W17" s="69"/>
      <c r="X17" s="69"/>
      <c r="Y17" s="69"/>
      <c r="AA17" s="69">
        <v>3.7545454545454557</v>
      </c>
    </row>
    <row r="18" spans="1:29" hidden="1" x14ac:dyDescent="0.25">
      <c r="A18" t="s">
        <v>29</v>
      </c>
      <c r="B18" s="69">
        <v>474683.3499999998</v>
      </c>
      <c r="C18" s="148">
        <v>18.685378286883946</v>
      </c>
      <c r="D18" s="69">
        <v>4196.5272727272722</v>
      </c>
      <c r="E18" s="69">
        <v>3370.6181818181835</v>
      </c>
      <c r="F18" s="69">
        <v>825.90909090908872</v>
      </c>
      <c r="G18" s="69"/>
      <c r="H18" s="69"/>
      <c r="I18" s="69"/>
      <c r="J18" s="69"/>
      <c r="L18" s="69">
        <v>825.90909090908872</v>
      </c>
      <c r="P18" t="s">
        <v>29</v>
      </c>
      <c r="Q18" s="69">
        <v>474683.3499999998</v>
      </c>
      <c r="R18" s="148">
        <v>18.685378286883946</v>
      </c>
      <c r="S18" s="69">
        <v>4196.5272727272722</v>
      </c>
      <c r="T18" s="69">
        <v>3370.6181818181835</v>
      </c>
      <c r="U18" s="69">
        <v>825.90909090908872</v>
      </c>
      <c r="V18" s="69"/>
      <c r="W18" s="69"/>
      <c r="X18" s="69"/>
      <c r="Y18" s="69"/>
      <c r="AA18" s="69">
        <v>825.90909090908872</v>
      </c>
    </row>
    <row r="19" spans="1:29" hidden="1" x14ac:dyDescent="0.25">
      <c r="A19" t="s">
        <v>30</v>
      </c>
      <c r="B19" s="69">
        <v>-5.29</v>
      </c>
      <c r="C19" s="148">
        <v>-5.29</v>
      </c>
      <c r="D19" s="69">
        <v>-7.2727272727272724E-2</v>
      </c>
      <c r="E19" s="69">
        <v>2.7272727272727268E-2</v>
      </c>
      <c r="F19" s="69">
        <v>-9.9999999999999992E-2</v>
      </c>
      <c r="G19" s="69"/>
      <c r="H19" s="69"/>
      <c r="I19" s="69"/>
      <c r="J19" s="69"/>
      <c r="L19" s="69">
        <v>-9.9999999999999992E-2</v>
      </c>
      <c r="P19" t="s">
        <v>30</v>
      </c>
      <c r="Q19" s="69">
        <v>-5.29</v>
      </c>
      <c r="R19" s="148">
        <v>-5.29</v>
      </c>
      <c r="S19" s="69">
        <v>-7.2727272727272724E-2</v>
      </c>
      <c r="T19" s="69">
        <v>2.7272727272727268E-2</v>
      </c>
      <c r="U19" s="69">
        <v>-9.9999999999999992E-2</v>
      </c>
      <c r="V19" s="69"/>
      <c r="W19" s="69"/>
      <c r="X19" s="69"/>
      <c r="Y19" s="69"/>
      <c r="AA19" s="69">
        <v>-9.9999999999999992E-2</v>
      </c>
    </row>
    <row r="20" spans="1:29" hidden="1" x14ac:dyDescent="0.25">
      <c r="A20" t="s">
        <v>31</v>
      </c>
      <c r="B20" s="69">
        <v>88245.76999999999</v>
      </c>
      <c r="C20" s="148">
        <v>79.500693693693691</v>
      </c>
      <c r="D20" s="69">
        <v>2001.4272727272723</v>
      </c>
      <c r="E20" s="69">
        <v>1708.5272727272722</v>
      </c>
      <c r="F20" s="69">
        <v>292.90000000000009</v>
      </c>
      <c r="G20" s="69"/>
      <c r="H20" s="69"/>
      <c r="I20" s="69"/>
      <c r="J20" s="69"/>
      <c r="L20" s="69">
        <v>292.90000000000009</v>
      </c>
      <c r="P20" t="s">
        <v>31</v>
      </c>
      <c r="Q20" s="69">
        <v>88245.76999999999</v>
      </c>
      <c r="R20" s="148">
        <v>79.500693693693691</v>
      </c>
      <c r="S20" s="69">
        <v>2001.4272727272723</v>
      </c>
      <c r="T20" s="69">
        <v>1708.5272727272722</v>
      </c>
      <c r="U20" s="69">
        <v>292.90000000000009</v>
      </c>
      <c r="V20" s="69"/>
      <c r="W20" s="69"/>
      <c r="X20" s="69"/>
      <c r="Y20" s="69"/>
      <c r="AA20" s="69">
        <v>292.90000000000009</v>
      </c>
    </row>
    <row r="21" spans="1:29" hidden="1" x14ac:dyDescent="0.25">
      <c r="A21" t="s">
        <v>32</v>
      </c>
      <c r="B21" s="69">
        <v>385179.38</v>
      </c>
      <c r="C21" s="148">
        <v>15.163945513956143</v>
      </c>
      <c r="D21" s="69">
        <v>3806.7545454545448</v>
      </c>
      <c r="E21" s="69">
        <v>2583.9818181818191</v>
      </c>
      <c r="F21" s="69">
        <v>1222.7727272727257</v>
      </c>
      <c r="G21" s="69"/>
      <c r="H21" s="69"/>
      <c r="I21" s="69"/>
      <c r="J21" s="69"/>
      <c r="L21" s="69">
        <v>1222.7727272727257</v>
      </c>
      <c r="P21" t="s">
        <v>32</v>
      </c>
      <c r="Q21" s="69">
        <v>385179.38</v>
      </c>
      <c r="R21" s="148">
        <v>15.163945513956143</v>
      </c>
      <c r="S21" s="69">
        <v>3806.7545454545448</v>
      </c>
      <c r="T21" s="69">
        <v>2583.9818181818191</v>
      </c>
      <c r="U21" s="69">
        <v>1222.7727272727257</v>
      </c>
      <c r="V21" s="69"/>
      <c r="W21" s="69"/>
      <c r="X21" s="69"/>
      <c r="Y21" s="69"/>
      <c r="AA21" s="69">
        <v>1222.7727272727257</v>
      </c>
    </row>
    <row r="22" spans="1:29" hidden="1" x14ac:dyDescent="0.25">
      <c r="A22" t="s">
        <v>33</v>
      </c>
      <c r="B22" s="69">
        <v>314119.35000000003</v>
      </c>
      <c r="C22" s="148">
        <v>10.68324150596878</v>
      </c>
      <c r="D22" s="69">
        <v>1792.0999999999997</v>
      </c>
      <c r="E22" s="69">
        <v>801.90000000000077</v>
      </c>
      <c r="F22" s="69">
        <v>990.19999999999891</v>
      </c>
      <c r="G22" s="69"/>
      <c r="H22" s="69"/>
      <c r="I22" s="69"/>
      <c r="J22" s="69"/>
      <c r="L22" s="69">
        <v>990.19999999999891</v>
      </c>
      <c r="P22" t="s">
        <v>33</v>
      </c>
      <c r="Q22" s="69">
        <v>314119.35000000003</v>
      </c>
      <c r="R22" s="148">
        <v>10.68324150596878</v>
      </c>
      <c r="S22" s="69">
        <v>1792.0999999999997</v>
      </c>
      <c r="T22" s="69">
        <v>801.90000000000077</v>
      </c>
      <c r="U22" s="69">
        <v>990.19999999999891</v>
      </c>
      <c r="V22" s="69"/>
      <c r="W22" s="69"/>
      <c r="X22" s="69"/>
      <c r="Y22" s="69"/>
      <c r="AA22" s="69">
        <v>990.19999999999891</v>
      </c>
    </row>
    <row r="23" spans="1:29" hidden="1" x14ac:dyDescent="0.25">
      <c r="A23" t="s">
        <v>34</v>
      </c>
      <c r="B23" s="69">
        <v>37808.749999999993</v>
      </c>
      <c r="C23" s="148">
        <v>9.9785563473211916</v>
      </c>
      <c r="D23" s="69">
        <v>207.04545454545456</v>
      </c>
      <c r="E23" s="69">
        <v>103.3363636363637</v>
      </c>
      <c r="F23" s="69">
        <v>103.70909090909086</v>
      </c>
      <c r="G23" s="69"/>
      <c r="H23" s="69"/>
      <c r="I23" s="69"/>
      <c r="J23" s="69"/>
      <c r="L23" s="69">
        <v>103.70909090909086</v>
      </c>
      <c r="P23" t="s">
        <v>34</v>
      </c>
      <c r="Q23" s="69">
        <v>37808.749999999993</v>
      </c>
      <c r="R23" s="148">
        <v>9.9785563473211916</v>
      </c>
      <c r="S23" s="69">
        <v>207.04545454545456</v>
      </c>
      <c r="T23" s="69">
        <v>103.3363636363637</v>
      </c>
      <c r="U23" s="69">
        <v>103.70909090909086</v>
      </c>
      <c r="V23" s="69"/>
      <c r="W23" s="69"/>
      <c r="X23" s="69"/>
      <c r="Y23" s="69"/>
      <c r="AA23" s="69">
        <v>103.70909090909086</v>
      </c>
    </row>
    <row r="24" spans="1:29" hidden="1" x14ac:dyDescent="0.25">
      <c r="B24" s="71">
        <f>SUM(B17:B23)</f>
        <v>1300733.5199999998</v>
      </c>
      <c r="C24" s="149">
        <v>15.28</v>
      </c>
      <c r="D24" s="71">
        <f t="shared" ref="D24:L24" si="15">SUM(D17:D23)</f>
        <v>12019.054545454544</v>
      </c>
      <c r="E24" s="71">
        <f t="shared" si="15"/>
        <v>8579.9090909090937</v>
      </c>
      <c r="F24" s="71">
        <f t="shared" si="15"/>
        <v>3439.1454545454494</v>
      </c>
      <c r="G24" s="71">
        <f t="shared" si="15"/>
        <v>0</v>
      </c>
      <c r="H24" s="71">
        <f t="shared" si="15"/>
        <v>0</v>
      </c>
      <c r="I24" s="71">
        <f t="shared" si="15"/>
        <v>0</v>
      </c>
      <c r="J24" s="71"/>
      <c r="L24" s="71">
        <f t="shared" si="15"/>
        <v>3439.1454545454494</v>
      </c>
      <c r="Q24" s="71">
        <f>SUM(Q17:Q23)</f>
        <v>1300733.5199999998</v>
      </c>
      <c r="R24" s="149">
        <v>15.28</v>
      </c>
      <c r="S24" s="71">
        <f t="shared" ref="S24" si="16">SUM(S17:S23)</f>
        <v>12019.054545454544</v>
      </c>
      <c r="T24" s="71">
        <f t="shared" ref="T24" si="17">SUM(T17:T23)</f>
        <v>8579.9090909090937</v>
      </c>
      <c r="U24" s="71">
        <f>SUM(U17:U23)</f>
        <v>3439.1454545454494</v>
      </c>
      <c r="V24" s="71">
        <f t="shared" ref="V24" si="18">SUM(V17:V23)</f>
        <v>0</v>
      </c>
      <c r="W24" s="71">
        <f t="shared" ref="W24" si="19">SUM(W17:W23)</f>
        <v>0</v>
      </c>
      <c r="X24" s="71">
        <f t="shared" ref="X24" si="20">SUM(X17:X23)</f>
        <v>0</v>
      </c>
      <c r="Y24" s="71"/>
      <c r="AA24" s="71">
        <f t="shared" ref="AA24" si="21">SUM(AA17:AA23)</f>
        <v>3439.1454545454494</v>
      </c>
    </row>
    <row r="29" spans="1:29" ht="29.25" customHeight="1" x14ac:dyDescent="0.25">
      <c r="A29" s="763" t="s">
        <v>12</v>
      </c>
      <c r="B29" s="150" t="s">
        <v>84</v>
      </c>
      <c r="C29" s="150" t="s">
        <v>85</v>
      </c>
      <c r="D29" s="150" t="s">
        <v>86</v>
      </c>
      <c r="E29" s="150" t="s">
        <v>87</v>
      </c>
      <c r="F29" s="150" t="s">
        <v>88</v>
      </c>
      <c r="G29" s="764" t="s">
        <v>89</v>
      </c>
      <c r="H29" s="764" t="s">
        <v>90</v>
      </c>
      <c r="I29" s="764" t="s">
        <v>91</v>
      </c>
      <c r="J29" s="764" t="s">
        <v>92</v>
      </c>
      <c r="K29" s="765" t="s">
        <v>93</v>
      </c>
      <c r="L29" s="764" t="s">
        <v>94</v>
      </c>
      <c r="P29" s="162" t="s">
        <v>12</v>
      </c>
      <c r="Q29" s="150" t="s">
        <v>84</v>
      </c>
      <c r="R29" s="150" t="s">
        <v>85</v>
      </c>
      <c r="S29" s="150" t="s">
        <v>95</v>
      </c>
      <c r="T29" s="150" t="s">
        <v>96</v>
      </c>
      <c r="U29" s="160" t="s">
        <v>97</v>
      </c>
      <c r="V29" s="767" t="s">
        <v>89</v>
      </c>
      <c r="W29" s="767" t="s">
        <v>90</v>
      </c>
      <c r="X29" s="767" t="s">
        <v>91</v>
      </c>
      <c r="Y29" s="767" t="s">
        <v>92</v>
      </c>
      <c r="Z29" s="765" t="s">
        <v>98</v>
      </c>
      <c r="AA29" s="767" t="s">
        <v>94</v>
      </c>
    </row>
    <row r="30" spans="1:29" x14ac:dyDescent="0.25">
      <c r="A30" s="29" t="s">
        <v>16</v>
      </c>
      <c r="B30" s="151">
        <f t="shared" ref="B30:B39" si="22">B4*$D$1</f>
        <v>73502728.649999976</v>
      </c>
      <c r="C30" s="152">
        <v>35.002536946842035</v>
      </c>
      <c r="D30" s="153">
        <f t="shared" ref="D30:D39" si="23">(D4/B4)*B30</f>
        <v>1062208.6583333332</v>
      </c>
      <c r="E30" s="153">
        <f t="shared" ref="E30:E39" si="24">(E4/B4)*B30</f>
        <v>525996.91969696968</v>
      </c>
      <c r="F30" s="153">
        <f t="shared" ref="F30:F39" si="25">D30-E30</f>
        <v>536211.73863636353</v>
      </c>
      <c r="G30" s="158">
        <v>35644.000000000015</v>
      </c>
      <c r="H30" s="158">
        <v>20232.230000000003</v>
      </c>
      <c r="I30" s="158">
        <v>84832.900000000023</v>
      </c>
      <c r="J30" s="158">
        <f t="shared" ref="J30:J40" si="26">SUM(G30:I30)</f>
        <v>140709.13000000003</v>
      </c>
      <c r="K30" s="164">
        <v>55000</v>
      </c>
      <c r="L30" s="776">
        <f>F30-J30-K30</f>
        <v>340502.60863636353</v>
      </c>
      <c r="P30" s="161" t="s">
        <v>16</v>
      </c>
      <c r="Q30" s="151">
        <f t="shared" ref="Q30:Q39" si="27">B30</f>
        <v>73502728.649999976</v>
      </c>
      <c r="R30" s="152">
        <f t="shared" ref="R30:R39" si="28">C30</f>
        <v>35.002536946842035</v>
      </c>
      <c r="S30" s="154">
        <f t="shared" ref="S30:S40" si="29">(D30/B30)*10000</f>
        <v>144.51281984255064</v>
      </c>
      <c r="T30" s="154">
        <f t="shared" ref="T30:T40" si="30">E30/B30*10000</f>
        <v>71.561550075456935</v>
      </c>
      <c r="U30" s="154">
        <f t="shared" ref="U30:U40" si="31">F30/B30*10000</f>
        <v>72.951269767093706</v>
      </c>
      <c r="V30" s="155">
        <f t="shared" ref="V30:V40" si="32">G30/B30*10000</f>
        <v>4.8493437801101313</v>
      </c>
      <c r="W30" s="155">
        <f t="shared" ref="W30:W40" si="33">H30/B30*10000</f>
        <v>2.752582165532981</v>
      </c>
      <c r="X30" s="155">
        <f t="shared" ref="X30:X40" si="34">I30/B30*10000</f>
        <v>11.541462685548893</v>
      </c>
      <c r="Y30" s="155">
        <f t="shared" ref="Y30:Y40" si="35">SUM(V30:X30)</f>
        <v>19.143388631192003</v>
      </c>
      <c r="Z30" s="176">
        <f>K30/B30*10000</f>
        <v>7.4827154052872045</v>
      </c>
      <c r="AA30" s="777">
        <f>U30-Y30-Z30</f>
        <v>46.325165730614501</v>
      </c>
      <c r="AC30" s="163"/>
    </row>
    <row r="31" spans="1:29" x14ac:dyDescent="0.25">
      <c r="A31" s="29" t="s">
        <v>19</v>
      </c>
      <c r="B31" s="151">
        <f t="shared" si="22"/>
        <v>2380345.044999999</v>
      </c>
      <c r="C31" s="152">
        <v>33.875637198976278</v>
      </c>
      <c r="D31" s="153">
        <f t="shared" si="23"/>
        <v>35169.244696969741</v>
      </c>
      <c r="E31" s="153">
        <f t="shared" si="24"/>
        <v>12162.090909090914</v>
      </c>
      <c r="F31" s="153">
        <f t="shared" si="25"/>
        <v>23007.153787878829</v>
      </c>
      <c r="G31" s="158">
        <v>1232.0000000000002</v>
      </c>
      <c r="H31" s="158">
        <v>0</v>
      </c>
      <c r="I31" s="158">
        <v>0</v>
      </c>
      <c r="J31" s="158">
        <f t="shared" si="26"/>
        <v>1232.0000000000002</v>
      </c>
      <c r="K31" s="164">
        <v>0</v>
      </c>
      <c r="L31" s="776">
        <f t="shared" ref="L31:L39" si="36">F31-J31-K31</f>
        <v>21775.153787878829</v>
      </c>
      <c r="P31" s="161" t="s">
        <v>19</v>
      </c>
      <c r="Q31" s="151">
        <f t="shared" si="27"/>
        <v>2380345.044999999</v>
      </c>
      <c r="R31" s="152">
        <f t="shared" si="28"/>
        <v>33.875637198976278</v>
      </c>
      <c r="S31" s="154">
        <f t="shared" si="29"/>
        <v>147.7485155811508</v>
      </c>
      <c r="T31" s="154">
        <f t="shared" si="30"/>
        <v>51.093814884685841</v>
      </c>
      <c r="U31" s="154">
        <f t="shared" si="31"/>
        <v>96.654700696464957</v>
      </c>
      <c r="V31" s="155">
        <f t="shared" si="32"/>
        <v>5.1757202284091575</v>
      </c>
      <c r="W31" s="155">
        <f t="shared" si="33"/>
        <v>0</v>
      </c>
      <c r="X31" s="155">
        <f t="shared" si="34"/>
        <v>0</v>
      </c>
      <c r="Y31" s="155">
        <f t="shared" si="35"/>
        <v>5.1757202284091575</v>
      </c>
      <c r="Z31" s="176">
        <f t="shared" ref="Z31:Z39" si="37">K31/B31*10000</f>
        <v>0</v>
      </c>
      <c r="AA31" s="777">
        <f t="shared" ref="AA31:AA39" si="38">U31-Y31-Z31</f>
        <v>91.478980468055795</v>
      </c>
      <c r="AC31" s="163"/>
    </row>
    <row r="32" spans="1:29" x14ac:dyDescent="0.25">
      <c r="A32" s="29" t="s">
        <v>20</v>
      </c>
      <c r="B32" s="151">
        <f t="shared" si="22"/>
        <v>54070878.918333322</v>
      </c>
      <c r="C32" s="152">
        <v>45.805317084631149</v>
      </c>
      <c r="D32" s="153">
        <f t="shared" si="23"/>
        <v>784849.8863636367</v>
      </c>
      <c r="E32" s="153">
        <f t="shared" si="24"/>
        <v>381447.19166666671</v>
      </c>
      <c r="F32" s="153">
        <f t="shared" si="25"/>
        <v>403402.69469696999</v>
      </c>
      <c r="G32" s="158">
        <v>28872.96344890109</v>
      </c>
      <c r="H32" s="158">
        <v>17893.449999999997</v>
      </c>
      <c r="I32" s="158">
        <v>63631.584349784091</v>
      </c>
      <c r="J32" s="158">
        <f t="shared" si="26"/>
        <v>110397.99779868519</v>
      </c>
      <c r="K32" s="164">
        <v>25000</v>
      </c>
      <c r="L32" s="776">
        <f t="shared" si="36"/>
        <v>268004.69689828483</v>
      </c>
      <c r="P32" s="161" t="s">
        <v>20</v>
      </c>
      <c r="Q32" s="151">
        <f t="shared" si="27"/>
        <v>54070878.918333322</v>
      </c>
      <c r="R32" s="152">
        <f t="shared" si="28"/>
        <v>45.805317084631149</v>
      </c>
      <c r="S32" s="154">
        <f t="shared" si="29"/>
        <v>145.15204895208848</v>
      </c>
      <c r="T32" s="154">
        <f t="shared" si="30"/>
        <v>70.545772381985984</v>
      </c>
      <c r="U32" s="154">
        <f t="shared" si="31"/>
        <v>74.606276570102494</v>
      </c>
      <c r="V32" s="155">
        <f t="shared" si="32"/>
        <v>5.3398361607011715</v>
      </c>
      <c r="W32" s="155">
        <f t="shared" si="33"/>
        <v>3.3092582103253045</v>
      </c>
      <c r="X32" s="155">
        <f t="shared" si="34"/>
        <v>11.768180141086832</v>
      </c>
      <c r="Y32" s="155">
        <f t="shared" si="35"/>
        <v>20.417274512113309</v>
      </c>
      <c r="Z32" s="176">
        <f t="shared" si="37"/>
        <v>4.6235608704935398</v>
      </c>
      <c r="AA32" s="777">
        <f t="shared" si="38"/>
        <v>49.565441187495644</v>
      </c>
      <c r="AC32" s="163"/>
    </row>
    <row r="33" spans="1:29" x14ac:dyDescent="0.25">
      <c r="A33" s="29" t="s">
        <v>21</v>
      </c>
      <c r="B33" s="151">
        <f t="shared" si="22"/>
        <v>7215454.1008333256</v>
      </c>
      <c r="C33" s="152">
        <v>25.897687901952676</v>
      </c>
      <c r="D33" s="153">
        <f t="shared" si="23"/>
        <v>115432.90909090919</v>
      </c>
      <c r="E33" s="153">
        <f t="shared" si="24"/>
        <v>53634.425000000032</v>
      </c>
      <c r="F33" s="153">
        <f t="shared" si="25"/>
        <v>61798.484090909158</v>
      </c>
      <c r="G33" s="158">
        <v>574.00000000000023</v>
      </c>
      <c r="H33" s="158">
        <v>0</v>
      </c>
      <c r="I33" s="158">
        <v>106.77999999999999</v>
      </c>
      <c r="J33" s="158">
        <f t="shared" si="26"/>
        <v>680.7800000000002</v>
      </c>
      <c r="K33" s="164">
        <v>0</v>
      </c>
      <c r="L33" s="776">
        <f t="shared" si="36"/>
        <v>61117.704090909159</v>
      </c>
      <c r="P33" s="161" t="s">
        <v>21</v>
      </c>
      <c r="Q33" s="151">
        <f t="shared" si="27"/>
        <v>7215454.1008333256</v>
      </c>
      <c r="R33" s="152">
        <f t="shared" si="28"/>
        <v>25.897687901952676</v>
      </c>
      <c r="S33" s="154">
        <f t="shared" si="29"/>
        <v>159.98010309230244</v>
      </c>
      <c r="T33" s="154">
        <f t="shared" si="30"/>
        <v>74.33270900275798</v>
      </c>
      <c r="U33" s="154">
        <f t="shared" si="31"/>
        <v>85.647394089544463</v>
      </c>
      <c r="V33" s="155">
        <f t="shared" si="32"/>
        <v>0.79551472711011761</v>
      </c>
      <c r="W33" s="155">
        <f t="shared" si="33"/>
        <v>0</v>
      </c>
      <c r="X33" s="155">
        <f t="shared" si="34"/>
        <v>0.14798791386902146</v>
      </c>
      <c r="Y33" s="155">
        <f t="shared" si="35"/>
        <v>0.94350264097913905</v>
      </c>
      <c r="Z33" s="176">
        <f t="shared" si="37"/>
        <v>0</v>
      </c>
      <c r="AA33" s="777">
        <f t="shared" si="38"/>
        <v>84.703891448565329</v>
      </c>
      <c r="AC33" s="163"/>
    </row>
    <row r="34" spans="1:29" x14ac:dyDescent="0.25">
      <c r="A34" s="29" t="s">
        <v>22</v>
      </c>
      <c r="B34" s="151">
        <f t="shared" si="22"/>
        <v>467372.03499999968</v>
      </c>
      <c r="C34" s="152">
        <v>38.7132394113424</v>
      </c>
      <c r="D34" s="153">
        <f t="shared" si="23"/>
        <v>6290.601515151513</v>
      </c>
      <c r="E34" s="153">
        <f t="shared" si="24"/>
        <v>2648.0409090909111</v>
      </c>
      <c r="F34" s="153">
        <f t="shared" si="25"/>
        <v>3642.5606060606019</v>
      </c>
      <c r="G34" s="158">
        <v>425.00000000000011</v>
      </c>
      <c r="H34" s="158">
        <v>0</v>
      </c>
      <c r="I34" s="158">
        <v>0</v>
      </c>
      <c r="J34" s="158">
        <f t="shared" si="26"/>
        <v>425.00000000000011</v>
      </c>
      <c r="K34" s="164">
        <v>0</v>
      </c>
      <c r="L34" s="776">
        <f t="shared" si="36"/>
        <v>3217.5606060606019</v>
      </c>
      <c r="P34" s="161" t="s">
        <v>22</v>
      </c>
      <c r="Q34" s="151">
        <f t="shared" si="27"/>
        <v>467372.03499999968</v>
      </c>
      <c r="R34" s="152">
        <f t="shared" si="28"/>
        <v>38.7132394113424</v>
      </c>
      <c r="S34" s="154">
        <f t="shared" si="29"/>
        <v>134.59516282679422</v>
      </c>
      <c r="T34" s="154">
        <f t="shared" si="30"/>
        <v>56.658094853512424</v>
      </c>
      <c r="U34" s="154">
        <f t="shared" si="31"/>
        <v>77.937067973281813</v>
      </c>
      <c r="V34" s="155">
        <f t="shared" si="32"/>
        <v>9.0933981533576436</v>
      </c>
      <c r="W34" s="155">
        <f t="shared" si="33"/>
        <v>0</v>
      </c>
      <c r="X34" s="155">
        <f t="shared" si="34"/>
        <v>0</v>
      </c>
      <c r="Y34" s="155">
        <f t="shared" si="35"/>
        <v>9.0933981533576436</v>
      </c>
      <c r="Z34" s="176">
        <f t="shared" si="37"/>
        <v>0</v>
      </c>
      <c r="AA34" s="777">
        <f t="shared" si="38"/>
        <v>68.843669819924173</v>
      </c>
      <c r="AC34" s="163"/>
    </row>
    <row r="35" spans="1:29" x14ac:dyDescent="0.25">
      <c r="A35" s="29" t="s">
        <v>23</v>
      </c>
      <c r="B35" s="151">
        <f t="shared" si="22"/>
        <v>6826310.9091666592</v>
      </c>
      <c r="C35" s="152">
        <v>33.993893441517422</v>
      </c>
      <c r="D35" s="153">
        <f t="shared" si="23"/>
        <v>97496.267424242411</v>
      </c>
      <c r="E35" s="153">
        <f t="shared" si="24"/>
        <v>39105.398484848498</v>
      </c>
      <c r="F35" s="153">
        <f t="shared" si="25"/>
        <v>58390.868939393913</v>
      </c>
      <c r="G35" s="158">
        <v>-1900.0000000000005</v>
      </c>
      <c r="H35" s="158">
        <v>1123.0100000000002</v>
      </c>
      <c r="I35" s="158">
        <v>0</v>
      </c>
      <c r="J35" s="158">
        <f t="shared" si="26"/>
        <v>-776.99000000000024</v>
      </c>
      <c r="K35" s="164">
        <v>0</v>
      </c>
      <c r="L35" s="776">
        <f t="shared" si="36"/>
        <v>59167.858939393911</v>
      </c>
      <c r="P35" s="161" t="s">
        <v>23</v>
      </c>
      <c r="Q35" s="151">
        <f t="shared" si="27"/>
        <v>6826310.9091666592</v>
      </c>
      <c r="R35" s="152">
        <f t="shared" si="28"/>
        <v>33.993893441517422</v>
      </c>
      <c r="S35" s="154">
        <f t="shared" si="29"/>
        <v>142.82424097226556</v>
      </c>
      <c r="T35" s="154">
        <f t="shared" si="30"/>
        <v>57.286283917036528</v>
      </c>
      <c r="U35" s="154">
        <f t="shared" si="31"/>
        <v>85.537957055229029</v>
      </c>
      <c r="V35" s="155">
        <f t="shared" si="32"/>
        <v>-2.7833481733868872</v>
      </c>
      <c r="W35" s="155">
        <f t="shared" si="33"/>
        <v>1.6451199116816886</v>
      </c>
      <c r="X35" s="155">
        <f t="shared" si="34"/>
        <v>0</v>
      </c>
      <c r="Y35" s="155">
        <f t="shared" si="35"/>
        <v>-1.1382282617051986</v>
      </c>
      <c r="Z35" s="176">
        <f t="shared" si="37"/>
        <v>0</v>
      </c>
      <c r="AA35" s="777">
        <f t="shared" si="38"/>
        <v>86.676185316934223</v>
      </c>
      <c r="AC35" s="163"/>
    </row>
    <row r="36" spans="1:29" x14ac:dyDescent="0.25">
      <c r="A36" s="29" t="s">
        <v>24</v>
      </c>
      <c r="B36" s="151">
        <f t="shared" si="22"/>
        <v>2260219.2708333349</v>
      </c>
      <c r="C36" s="152">
        <v>36.187536857806947</v>
      </c>
      <c r="D36" s="153">
        <f t="shared" si="23"/>
        <v>33364.214393939408</v>
      </c>
      <c r="E36" s="153">
        <f t="shared" si="24"/>
        <v>14460.510606060599</v>
      </c>
      <c r="F36" s="153">
        <f t="shared" si="25"/>
        <v>18903.703787878811</v>
      </c>
      <c r="G36" s="158">
        <v>2374</v>
      </c>
      <c r="H36" s="158">
        <v>0</v>
      </c>
      <c r="I36" s="158">
        <v>0</v>
      </c>
      <c r="J36" s="158">
        <f t="shared" si="26"/>
        <v>2374</v>
      </c>
      <c r="K36" s="164">
        <v>0</v>
      </c>
      <c r="L36" s="776">
        <f t="shared" si="36"/>
        <v>16529.703787878811</v>
      </c>
      <c r="P36" s="161" t="s">
        <v>24</v>
      </c>
      <c r="Q36" s="151">
        <f t="shared" si="27"/>
        <v>2260219.2708333349</v>
      </c>
      <c r="R36" s="152">
        <f t="shared" si="28"/>
        <v>36.187536857806947</v>
      </c>
      <c r="S36" s="154">
        <f t="shared" si="29"/>
        <v>147.61494525988243</v>
      </c>
      <c r="T36" s="154">
        <f t="shared" si="30"/>
        <v>63.978352864538941</v>
      </c>
      <c r="U36" s="154">
        <f t="shared" si="31"/>
        <v>83.636592395343499</v>
      </c>
      <c r="V36" s="155">
        <f t="shared" si="32"/>
        <v>10.503405712157805</v>
      </c>
      <c r="W36" s="155">
        <f t="shared" si="33"/>
        <v>0</v>
      </c>
      <c r="X36" s="155">
        <f t="shared" si="34"/>
        <v>0</v>
      </c>
      <c r="Y36" s="155">
        <f t="shared" si="35"/>
        <v>10.503405712157805</v>
      </c>
      <c r="Z36" s="176">
        <f t="shared" si="37"/>
        <v>0</v>
      </c>
      <c r="AA36" s="777">
        <f t="shared" si="38"/>
        <v>73.133186683185698</v>
      </c>
      <c r="AC36" s="163"/>
    </row>
    <row r="37" spans="1:29" x14ac:dyDescent="0.25">
      <c r="A37" s="29" t="s">
        <v>26</v>
      </c>
      <c r="B37" s="151">
        <f t="shared" si="22"/>
        <v>420215.70500000007</v>
      </c>
      <c r="C37" s="152">
        <v>31.211089475378188</v>
      </c>
      <c r="D37" s="153">
        <f t="shared" si="23"/>
        <v>6195.9969696969674</v>
      </c>
      <c r="E37" s="153">
        <f t="shared" si="24"/>
        <v>2084.727272727273</v>
      </c>
      <c r="F37" s="153">
        <f t="shared" si="25"/>
        <v>4111.2696969696945</v>
      </c>
      <c r="G37" s="158">
        <v>56.000000000000021</v>
      </c>
      <c r="H37" s="158">
        <v>0</v>
      </c>
      <c r="I37" s="158">
        <v>68.500000000000014</v>
      </c>
      <c r="J37" s="158">
        <f t="shared" si="26"/>
        <v>124.50000000000003</v>
      </c>
      <c r="K37" s="164">
        <v>0</v>
      </c>
      <c r="L37" s="776">
        <f t="shared" si="36"/>
        <v>3986.7696969696945</v>
      </c>
      <c r="P37" s="161" t="s">
        <v>26</v>
      </c>
      <c r="Q37" s="151">
        <f t="shared" si="27"/>
        <v>420215.70500000007</v>
      </c>
      <c r="R37" s="152">
        <f t="shared" si="28"/>
        <v>31.211089475378188</v>
      </c>
      <c r="S37" s="154">
        <f t="shared" si="29"/>
        <v>147.4480105329944</v>
      </c>
      <c r="T37" s="154">
        <f t="shared" si="30"/>
        <v>49.610884313028535</v>
      </c>
      <c r="U37" s="154">
        <f t="shared" si="31"/>
        <v>97.837126219965867</v>
      </c>
      <c r="V37" s="155">
        <f t="shared" si="32"/>
        <v>1.3326489070654797</v>
      </c>
      <c r="W37" s="155">
        <f t="shared" si="33"/>
        <v>0</v>
      </c>
      <c r="X37" s="155">
        <f t="shared" si="34"/>
        <v>1.6301151809640242</v>
      </c>
      <c r="Y37" s="155">
        <f t="shared" si="35"/>
        <v>2.9627640880295036</v>
      </c>
      <c r="Z37" s="176">
        <f t="shared" si="37"/>
        <v>0</v>
      </c>
      <c r="AA37" s="777">
        <f t="shared" si="38"/>
        <v>94.874362131936365</v>
      </c>
      <c r="AC37" s="163"/>
    </row>
    <row r="38" spans="1:29" x14ac:dyDescent="0.25">
      <c r="A38" s="29" t="s">
        <v>25</v>
      </c>
      <c r="B38" s="151">
        <f t="shared" si="22"/>
        <v>9197084.5200000033</v>
      </c>
      <c r="C38" s="152">
        <v>20.15162224326885</v>
      </c>
      <c r="D38" s="153">
        <f t="shared" si="23"/>
        <v>135400.15075757579</v>
      </c>
      <c r="E38" s="153">
        <f t="shared" si="24"/>
        <v>70312.824242424176</v>
      </c>
      <c r="F38" s="153">
        <f t="shared" si="25"/>
        <v>65087.32651515161</v>
      </c>
      <c r="G38" s="158">
        <v>6688.0000000000082</v>
      </c>
      <c r="H38" s="158">
        <v>6272.5200000000032</v>
      </c>
      <c r="I38" s="158">
        <v>8895.3599999999951</v>
      </c>
      <c r="J38" s="158">
        <f t="shared" si="26"/>
        <v>21855.880000000005</v>
      </c>
      <c r="K38" s="164">
        <v>0</v>
      </c>
      <c r="L38" s="776">
        <f t="shared" si="36"/>
        <v>43231.446515151605</v>
      </c>
      <c r="P38" s="161" t="s">
        <v>25</v>
      </c>
      <c r="Q38" s="151">
        <f t="shared" si="27"/>
        <v>9197084.5200000033</v>
      </c>
      <c r="R38" s="152">
        <f t="shared" si="28"/>
        <v>20.15162224326885</v>
      </c>
      <c r="S38" s="154">
        <f t="shared" si="29"/>
        <v>147.22073116011305</v>
      </c>
      <c r="T38" s="154">
        <f t="shared" si="30"/>
        <v>76.451210260731784</v>
      </c>
      <c r="U38" s="154">
        <f t="shared" si="31"/>
        <v>70.769520899381263</v>
      </c>
      <c r="V38" s="155">
        <f t="shared" si="32"/>
        <v>7.2718696728906496</v>
      </c>
      <c r="W38" s="155">
        <f t="shared" si="33"/>
        <v>6.8201178170753618</v>
      </c>
      <c r="X38" s="155">
        <f t="shared" si="34"/>
        <v>9.6719346012925325</v>
      </c>
      <c r="Y38" s="155">
        <f t="shared" si="35"/>
        <v>23.763922091258543</v>
      </c>
      <c r="Z38" s="176">
        <f t="shared" si="37"/>
        <v>0</v>
      </c>
      <c r="AA38" s="777">
        <f t="shared" si="38"/>
        <v>47.00559880812272</v>
      </c>
      <c r="AC38" s="163"/>
    </row>
    <row r="39" spans="1:29" x14ac:dyDescent="0.25">
      <c r="A39" s="145" t="s">
        <v>27</v>
      </c>
      <c r="B39" s="151">
        <f t="shared" si="22"/>
        <v>1409127.9799999997</v>
      </c>
      <c r="C39" s="152">
        <f>C50</f>
        <v>15.28</v>
      </c>
      <c r="D39" s="153">
        <f t="shared" si="23"/>
        <v>13020.642424242424</v>
      </c>
      <c r="E39" s="153">
        <f t="shared" si="24"/>
        <v>9294.9015151515177</v>
      </c>
      <c r="F39" s="153">
        <f t="shared" si="25"/>
        <v>3725.7409090909059</v>
      </c>
      <c r="G39" s="158">
        <f>G50</f>
        <v>0</v>
      </c>
      <c r="H39" s="158">
        <f>H50</f>
        <v>0</v>
      </c>
      <c r="I39" s="158">
        <f>I50</f>
        <v>0</v>
      </c>
      <c r="J39" s="158">
        <f t="shared" si="26"/>
        <v>0</v>
      </c>
      <c r="K39" s="164">
        <v>0</v>
      </c>
      <c r="L39" s="776">
        <f t="shared" si="36"/>
        <v>3725.7409090909059</v>
      </c>
      <c r="P39" s="161" t="s">
        <v>27</v>
      </c>
      <c r="Q39" s="151">
        <f t="shared" si="27"/>
        <v>1409127.9799999997</v>
      </c>
      <c r="R39" s="152">
        <f t="shared" si="28"/>
        <v>15.28</v>
      </c>
      <c r="S39" s="154">
        <f t="shared" si="29"/>
        <v>92.402128188828001</v>
      </c>
      <c r="T39" s="154">
        <f t="shared" si="30"/>
        <v>65.962081848318135</v>
      </c>
      <c r="U39" s="154">
        <f t="shared" si="31"/>
        <v>26.440046340509873</v>
      </c>
      <c r="V39" s="155">
        <f t="shared" si="32"/>
        <v>0</v>
      </c>
      <c r="W39" s="155">
        <f t="shared" si="33"/>
        <v>0</v>
      </c>
      <c r="X39" s="155">
        <f t="shared" si="34"/>
        <v>0</v>
      </c>
      <c r="Y39" s="155">
        <f t="shared" si="35"/>
        <v>0</v>
      </c>
      <c r="Z39" s="176">
        <f t="shared" si="37"/>
        <v>0</v>
      </c>
      <c r="AA39" s="777">
        <f t="shared" si="38"/>
        <v>26.440046340509873</v>
      </c>
      <c r="AC39" s="163"/>
    </row>
    <row r="40" spans="1:29" ht="16.5" customHeight="1" x14ac:dyDescent="0.25">
      <c r="A40" s="771" t="s">
        <v>10</v>
      </c>
      <c r="B40" s="166">
        <f>SUM(B30:B39)</f>
        <v>157749737.13416663</v>
      </c>
      <c r="C40" s="167">
        <v>35.32</v>
      </c>
      <c r="D40" s="168">
        <f t="shared" ref="D40:I40" si="39">SUM(D30:D39)</f>
        <v>2289428.5719696977</v>
      </c>
      <c r="E40" s="168">
        <f t="shared" si="39"/>
        <v>1111147.0303030305</v>
      </c>
      <c r="F40" s="168">
        <f t="shared" si="39"/>
        <v>1178281.5416666672</v>
      </c>
      <c r="G40" s="169">
        <f t="shared" si="39"/>
        <v>73965.963448901122</v>
      </c>
      <c r="H40" s="169">
        <f t="shared" si="39"/>
        <v>45521.210000000006</v>
      </c>
      <c r="I40" s="169">
        <f t="shared" si="39"/>
        <v>157535.12434978411</v>
      </c>
      <c r="J40" s="169">
        <f t="shared" si="26"/>
        <v>277022.29779868526</v>
      </c>
      <c r="K40" s="169">
        <f>SUM(K30:K39)</f>
        <v>80000</v>
      </c>
      <c r="L40" s="170">
        <f>SUM(L30:L39)</f>
        <v>821259.24386798195</v>
      </c>
      <c r="P40" s="771" t="s">
        <v>10</v>
      </c>
      <c r="Q40" s="166">
        <f>SUM(Q30:Q39)</f>
        <v>157749737.13416663</v>
      </c>
      <c r="R40" s="167">
        <v>35.32</v>
      </c>
      <c r="S40" s="171">
        <f t="shared" si="29"/>
        <v>145.13042072599663</v>
      </c>
      <c r="T40" s="171">
        <f t="shared" si="30"/>
        <v>70.437330070350399</v>
      </c>
      <c r="U40" s="171">
        <f t="shared" si="31"/>
        <v>74.693090655646245</v>
      </c>
      <c r="V40" s="172">
        <f t="shared" si="32"/>
        <v>4.6888169066166396</v>
      </c>
      <c r="W40" s="172">
        <f t="shared" si="33"/>
        <v>2.8856599590580667</v>
      </c>
      <c r="X40" s="172">
        <f t="shared" si="34"/>
        <v>9.9863953634230143</v>
      </c>
      <c r="Y40" s="172">
        <f t="shared" si="35"/>
        <v>17.560872229097718</v>
      </c>
      <c r="Z40" s="177">
        <f>K40/B40*10000</f>
        <v>5.0713238229969138</v>
      </c>
      <c r="AA40" s="778">
        <f>U40-Y40-Z40</f>
        <v>52.06089460355161</v>
      </c>
      <c r="AC40" s="163"/>
    </row>
    <row r="43" spans="1:29" hidden="1" x14ac:dyDescent="0.25">
      <c r="A43" t="s">
        <v>28</v>
      </c>
      <c r="B43" s="69">
        <f t="shared" ref="B43:B49" si="40">B17*$D$1</f>
        <v>760.72750000000008</v>
      </c>
      <c r="C43" s="148">
        <v>43.888125000000009</v>
      </c>
      <c r="D43" s="69">
        <v>15.272727272727275</v>
      </c>
      <c r="E43" s="69">
        <v>11.518181818181819</v>
      </c>
      <c r="F43" s="69">
        <v>3.7545454545454557</v>
      </c>
      <c r="G43" s="69"/>
      <c r="H43" s="69"/>
      <c r="I43" s="69"/>
      <c r="J43" s="69"/>
      <c r="L43" s="69">
        <v>3.7545454545454557</v>
      </c>
    </row>
    <row r="44" spans="1:29" hidden="1" x14ac:dyDescent="0.25">
      <c r="A44" t="s">
        <v>29</v>
      </c>
      <c r="B44" s="69">
        <f t="shared" si="40"/>
        <v>514240.2958333331</v>
      </c>
      <c r="C44" s="148">
        <v>18.685378286883946</v>
      </c>
      <c r="D44" s="69">
        <v>4196.5272727272722</v>
      </c>
      <c r="E44" s="69">
        <v>3370.6181818181835</v>
      </c>
      <c r="F44" s="69">
        <v>825.90909090908872</v>
      </c>
      <c r="G44" s="69"/>
      <c r="H44" s="69"/>
      <c r="I44" s="69"/>
      <c r="J44" s="69"/>
      <c r="L44" s="69">
        <v>825.90909090908872</v>
      </c>
    </row>
    <row r="45" spans="1:29" hidden="1" x14ac:dyDescent="0.25">
      <c r="A45" t="s">
        <v>30</v>
      </c>
      <c r="B45" s="69">
        <f t="shared" si="40"/>
        <v>-5.730833333333333</v>
      </c>
      <c r="C45" s="148">
        <v>-5.29</v>
      </c>
      <c r="D45" s="69">
        <v>-7.2727272727272724E-2</v>
      </c>
      <c r="E45" s="69">
        <v>2.7272727272727268E-2</v>
      </c>
      <c r="F45" s="69">
        <v>-9.9999999999999992E-2</v>
      </c>
      <c r="G45" s="69"/>
      <c r="H45" s="69"/>
      <c r="I45" s="69"/>
      <c r="J45" s="69"/>
      <c r="L45" s="69">
        <v>-9.9999999999999992E-2</v>
      </c>
    </row>
    <row r="46" spans="1:29" hidden="1" x14ac:dyDescent="0.25">
      <c r="A46" t="s">
        <v>31</v>
      </c>
      <c r="B46" s="69">
        <f t="shared" si="40"/>
        <v>95599.584166666653</v>
      </c>
      <c r="C46" s="148">
        <v>79.500693693693691</v>
      </c>
      <c r="D46" s="69">
        <v>2001.4272727272723</v>
      </c>
      <c r="E46" s="69">
        <v>1708.5272727272722</v>
      </c>
      <c r="F46" s="69">
        <v>292.90000000000009</v>
      </c>
      <c r="G46" s="69"/>
      <c r="H46" s="69"/>
      <c r="I46" s="69"/>
      <c r="J46" s="69"/>
      <c r="L46" s="69">
        <v>292.90000000000009</v>
      </c>
    </row>
    <row r="47" spans="1:29" hidden="1" x14ac:dyDescent="0.25">
      <c r="A47" t="s">
        <v>32</v>
      </c>
      <c r="B47" s="69">
        <f t="shared" si="40"/>
        <v>417277.66166666662</v>
      </c>
      <c r="C47" s="148">
        <v>15.163945513956143</v>
      </c>
      <c r="D47" s="69">
        <v>3806.7545454545448</v>
      </c>
      <c r="E47" s="69">
        <v>2583.9818181818191</v>
      </c>
      <c r="F47" s="69">
        <v>1222.7727272727257</v>
      </c>
      <c r="G47" s="69"/>
      <c r="H47" s="69"/>
      <c r="I47" s="69"/>
      <c r="J47" s="69"/>
      <c r="L47" s="69">
        <v>1222.7727272727257</v>
      </c>
    </row>
    <row r="48" spans="1:29" hidden="1" x14ac:dyDescent="0.25">
      <c r="A48" t="s">
        <v>33</v>
      </c>
      <c r="B48" s="69">
        <f t="shared" si="40"/>
        <v>340295.96250000002</v>
      </c>
      <c r="C48" s="148">
        <v>10.68324150596878</v>
      </c>
      <c r="D48" s="69">
        <v>1792.0999999999997</v>
      </c>
      <c r="E48" s="69">
        <v>801.90000000000077</v>
      </c>
      <c r="F48" s="69">
        <v>990.19999999999891</v>
      </c>
      <c r="G48" s="69"/>
      <c r="H48" s="69"/>
      <c r="I48" s="69"/>
      <c r="J48" s="69"/>
      <c r="L48" s="69">
        <v>990.19999999999891</v>
      </c>
    </row>
    <row r="49" spans="1:12" hidden="1" x14ac:dyDescent="0.25">
      <c r="A49" t="s">
        <v>34</v>
      </c>
      <c r="B49" s="69">
        <f t="shared" si="40"/>
        <v>40959.479166666657</v>
      </c>
      <c r="C49" s="148">
        <v>9.9785563473211916</v>
      </c>
      <c r="D49" s="69">
        <v>207.04545454545456</v>
      </c>
      <c r="E49" s="69">
        <v>103.3363636363637</v>
      </c>
      <c r="F49" s="69">
        <v>103.70909090909086</v>
      </c>
      <c r="G49" s="69"/>
      <c r="H49" s="69"/>
      <c r="I49" s="69"/>
      <c r="J49" s="69"/>
      <c r="L49" s="69">
        <v>103.70909090909086</v>
      </c>
    </row>
    <row r="50" spans="1:12" hidden="1" x14ac:dyDescent="0.25">
      <c r="B50" s="71">
        <f>SUM(B43:B49)</f>
        <v>1409127.9799999997</v>
      </c>
      <c r="C50" s="149">
        <v>15.28</v>
      </c>
      <c r="D50" s="71">
        <f t="shared" ref="D50:I50" si="41">SUM(D43:D49)</f>
        <v>12019.054545454544</v>
      </c>
      <c r="E50" s="71">
        <f t="shared" si="41"/>
        <v>8579.9090909090937</v>
      </c>
      <c r="F50" s="71">
        <f t="shared" si="41"/>
        <v>3439.1454545454494</v>
      </c>
      <c r="G50" s="71">
        <f t="shared" si="41"/>
        <v>0</v>
      </c>
      <c r="H50" s="71">
        <f t="shared" si="41"/>
        <v>0</v>
      </c>
      <c r="I50" s="71">
        <f t="shared" si="41"/>
        <v>0</v>
      </c>
      <c r="J50" s="71"/>
      <c r="L50" s="71">
        <f>SUM(L43:L49)</f>
        <v>3439.1454545454494</v>
      </c>
    </row>
    <row r="51" spans="1:12" hidden="1" x14ac:dyDescent="0.25"/>
    <row r="52" spans="1:12" hidden="1" x14ac:dyDescent="0.25"/>
    <row r="53" spans="1:12" hidden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1F17-B907-426A-B1F0-986F762A4B91}">
  <sheetPr>
    <tabColor rgb="FFFF0000"/>
  </sheetPr>
  <dimension ref="A2:AF47"/>
  <sheetViews>
    <sheetView showGridLines="0" topLeftCell="C1" zoomScale="70" zoomScaleNormal="90" workbookViewId="0">
      <selection activeCell="E6" sqref="E6"/>
    </sheetView>
  </sheetViews>
  <sheetFormatPr defaultRowHeight="15" outlineLevelCol="1" x14ac:dyDescent="0.25"/>
  <cols>
    <col min="1" max="1" width="10.7109375" style="291" hidden="1" customWidth="1"/>
    <col min="2" max="2" width="16.140625" style="291" customWidth="1"/>
    <col min="3" max="3" width="11.28515625" style="291" customWidth="1"/>
    <col min="4" max="4" width="4" style="291" customWidth="1"/>
    <col min="5" max="5" width="69.140625" style="291" customWidth="1"/>
    <col min="6" max="6" width="43" style="291" customWidth="1"/>
    <col min="7" max="7" width="1.7109375" style="291" customWidth="1"/>
    <col min="8" max="8" width="16.85546875" style="291" customWidth="1" outlineLevel="1"/>
    <col min="9" max="9" width="17.85546875" style="291" customWidth="1" outlineLevel="1"/>
    <col min="10" max="10" width="18.5703125" style="291" customWidth="1" outlineLevel="1"/>
    <col min="11" max="11" width="15.140625" style="291" customWidth="1" outlineLevel="1"/>
    <col min="12" max="12" width="14.85546875" style="291" customWidth="1" outlineLevel="1"/>
    <col min="13" max="13" width="16.85546875" style="291" customWidth="1" outlineLevel="1"/>
    <col min="14" max="14" width="14.42578125" style="291" bestFit="1" customWidth="1" outlineLevel="1"/>
    <col min="15" max="15" width="13.85546875" style="291" customWidth="1" outlineLevel="1"/>
    <col min="16" max="25" width="10.7109375" style="291" customWidth="1"/>
    <col min="26" max="16382" width="8.7109375" style="291"/>
    <col min="16383" max="16383" width="9.140625" style="291" bestFit="1" customWidth="1"/>
    <col min="16384" max="16384" width="9.140625" style="291"/>
  </cols>
  <sheetData>
    <row r="2" spans="2:32" ht="30" customHeight="1" thickBot="1" x14ac:dyDescent="0.45">
      <c r="B2" s="951" t="s">
        <v>152</v>
      </c>
      <c r="C2" s="952"/>
      <c r="D2" s="952"/>
      <c r="E2" s="952"/>
      <c r="F2" s="952"/>
    </row>
    <row r="3" spans="2:32" ht="39" customHeight="1" thickBot="1" x14ac:dyDescent="0.3">
      <c r="B3" s="399" t="s">
        <v>153</v>
      </c>
      <c r="C3" s="399" t="s">
        <v>154</v>
      </c>
      <c r="D3" s="400" t="s">
        <v>155</v>
      </c>
      <c r="E3" s="399" t="s">
        <v>156</v>
      </c>
      <c r="F3" s="399" t="s">
        <v>157</v>
      </c>
      <c r="H3" s="418" t="s">
        <v>156</v>
      </c>
      <c r="I3" s="419" t="s">
        <v>108</v>
      </c>
      <c r="J3" s="420" t="s">
        <v>1</v>
      </c>
      <c r="K3" s="421" t="s">
        <v>109</v>
      </c>
      <c r="L3" s="420" t="s">
        <v>110</v>
      </c>
      <c r="M3" s="420" t="s">
        <v>111</v>
      </c>
      <c r="N3" s="421" t="s">
        <v>112</v>
      </c>
      <c r="O3" s="422" t="s">
        <v>158</v>
      </c>
      <c r="P3" s="396"/>
      <c r="Q3" s="397"/>
    </row>
    <row r="4" spans="2:32" ht="39" customHeight="1" x14ac:dyDescent="0.25">
      <c r="B4" s="725" t="s">
        <v>159</v>
      </c>
      <c r="C4" s="726">
        <v>0</v>
      </c>
      <c r="D4" s="725"/>
      <c r="E4" s="725" t="s">
        <v>160</v>
      </c>
      <c r="F4" s="725" t="s">
        <v>161</v>
      </c>
      <c r="H4" s="417" t="s">
        <v>162</v>
      </c>
      <c r="I4" s="721">
        <f>'What If Options'!AS5</f>
        <v>3104080.4987973464</v>
      </c>
      <c r="J4" s="722">
        <f>'What If Options'!AV5</f>
        <v>1630839.4466342132</v>
      </c>
      <c r="K4" s="721">
        <f>'What If Options'!AY5</f>
        <v>1473241.0521631332</v>
      </c>
      <c r="L4" s="723">
        <f>'What If Options'!BB5</f>
        <v>0.47461431903390705</v>
      </c>
      <c r="M4" s="721">
        <f>'What If Options'!BE5</f>
        <v>398332.6520088726</v>
      </c>
      <c r="N4" s="721">
        <f>'What If Options'!BH5</f>
        <v>1074908.4001542605</v>
      </c>
      <c r="O4" s="724">
        <f>Table2[[#This Row],[GP After Incentives]]/Table2[[#This Row],[MSF Revenue]]</f>
        <v>0.34628882871134492</v>
      </c>
      <c r="P4" s="398"/>
    </row>
    <row r="5" spans="2:32" ht="39" customHeight="1" x14ac:dyDescent="0.25">
      <c r="B5" s="394" t="s">
        <v>159</v>
      </c>
      <c r="C5" s="428">
        <v>1</v>
      </c>
      <c r="D5" s="394"/>
      <c r="E5" s="395" t="s">
        <v>163</v>
      </c>
      <c r="F5" s="395" t="s">
        <v>164</v>
      </c>
      <c r="H5" s="402" t="s">
        <v>121</v>
      </c>
      <c r="I5" s="403">
        <f>'What If Options'!AS7</f>
        <v>2102442.2710770965</v>
      </c>
      <c r="J5" s="403">
        <f>'What If Options'!AV7</f>
        <v>1629069.7626069884</v>
      </c>
      <c r="K5" s="403">
        <f>'What If Options'!AY7</f>
        <v>473372.50847010803</v>
      </c>
      <c r="L5" s="404">
        <f>'What If Options'!BB7</f>
        <v>0.2251536296535723</v>
      </c>
      <c r="M5" s="403">
        <f>'What If Options'!BE7</f>
        <v>398280.4735026001</v>
      </c>
      <c r="N5" s="403">
        <f>'What If Options'!BH7</f>
        <v>75092.034967507934</v>
      </c>
      <c r="O5" s="405">
        <f>Table2[[#This Row],[GP After Incentives]]/Table2[[#This Row],[MSF Revenue]]</f>
        <v>3.5716574005638567E-2</v>
      </c>
    </row>
    <row r="6" spans="2:32" ht="53.25" customHeight="1" collapsed="1" x14ac:dyDescent="0.25">
      <c r="B6" s="394" t="s">
        <v>159</v>
      </c>
      <c r="C6" s="428">
        <v>2</v>
      </c>
      <c r="D6" s="394"/>
      <c r="E6" s="395" t="s">
        <v>165</v>
      </c>
      <c r="F6" s="395" t="s">
        <v>166</v>
      </c>
      <c r="H6" s="402" t="s">
        <v>136</v>
      </c>
      <c r="I6" s="415">
        <f>'What If Options'!AS37</f>
        <v>2386730.1015300606</v>
      </c>
      <c r="J6" s="415">
        <f>'What If Options'!AV37</f>
        <v>1629488.4836552404</v>
      </c>
      <c r="K6" s="415">
        <f>'What If Options'!AY37</f>
        <v>757241.61787482025</v>
      </c>
      <c r="L6" s="416">
        <f>'What If Options'!BB37</f>
        <v>0.31727157477478307</v>
      </c>
      <c r="M6" s="415">
        <f>'What If Options'!BE37</f>
        <v>398280.4735026001</v>
      </c>
      <c r="N6" s="415">
        <f>'What If Options'!BH37</f>
        <v>358961.14437222015</v>
      </c>
      <c r="O6" s="406">
        <f>Table2[[#This Row],[GP After Incentives]]/Table2[[#This Row],[MSF Revenue]]</f>
        <v>0.15039871669699939</v>
      </c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</row>
    <row r="7" spans="2:32" ht="39" customHeight="1" x14ac:dyDescent="0.25">
      <c r="B7" s="394" t="s">
        <v>159</v>
      </c>
      <c r="C7" s="428">
        <v>3</v>
      </c>
      <c r="D7" s="394"/>
      <c r="E7" s="395" t="s">
        <v>139</v>
      </c>
      <c r="F7" s="431" t="s">
        <v>167</v>
      </c>
      <c r="H7" s="402" t="s">
        <v>168</v>
      </c>
      <c r="I7" s="403">
        <f>'What If Options'!AS67</f>
        <v>2386789.7942475607</v>
      </c>
      <c r="J7" s="403">
        <f>'What If Options'!AV67</f>
        <v>1422764.7358732081</v>
      </c>
      <c r="K7" s="403">
        <f>'What If Options'!AY67</f>
        <v>964025.05837435252</v>
      </c>
      <c r="L7" s="434">
        <f>'What If Options'!BB67</f>
        <v>0.48181674214020453</v>
      </c>
      <c r="M7" s="403">
        <f>'What If Options'!BE67</f>
        <v>398859.39446080005</v>
      </c>
      <c r="N7" s="435">
        <f>'What If Options'!BH67</f>
        <v>565165.66391355242</v>
      </c>
      <c r="O7" s="436">
        <f>Table2[[#This Row],[GP After Incentives]]/Table2[[#This Row],[MSF Revenue]]</f>
        <v>0.23678903993793965</v>
      </c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</row>
    <row r="8" spans="2:32" ht="39" customHeight="1" x14ac:dyDescent="0.25">
      <c r="B8" s="394" t="s">
        <v>159</v>
      </c>
      <c r="C8" s="428">
        <v>4</v>
      </c>
      <c r="D8" s="394"/>
      <c r="E8" s="431" t="s">
        <v>169</v>
      </c>
      <c r="F8" s="431" t="s">
        <v>170</v>
      </c>
      <c r="H8" s="402" t="s">
        <v>171</v>
      </c>
      <c r="I8" s="407"/>
      <c r="J8" s="408"/>
      <c r="K8" s="408"/>
      <c r="L8" s="408"/>
      <c r="M8" s="408"/>
      <c r="N8" s="408"/>
      <c r="O8" s="408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</row>
    <row r="9" spans="2:32" ht="30" customHeight="1" x14ac:dyDescent="0.4">
      <c r="B9" s="392" t="s">
        <v>172</v>
      </c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</row>
    <row r="10" spans="2:32" ht="40.5" customHeight="1" x14ac:dyDescent="0.25">
      <c r="B10" s="399" t="s">
        <v>153</v>
      </c>
      <c r="C10" s="399" t="s">
        <v>154</v>
      </c>
      <c r="D10" s="401" t="s">
        <v>155</v>
      </c>
      <c r="E10" s="399" t="s">
        <v>156</v>
      </c>
      <c r="F10" s="399" t="s">
        <v>157</v>
      </c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</row>
    <row r="11" spans="2:32" ht="40.5" customHeight="1" x14ac:dyDescent="0.25">
      <c r="B11" s="291" t="s">
        <v>159</v>
      </c>
      <c r="C11" s="409">
        <v>5</v>
      </c>
      <c r="E11" s="391" t="s">
        <v>173</v>
      </c>
      <c r="F11" s="390" t="s">
        <v>174</v>
      </c>
      <c r="H11" s="432" t="s">
        <v>175</v>
      </c>
      <c r="I11" s="471">
        <f>'What If Options'!AS127</f>
        <v>2109169.8116710004</v>
      </c>
      <c r="J11" s="471">
        <f>'What If Options'!AV127</f>
        <v>1330002.6188280003</v>
      </c>
      <c r="K11" s="471">
        <f>'What If Options'!AY127</f>
        <v>779167.19284300017</v>
      </c>
      <c r="L11" s="472">
        <f>'What If Options'!BB127</f>
        <v>0.43839490180850182</v>
      </c>
      <c r="M11" s="473">
        <f>'What If Options'!BE127</f>
        <v>398579.56754200009</v>
      </c>
      <c r="N11" s="473">
        <f>'What If Options'!BH127</f>
        <v>380587.62530100008</v>
      </c>
      <c r="O11" s="474">
        <f>N11/I11</f>
        <v>0.18044427868966967</v>
      </c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</row>
    <row r="12" spans="2:32" ht="40.5" customHeight="1" x14ac:dyDescent="0.25">
      <c r="B12" s="291" t="s">
        <v>159</v>
      </c>
      <c r="C12" s="409">
        <v>6</v>
      </c>
      <c r="E12" s="433" t="s">
        <v>176</v>
      </c>
      <c r="F12" s="390" t="s">
        <v>177</v>
      </c>
      <c r="H12" s="432" t="s">
        <v>178</v>
      </c>
      <c r="I12" s="475">
        <f>'What If Options'!AS157</f>
        <v>1792794.3399203504</v>
      </c>
      <c r="J12" s="476">
        <f>'What If Options'!AV157</f>
        <v>1130644.29467145</v>
      </c>
      <c r="K12" s="476">
        <f>'What If Options'!AY157</f>
        <v>662150.04524890031</v>
      </c>
      <c r="L12" s="478">
        <f>'What If Options'!BB157</f>
        <v>0.37255573224305127</v>
      </c>
      <c r="M12" s="476">
        <f>'What If Options'!BE157</f>
        <v>338691.15479095007</v>
      </c>
      <c r="N12" s="476">
        <f>'What If Options'!BH157</f>
        <v>323458.89045795024</v>
      </c>
      <c r="O12" s="479">
        <f>N12/I12</f>
        <v>0.18042163747143511</v>
      </c>
      <c r="P12" s="477">
        <f>'What If Options'!R161</f>
        <v>0.85</v>
      </c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</row>
    <row r="13" spans="2:32" ht="30" customHeight="1" x14ac:dyDescent="0.25">
      <c r="B13" s="393" t="s">
        <v>179</v>
      </c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</row>
    <row r="14" spans="2:32" ht="39" customHeight="1" x14ac:dyDescent="0.25">
      <c r="B14" s="399" t="s">
        <v>180</v>
      </c>
      <c r="C14" s="399" t="s">
        <v>154</v>
      </c>
      <c r="D14" s="401" t="s">
        <v>155</v>
      </c>
      <c r="E14" s="399" t="s">
        <v>156</v>
      </c>
      <c r="F14" s="399" t="s">
        <v>157</v>
      </c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</row>
    <row r="15" spans="2:32" ht="39" customHeight="1" x14ac:dyDescent="0.25">
      <c r="B15" s="291" t="s">
        <v>180</v>
      </c>
      <c r="C15" s="409">
        <v>7</v>
      </c>
      <c r="E15" s="390" t="s">
        <v>181</v>
      </c>
      <c r="F15" s="390" t="s">
        <v>182</v>
      </c>
      <c r="H15" s="432" t="s">
        <v>183</v>
      </c>
      <c r="I15" s="471">
        <f>'What If Options'!AS186</f>
        <v>2386730.1015300606</v>
      </c>
      <c r="J15" s="473">
        <f>'What If Options'!AV186</f>
        <v>1422744.8383007082</v>
      </c>
      <c r="K15" s="473">
        <f>'What If Options'!AY186</f>
        <v>963985.26322935242</v>
      </c>
      <c r="L15" s="480">
        <f>'What If Options'!BB186</f>
        <v>0.48179685264983246</v>
      </c>
      <c r="M15" s="473">
        <f>'What If Options'!BE186</f>
        <v>193573.85996000003</v>
      </c>
      <c r="N15" s="473">
        <f>'What If Options'!BH186</f>
        <v>770411.40326935239</v>
      </c>
      <c r="O15" s="474">
        <f>N15/I15</f>
        <v>0.32278949462088941</v>
      </c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</row>
    <row r="16" spans="2:32" ht="39" customHeight="1" x14ac:dyDescent="0.25">
      <c r="B16" s="391" t="s">
        <v>180</v>
      </c>
      <c r="C16" s="409">
        <v>8</v>
      </c>
      <c r="E16" s="291" t="s">
        <v>184</v>
      </c>
      <c r="F16" s="390" t="s">
        <v>185</v>
      </c>
      <c r="H16" s="432" t="s">
        <v>186</v>
      </c>
      <c r="I16" s="475">
        <f>I15</f>
        <v>2386730.1015300606</v>
      </c>
      <c r="J16" s="475">
        <f>J7-(('What If Options'!M193-'What If Options'!AG193)*('What If Options'!Z204+'What If Options'!A204)/10000*P16)</f>
        <v>1223337.8969120793</v>
      </c>
      <c r="K16" s="475">
        <f>I16-J16</f>
        <v>1163392.2046179813</v>
      </c>
      <c r="L16" s="720">
        <f>K16/I16</f>
        <v>0.48744187869091932</v>
      </c>
      <c r="M16" s="475">
        <f>M15</f>
        <v>193573.85996000003</v>
      </c>
      <c r="N16" s="475">
        <f>K16-M16</f>
        <v>969818.3446579813</v>
      </c>
      <c r="O16" s="479">
        <f>N16/I16</f>
        <v>0.40633766844280383</v>
      </c>
      <c r="P16" s="477">
        <v>0.5</v>
      </c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  <c r="AD16" s="317"/>
      <c r="AE16" s="317"/>
      <c r="AF16" s="317"/>
    </row>
    <row r="17" spans="2:32" ht="39" customHeight="1" x14ac:dyDescent="0.25">
      <c r="B17" s="391" t="s">
        <v>180</v>
      </c>
      <c r="C17" s="409">
        <v>9</v>
      </c>
      <c r="E17" s="291" t="s">
        <v>187</v>
      </c>
      <c r="F17" s="433" t="s">
        <v>188</v>
      </c>
      <c r="H17" s="432" t="s">
        <v>189</v>
      </c>
      <c r="I17" s="471">
        <f>'What If Options'!AS216</f>
        <v>2383099.9877211805</v>
      </c>
      <c r="J17" s="473">
        <f>'What If Options'!AV216</f>
        <v>1189381.0479846883</v>
      </c>
      <c r="K17" s="473">
        <f>'What If Options'!AY216</f>
        <v>1193718.9397364922</v>
      </c>
      <c r="L17" s="480">
        <f>'What If Options'!BB216</f>
        <v>0.59770145502519811</v>
      </c>
      <c r="M17" s="473">
        <f>'What If Options'!BE216</f>
        <v>195444.23177500002</v>
      </c>
      <c r="N17" s="473">
        <f>'What If Options'!BH216</f>
        <v>998274.70796149224</v>
      </c>
      <c r="O17" s="727">
        <f>N17/I17</f>
        <v>0.41889753392852142</v>
      </c>
      <c r="P17" s="47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</row>
    <row r="18" spans="2:32" ht="30" customHeight="1" x14ac:dyDescent="0.25"/>
    <row r="19" spans="2:32" ht="30" customHeight="1" x14ac:dyDescent="0.25">
      <c r="B19" s="393" t="s">
        <v>190</v>
      </c>
    </row>
    <row r="20" spans="2:32" ht="30" customHeight="1" x14ac:dyDescent="0.25">
      <c r="B20" s="481" t="s">
        <v>159</v>
      </c>
      <c r="C20" s="481" t="s">
        <v>154</v>
      </c>
      <c r="D20" s="482" t="s">
        <v>155</v>
      </c>
      <c r="E20" s="481" t="s">
        <v>156</v>
      </c>
      <c r="F20" s="481" t="s">
        <v>157</v>
      </c>
    </row>
    <row r="21" spans="2:32" ht="30" customHeight="1" x14ac:dyDescent="0.25">
      <c r="B21" s="483" t="s">
        <v>180</v>
      </c>
      <c r="C21" s="484">
        <v>10</v>
      </c>
      <c r="D21" s="464"/>
      <c r="E21" s="485" t="s">
        <v>191</v>
      </c>
      <c r="F21" s="486"/>
      <c r="H21" s="432" t="s">
        <v>192</v>
      </c>
      <c r="I21" s="471">
        <f>'What If Options'!AS246</f>
        <v>2432566.3887298806</v>
      </c>
      <c r="J21" s="473">
        <f>'What If Options'!AV246</f>
        <v>1405947.8248909914</v>
      </c>
      <c r="K21" s="473">
        <f>'What If Options'!AY246</f>
        <v>1026618.5638388891</v>
      </c>
      <c r="L21" s="480">
        <f>'What If Options'!BB246</f>
        <v>0.42203105682756675</v>
      </c>
      <c r="M21" s="473">
        <f>'What If Options'!BE246</f>
        <v>193175.90851000004</v>
      </c>
      <c r="N21" s="473">
        <f>'What If Options'!BH246</f>
        <v>833442.65532888914</v>
      </c>
      <c r="O21" s="727">
        <f>N21/I21</f>
        <v>0.34261866775362942</v>
      </c>
    </row>
    <row r="22" spans="2:32" ht="30" customHeight="1" x14ac:dyDescent="0.25"/>
    <row r="23" spans="2:32" ht="30" customHeight="1" x14ac:dyDescent="0.25"/>
    <row r="24" spans="2:32" ht="30" customHeight="1" x14ac:dyDescent="0.25"/>
    <row r="25" spans="2:32" ht="30" customHeight="1" x14ac:dyDescent="0.25"/>
    <row r="26" spans="2:32" ht="30" customHeight="1" x14ac:dyDescent="0.25"/>
    <row r="27" spans="2:32" ht="30" customHeight="1" x14ac:dyDescent="0.25"/>
    <row r="28" spans="2:32" ht="30" customHeight="1" x14ac:dyDescent="0.25"/>
    <row r="29" spans="2:32" ht="30" customHeight="1" x14ac:dyDescent="0.25"/>
    <row r="30" spans="2:32" ht="30" customHeight="1" x14ac:dyDescent="0.25"/>
    <row r="31" spans="2:32" ht="30" customHeight="1" x14ac:dyDescent="0.25"/>
    <row r="32" spans="2: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</sheetData>
  <mergeCells count="1">
    <mergeCell ref="B2:F2"/>
  </mergeCells>
  <phoneticPr fontId="50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B596-30C6-466D-8EE2-7157BF1ED216}">
  <sheetPr codeName="Sheet8"/>
  <dimension ref="C1:U2"/>
  <sheetViews>
    <sheetView showGridLines="0" topLeftCell="A84" zoomScale="110" zoomScaleNormal="110" workbookViewId="0">
      <selection activeCell="W28" sqref="W28"/>
    </sheetView>
  </sheetViews>
  <sheetFormatPr defaultRowHeight="15" x14ac:dyDescent="0.25"/>
  <cols>
    <col min="22" max="22" width="15.140625" customWidth="1"/>
  </cols>
  <sheetData>
    <row r="1" spans="3:21" x14ac:dyDescent="0.25">
      <c r="C1" s="785" t="s">
        <v>99</v>
      </c>
      <c r="D1" s="786"/>
      <c r="E1" s="786"/>
      <c r="F1" s="786"/>
      <c r="G1" s="786"/>
      <c r="H1" s="786"/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</row>
    <row r="2" spans="3:21" x14ac:dyDescent="0.25"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</row>
  </sheetData>
  <mergeCells count="1">
    <mergeCell ref="C1:U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9A67-C031-49D1-A11F-A8B0A636DA00}">
  <sheetPr codeName="Sheet1">
    <tabColor theme="9" tint="0.39997558519241921"/>
  </sheetPr>
  <dimension ref="A1:BJ266"/>
  <sheetViews>
    <sheetView showGridLines="0" tabSelected="1" topLeftCell="C1" zoomScale="64" zoomScaleNormal="64" workbookViewId="0">
      <pane xSplit="29400" topLeftCell="AR1"/>
      <selection activeCell="I10" sqref="I10"/>
      <selection pane="topRight" activeCell="AU22" sqref="AU22"/>
    </sheetView>
  </sheetViews>
  <sheetFormatPr defaultRowHeight="21.95" customHeight="1" outlineLevelRow="1" outlineLevelCol="1" x14ac:dyDescent="0.25"/>
  <cols>
    <col min="1" max="2" width="14.5703125" hidden="1" customWidth="1" outlineLevel="1"/>
    <col min="3" max="3" width="30.5703125" customWidth="1" outlineLevel="1"/>
    <col min="4" max="4" width="13.42578125" customWidth="1" outlineLevel="1"/>
    <col min="5" max="5" width="15.85546875" bestFit="1" customWidth="1" outlineLevel="1"/>
    <col min="6" max="6" width="16.5703125" customWidth="1" outlineLevel="1"/>
    <col min="7" max="7" width="0.5703125" style="319" customWidth="1" outlineLevel="1"/>
    <col min="8" max="8" width="13.42578125" customWidth="1" outlineLevel="1"/>
    <col min="9" max="9" width="13.85546875" bestFit="1" customWidth="1" outlineLevel="1"/>
    <col min="10" max="10" width="15" customWidth="1" outlineLevel="1"/>
    <col min="11" max="11" width="0.85546875" style="319" customWidth="1" outlineLevel="1"/>
    <col min="12" max="12" width="13.42578125" customWidth="1" outlineLevel="1"/>
    <col min="13" max="13" width="13.5703125" customWidth="1" outlineLevel="1"/>
    <col min="14" max="14" width="13.42578125" customWidth="1" outlineLevel="1"/>
    <col min="15" max="15" width="0.5703125" style="319" customWidth="1" outlineLevel="1"/>
    <col min="16" max="16" width="11.85546875" style="319" customWidth="1" outlineLevel="1"/>
    <col min="17" max="17" width="10.140625" style="319" customWidth="1" outlineLevel="1"/>
    <col min="18" max="18" width="13.42578125" style="319" customWidth="1" outlineLevel="1"/>
    <col min="19" max="19" width="12.140625" style="319" customWidth="1" outlineLevel="1"/>
    <col min="20" max="20" width="3.5703125" style="319" customWidth="1"/>
    <col min="21" max="21" width="1.140625" style="319" customWidth="1"/>
    <col min="22" max="22" width="12.42578125" style="319" customWidth="1" outlineLevel="1"/>
    <col min="23" max="23" width="19" style="319" customWidth="1" outlineLevel="1"/>
    <col min="24" max="24" width="13.28515625" customWidth="1" outlineLevel="1"/>
    <col min="25" max="25" width="14.5703125" customWidth="1" outlineLevel="1"/>
    <col min="26" max="26" width="13.28515625" customWidth="1" outlineLevel="1"/>
    <col min="27" max="27" width="0.7109375" customWidth="1" outlineLevel="1"/>
    <col min="28" max="30" width="13.28515625" customWidth="1" outlineLevel="1"/>
    <col min="31" max="31" width="0.85546875" customWidth="1" outlineLevel="1"/>
    <col min="32" max="34" width="13.28515625" customWidth="1" outlineLevel="1"/>
    <col min="35" max="35" width="6.42578125" customWidth="1" outlineLevel="1"/>
    <col min="36" max="38" width="10.5703125" customWidth="1" outlineLevel="1"/>
    <col min="39" max="39" width="11.5703125" customWidth="1" outlineLevel="1"/>
    <col min="40" max="40" width="6.42578125" customWidth="1" outlineLevel="1"/>
    <col min="41" max="41" width="6.42578125" customWidth="1"/>
    <col min="42" max="42" width="0" hidden="1" customWidth="1"/>
    <col min="44" max="44" width="10.140625" bestFit="1" customWidth="1"/>
  </cols>
  <sheetData>
    <row r="1" spans="1:62" ht="21.95" customHeight="1" outlineLevel="1" x14ac:dyDescent="0.35">
      <c r="A1" s="364"/>
      <c r="B1" s="353"/>
      <c r="C1" s="353"/>
      <c r="D1" s="469" t="s">
        <v>100</v>
      </c>
      <c r="F1" s="469" t="s">
        <v>101</v>
      </c>
      <c r="G1" s="470"/>
      <c r="H1" s="469"/>
      <c r="I1" s="469"/>
      <c r="J1" s="469"/>
      <c r="K1" s="366"/>
      <c r="L1" s="365"/>
      <c r="M1" s="365"/>
      <c r="N1" s="365"/>
      <c r="O1" s="366"/>
      <c r="P1" s="366"/>
      <c r="Q1" s="366"/>
      <c r="R1" s="366"/>
      <c r="S1" s="366"/>
      <c r="T1" s="366"/>
      <c r="U1" s="366"/>
      <c r="V1" s="366"/>
      <c r="W1" s="367"/>
      <c r="X1" s="469" t="s">
        <v>100</v>
      </c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3"/>
      <c r="AO1" s="353"/>
    </row>
    <row r="2" spans="1:62" s="291" customFormat="1" ht="21.95" customHeight="1" outlineLevel="1" thickBot="1" x14ac:dyDescent="0.3">
      <c r="A2" s="303"/>
      <c r="G2" s="317"/>
      <c r="H2" s="882" t="s">
        <v>102</v>
      </c>
      <c r="I2" s="882"/>
      <c r="J2" s="882"/>
      <c r="K2" s="317"/>
      <c r="O2" s="317"/>
      <c r="P2" s="317"/>
      <c r="Q2" s="317"/>
      <c r="R2" s="317"/>
      <c r="S2" s="317"/>
      <c r="T2" s="317"/>
      <c r="U2" s="317"/>
      <c r="V2" s="317"/>
      <c r="W2" s="317"/>
      <c r="AB2" s="882" t="s">
        <v>103</v>
      </c>
      <c r="AC2" s="882"/>
      <c r="AD2" s="882"/>
    </row>
    <row r="3" spans="1:62" s="291" customFormat="1" ht="42.75" customHeight="1" outlineLevel="1" thickBot="1" x14ac:dyDescent="0.3">
      <c r="D3" s="883" t="s">
        <v>104</v>
      </c>
      <c r="E3" s="884"/>
      <c r="F3" s="885"/>
      <c r="G3" s="323"/>
      <c r="H3" s="873" t="s">
        <v>105</v>
      </c>
      <c r="I3" s="874"/>
      <c r="J3" s="875"/>
      <c r="K3" s="323"/>
      <c r="L3" s="876" t="s">
        <v>106</v>
      </c>
      <c r="M3" s="877"/>
      <c r="N3" s="878"/>
      <c r="O3" s="323"/>
      <c r="P3" s="323"/>
      <c r="Q3" s="879" t="s">
        <v>107</v>
      </c>
      <c r="R3" s="880"/>
      <c r="S3" s="881"/>
      <c r="T3" s="323"/>
      <c r="U3" s="707"/>
      <c r="V3" s="323"/>
      <c r="X3" s="883" t="s">
        <v>104</v>
      </c>
      <c r="Y3" s="884"/>
      <c r="Z3" s="885"/>
      <c r="AA3" s="323"/>
      <c r="AB3" s="873" t="s">
        <v>105</v>
      </c>
      <c r="AC3" s="874"/>
      <c r="AD3" s="875"/>
      <c r="AE3" s="323"/>
      <c r="AF3" s="876" t="s">
        <v>106</v>
      </c>
      <c r="AG3" s="877"/>
      <c r="AH3" s="878"/>
      <c r="AJ3" s="323"/>
      <c r="AK3" s="879" t="s">
        <v>107</v>
      </c>
      <c r="AL3" s="880"/>
      <c r="AM3" s="881"/>
      <c r="AR3" s="321"/>
      <c r="AS3" s="936" t="s">
        <v>108</v>
      </c>
      <c r="AT3" s="937"/>
      <c r="AU3" s="938"/>
      <c r="AV3" s="942" t="s">
        <v>1</v>
      </c>
      <c r="AW3" s="942"/>
      <c r="AX3" s="943"/>
      <c r="AY3" s="860" t="s">
        <v>109</v>
      </c>
      <c r="AZ3" s="913"/>
      <c r="BA3" s="913"/>
      <c r="BB3" s="853" t="s">
        <v>110</v>
      </c>
      <c r="BC3" s="851"/>
      <c r="BD3" s="916"/>
      <c r="BE3" s="857" t="s">
        <v>111</v>
      </c>
      <c r="BF3" s="857"/>
      <c r="BG3" s="858"/>
      <c r="BH3" s="860" t="s">
        <v>112</v>
      </c>
      <c r="BI3" s="861"/>
      <c r="BJ3" s="862"/>
    </row>
    <row r="4" spans="1:62" s="291" customFormat="1" ht="30" customHeight="1" outlineLevel="1" thickBot="1" x14ac:dyDescent="0.3">
      <c r="D4" s="325" t="s">
        <v>113</v>
      </c>
      <c r="E4" s="883" t="s">
        <v>114</v>
      </c>
      <c r="F4" s="890"/>
      <c r="G4" s="322"/>
      <c r="H4" s="302" t="s">
        <v>113</v>
      </c>
      <c r="I4" s="873" t="s">
        <v>115</v>
      </c>
      <c r="J4" s="891"/>
      <c r="K4" s="322"/>
      <c r="L4" s="302" t="s">
        <v>113</v>
      </c>
      <c r="M4" s="876" t="s">
        <v>115</v>
      </c>
      <c r="N4" s="886"/>
      <c r="O4" s="322"/>
      <c r="P4" s="322"/>
      <c r="Q4" s="328" t="s">
        <v>113</v>
      </c>
      <c r="R4" s="871" t="s">
        <v>115</v>
      </c>
      <c r="S4" s="872"/>
      <c r="T4" s="322"/>
      <c r="U4" s="708"/>
      <c r="V4" s="322"/>
      <c r="X4" s="664" t="s">
        <v>113</v>
      </c>
      <c r="Y4" s="865" t="s">
        <v>114</v>
      </c>
      <c r="Z4" s="866"/>
      <c r="AA4" s="322"/>
      <c r="AB4" s="328" t="s">
        <v>113</v>
      </c>
      <c r="AC4" s="867" t="s">
        <v>115</v>
      </c>
      <c r="AD4" s="868"/>
      <c r="AE4" s="322"/>
      <c r="AF4" s="328" t="s">
        <v>113</v>
      </c>
      <c r="AG4" s="869" t="s">
        <v>115</v>
      </c>
      <c r="AH4" s="870"/>
      <c r="AJ4" s="322"/>
      <c r="AK4" s="328" t="s">
        <v>113</v>
      </c>
      <c r="AL4" s="871" t="s">
        <v>115</v>
      </c>
      <c r="AM4" s="872"/>
      <c r="AR4" s="322"/>
      <c r="AS4" s="939"/>
      <c r="AT4" s="940"/>
      <c r="AU4" s="941"/>
      <c r="AV4" s="944"/>
      <c r="AW4" s="944"/>
      <c r="AX4" s="944"/>
      <c r="AY4" s="914"/>
      <c r="AZ4" s="915"/>
      <c r="BA4" s="915"/>
      <c r="BB4" s="854"/>
      <c r="BC4" s="849"/>
      <c r="BD4" s="850"/>
      <c r="BE4" s="859"/>
      <c r="BF4" s="859"/>
      <c r="BG4" s="859"/>
      <c r="BH4" s="863"/>
      <c r="BI4" s="864"/>
      <c r="BJ4" s="864"/>
    </row>
    <row r="5" spans="1:62" s="291" customFormat="1" ht="38.25" customHeight="1" outlineLevel="1" thickBot="1" x14ac:dyDescent="0.3">
      <c r="C5" s="301" t="str">
        <f>'Working Paper 3'!$B$6</f>
        <v>Amex</v>
      </c>
      <c r="D5" s="309">
        <f>'Working Paper 3'!$C$6</f>
        <v>5.0504809882102659E-2</v>
      </c>
      <c r="E5" s="295">
        <f t="shared" ref="E5:E12" si="0">D16/10000</f>
        <v>5.0500000000000003E-2</v>
      </c>
      <c r="F5" s="293"/>
      <c r="G5" s="324"/>
      <c r="H5" s="687">
        <f>'Working Paper 3'!$E$6</f>
        <v>154.93914051185246</v>
      </c>
      <c r="I5" s="690">
        <f>H16</f>
        <v>155</v>
      </c>
      <c r="J5" s="294"/>
      <c r="K5" s="317"/>
      <c r="L5" s="298">
        <f>'Working Paper 3'!$G$6</f>
        <v>169.71789116032431</v>
      </c>
      <c r="M5" s="300">
        <f>L16</f>
        <v>170</v>
      </c>
      <c r="N5" s="294"/>
      <c r="O5" s="317"/>
      <c r="P5" s="329" t="s">
        <v>116</v>
      </c>
      <c r="Q5" s="334">
        <f>R23/A25*10000</f>
        <v>10.654239326298644</v>
      </c>
      <c r="R5" s="352">
        <f>Q16/100</f>
        <v>10.65</v>
      </c>
      <c r="S5" s="330"/>
      <c r="T5" s="317"/>
      <c r="U5" s="709"/>
      <c r="V5" s="317"/>
      <c r="W5" s="301" t="str">
        <f>'Working Paper 3'!$B$6</f>
        <v>Amex</v>
      </c>
      <c r="X5" s="309">
        <f>V16/$V$25</f>
        <v>1.4E-2</v>
      </c>
      <c r="Y5" s="295">
        <f t="shared" ref="Y5:Y10" si="1">X16/10000</f>
        <v>1.4E-2</v>
      </c>
      <c r="Z5" s="293"/>
      <c r="AA5" s="665"/>
      <c r="AB5" s="298">
        <v>133</v>
      </c>
      <c r="AC5" s="299">
        <f>AB16</f>
        <v>133</v>
      </c>
      <c r="AD5" s="294"/>
      <c r="AE5" s="666"/>
      <c r="AF5" s="298">
        <v>160</v>
      </c>
      <c r="AG5" s="300">
        <f>AF16</f>
        <v>160</v>
      </c>
      <c r="AH5" s="294"/>
      <c r="AJ5" s="329" t="s">
        <v>116</v>
      </c>
      <c r="AK5" s="334">
        <f>AL23/$Z$25*10000</f>
        <v>4.756610385513107</v>
      </c>
      <c r="AL5" s="352">
        <f>AK16/100</f>
        <v>4.76</v>
      </c>
      <c r="AM5" s="330"/>
      <c r="AR5" s="948" t="s">
        <v>117</v>
      </c>
      <c r="AS5" s="918">
        <f>(AC25+I25)</f>
        <v>3104080.4987973464</v>
      </c>
      <c r="AT5" s="905"/>
      <c r="AU5" s="905"/>
      <c r="AV5" s="919">
        <f>M25+AG25</f>
        <v>1630839.4466342132</v>
      </c>
      <c r="AW5" s="905"/>
      <c r="AX5" s="905"/>
      <c r="AY5" s="919">
        <f>AS5-AV5</f>
        <v>1473241.0521631332</v>
      </c>
      <c r="AZ5" s="905"/>
      <c r="BA5" s="905"/>
      <c r="BB5" s="904">
        <f>AY5/AS5</f>
        <v>0.47461431903390705</v>
      </c>
      <c r="BC5" s="905"/>
      <c r="BD5" s="905"/>
      <c r="BE5" s="919">
        <f>R20+AL20</f>
        <v>398332.6520088726</v>
      </c>
      <c r="BF5" s="905"/>
      <c r="BG5" s="905"/>
      <c r="BH5" s="919">
        <f>AY5-BE5</f>
        <v>1074908.4001542605</v>
      </c>
      <c r="BI5" s="905"/>
      <c r="BJ5" s="924"/>
    </row>
    <row r="6" spans="1:62" s="291" customFormat="1" ht="37.5" customHeight="1" outlineLevel="1" thickBot="1" x14ac:dyDescent="0.3">
      <c r="C6" s="301" t="str">
        <f>'Working Paper 3'!$B$7</f>
        <v>EFTPOS</v>
      </c>
      <c r="D6" s="309">
        <f>'Working Paper 3'!$C$7</f>
        <v>0.3206982301443993</v>
      </c>
      <c r="E6" s="295">
        <f t="shared" si="0"/>
        <v>0.32069999999999999</v>
      </c>
      <c r="F6" s="294"/>
      <c r="G6" s="317"/>
      <c r="H6" s="687">
        <f>'Working Paper 3'!$E$7</f>
        <v>142.99254815956868</v>
      </c>
      <c r="I6" s="690">
        <f t="shared" ref="I6:I12" si="2">H17</f>
        <v>65</v>
      </c>
      <c r="J6" s="294"/>
      <c r="K6" s="317"/>
      <c r="L6" s="298">
        <f>'Working Paper 3'!$G$7</f>
        <v>28.660658557912612</v>
      </c>
      <c r="M6" s="300">
        <f t="shared" ref="M6:M12" si="3">L17</f>
        <v>28</v>
      </c>
      <c r="N6" s="294"/>
      <c r="O6" s="317"/>
      <c r="P6" s="329" t="s">
        <v>118</v>
      </c>
      <c r="Q6" s="334">
        <v>3.12</v>
      </c>
      <c r="R6" s="352">
        <f>Q17/100</f>
        <v>3.12</v>
      </c>
      <c r="S6" s="330"/>
      <c r="T6" s="317"/>
      <c r="U6" s="709"/>
      <c r="V6" s="317"/>
      <c r="W6" s="301" t="str">
        <f>'Working Paper 3'!$B$7</f>
        <v>EFTPOS</v>
      </c>
      <c r="X6" s="309">
        <f t="shared" ref="X6:X10" si="4">V17/$V$25</f>
        <v>0.32800000000000001</v>
      </c>
      <c r="Y6" s="295">
        <f t="shared" si="1"/>
        <v>0.32800000000000001</v>
      </c>
      <c r="Z6" s="294"/>
      <c r="AA6" s="317"/>
      <c r="AB6" s="298">
        <v>130</v>
      </c>
      <c r="AC6" s="299">
        <f t="shared" ref="AC6:AC10" si="5">AB17</f>
        <v>65</v>
      </c>
      <c r="AD6" s="294"/>
      <c r="AE6" s="317"/>
      <c r="AF6" s="298">
        <v>25</v>
      </c>
      <c r="AG6" s="300">
        <f t="shared" ref="AG6:AG10" si="6">AF17</f>
        <v>25</v>
      </c>
      <c r="AH6" s="294"/>
      <c r="AJ6" s="329" t="s">
        <v>118</v>
      </c>
      <c r="AK6" s="334">
        <f t="shared" ref="AK6:AK7" si="7">AL24/$Z$25*10000</f>
        <v>0.97775746262515195</v>
      </c>
      <c r="AL6" s="352">
        <f>AK17/100</f>
        <v>0.98</v>
      </c>
      <c r="AM6" s="330"/>
      <c r="AR6" s="949"/>
      <c r="AS6" s="906">
        <f>AS5/(B26+Y25)*10000</f>
        <v>141.41355249202618</v>
      </c>
      <c r="AT6" s="907"/>
      <c r="AU6" s="907"/>
      <c r="AV6" s="908">
        <f>AV5/(Y25+B26)*10000</f>
        <v>74.296655573857493</v>
      </c>
      <c r="AW6" s="907"/>
      <c r="AX6" s="907"/>
      <c r="AY6" s="908">
        <f>AS6-AV6</f>
        <v>67.116896918168692</v>
      </c>
      <c r="AZ6" s="917"/>
      <c r="BA6" s="917"/>
      <c r="BB6" s="920"/>
      <c r="BC6" s="921"/>
      <c r="BD6" s="921"/>
      <c r="BE6" s="908">
        <f>BE5/(B26+Z25)*10000</f>
        <v>18.14696346179463</v>
      </c>
      <c r="BF6" s="907"/>
      <c r="BG6" s="907"/>
      <c r="BH6" s="908">
        <f>AY6-BE6</f>
        <v>48.969933456374065</v>
      </c>
      <c r="BI6" s="907"/>
      <c r="BJ6" s="925"/>
    </row>
    <row r="7" spans="1:62" s="291" customFormat="1" ht="37.5" customHeight="1" outlineLevel="1" thickBot="1" x14ac:dyDescent="0.3">
      <c r="C7" s="301" t="str">
        <f>'Working Paper 3'!$B$8</f>
        <v>VC/MC Domestic Credit</v>
      </c>
      <c r="D7" s="309">
        <f>'Working Paper 3'!$C$8</f>
        <v>4.0553505985047866E-2</v>
      </c>
      <c r="E7" s="295">
        <f t="shared" si="0"/>
        <v>4.0599999999999997E-2</v>
      </c>
      <c r="F7" s="294"/>
      <c r="G7" s="317"/>
      <c r="H7" s="687">
        <f>'Working Paper 3'!$E$8</f>
        <v>143.45851781578313</v>
      </c>
      <c r="I7" s="690">
        <f t="shared" si="2"/>
        <v>144</v>
      </c>
      <c r="J7" s="294"/>
      <c r="K7" s="317"/>
      <c r="L7" s="298">
        <f>'Working Paper 3'!$G$8</f>
        <v>60.236068170372583</v>
      </c>
      <c r="M7" s="300">
        <f t="shared" si="3"/>
        <v>61</v>
      </c>
      <c r="N7" s="294"/>
      <c r="O7" s="317"/>
      <c r="P7" s="331" t="s">
        <v>119</v>
      </c>
      <c r="Q7" s="334">
        <v>5.0199999999999996</v>
      </c>
      <c r="R7" s="352">
        <f>Q18/100</f>
        <v>5.0199999999999996</v>
      </c>
      <c r="S7" s="330"/>
      <c r="T7" s="317"/>
      <c r="U7" s="709"/>
      <c r="V7" s="317"/>
      <c r="W7" s="301" t="s">
        <v>120</v>
      </c>
      <c r="X7" s="309">
        <f t="shared" si="4"/>
        <v>0.18</v>
      </c>
      <c r="Y7" s="295">
        <f t="shared" si="1"/>
        <v>0.18</v>
      </c>
      <c r="Z7" s="294"/>
      <c r="AA7" s="317"/>
      <c r="AB7" s="298">
        <v>122</v>
      </c>
      <c r="AC7" s="299">
        <f t="shared" si="5"/>
        <v>122</v>
      </c>
      <c r="AD7" s="294"/>
      <c r="AE7" s="317"/>
      <c r="AF7" s="298">
        <v>72</v>
      </c>
      <c r="AG7" s="300">
        <f t="shared" si="6"/>
        <v>72</v>
      </c>
      <c r="AH7" s="294"/>
      <c r="AJ7" s="331" t="s">
        <v>119</v>
      </c>
      <c r="AK7" s="334">
        <f t="shared" si="7"/>
        <v>9.4895997991714811</v>
      </c>
      <c r="AL7" s="352">
        <f>AK18/100</f>
        <v>9.49</v>
      </c>
      <c r="AM7" s="330"/>
      <c r="AR7" s="946" t="s">
        <v>121</v>
      </c>
      <c r="AS7" s="922">
        <f>(J25+AD25)*R10</f>
        <v>2102442.2710770965</v>
      </c>
      <c r="AT7" s="899"/>
      <c r="AU7" s="900"/>
      <c r="AV7" s="926">
        <f>(AH25+N25)*R10</f>
        <v>1629069.7626069884</v>
      </c>
      <c r="AW7" s="899"/>
      <c r="AX7" s="900"/>
      <c r="AY7" s="926">
        <f>AS7-AV7</f>
        <v>473372.50847010803</v>
      </c>
      <c r="AZ7" s="899"/>
      <c r="BA7" s="899"/>
      <c r="BB7" s="898">
        <f>AY7/AS7</f>
        <v>0.2251536296535723</v>
      </c>
      <c r="BC7" s="899"/>
      <c r="BD7" s="900"/>
      <c r="BE7" s="929">
        <f>(S20+AM20)*R10</f>
        <v>398280.4735026001</v>
      </c>
      <c r="BF7" s="899"/>
      <c r="BG7" s="900"/>
      <c r="BH7" s="926">
        <f>AY7-BE7</f>
        <v>75092.034967507934</v>
      </c>
      <c r="BI7" s="899"/>
      <c r="BJ7" s="927"/>
    </row>
    <row r="8" spans="1:62" s="291" customFormat="1" ht="37.5" customHeight="1" outlineLevel="1" thickBot="1" x14ac:dyDescent="0.3">
      <c r="C8" s="301" t="str">
        <f>'Working Paper 3'!$B$9</f>
        <v>VC/MC Domestic Debit</v>
      </c>
      <c r="D8" s="309">
        <f>'Working Paper 3'!$C$9</f>
        <v>0.22558468242770457</v>
      </c>
      <c r="E8" s="295">
        <f t="shared" si="0"/>
        <v>0.22559999999999999</v>
      </c>
      <c r="F8" s="294"/>
      <c r="G8" s="317"/>
      <c r="H8" s="687">
        <f>'Working Paper 3'!$E$9</f>
        <v>143.21774507854948</v>
      </c>
      <c r="I8" s="690">
        <f t="shared" si="2"/>
        <v>65</v>
      </c>
      <c r="J8" s="294"/>
      <c r="K8" s="317"/>
      <c r="L8" s="298">
        <f>'Working Paper 3'!$G$9</f>
        <v>65.927949272184037</v>
      </c>
      <c r="M8" s="300">
        <f t="shared" si="3"/>
        <v>66</v>
      </c>
      <c r="N8" s="294"/>
      <c r="O8" s="317"/>
      <c r="P8" s="340"/>
      <c r="Q8" s="335"/>
      <c r="R8" s="317"/>
      <c r="S8" s="336"/>
      <c r="T8" s="317"/>
      <c r="U8" s="709"/>
      <c r="V8" s="317"/>
      <c r="W8" s="301" t="s">
        <v>122</v>
      </c>
      <c r="X8" s="309">
        <f t="shared" si="4"/>
        <v>0.17799999999999999</v>
      </c>
      <c r="Y8" s="295">
        <f t="shared" si="1"/>
        <v>0.17799999999999999</v>
      </c>
      <c r="Z8" s="294"/>
      <c r="AA8" s="317"/>
      <c r="AB8" s="298">
        <v>122</v>
      </c>
      <c r="AC8" s="299">
        <f t="shared" si="5"/>
        <v>122</v>
      </c>
      <c r="AD8" s="294"/>
      <c r="AE8" s="317"/>
      <c r="AF8" s="298">
        <v>72</v>
      </c>
      <c r="AG8" s="300">
        <f t="shared" si="6"/>
        <v>72</v>
      </c>
      <c r="AH8" s="294"/>
      <c r="AJ8" s="340"/>
      <c r="AK8" s="335"/>
      <c r="AL8" s="317"/>
      <c r="AM8" s="336"/>
      <c r="AR8" s="947"/>
      <c r="AS8" s="834">
        <f>AS7/(B26+Z25)*10000</f>
        <v>95.781610875622519</v>
      </c>
      <c r="AT8" s="901"/>
      <c r="AU8" s="923"/>
      <c r="AV8" s="837">
        <f>AV7/(Y25+B26)*10000</f>
        <v>74.216033532910032</v>
      </c>
      <c r="AW8" s="901"/>
      <c r="AX8" s="923"/>
      <c r="AY8" s="837">
        <f>AS8-AV8</f>
        <v>21.565577342712487</v>
      </c>
      <c r="AZ8" s="901"/>
      <c r="BA8" s="901"/>
      <c r="BB8" s="840"/>
      <c r="BC8" s="902"/>
      <c r="BD8" s="903"/>
      <c r="BE8" s="843">
        <f>R14*R10</f>
        <v>18.79</v>
      </c>
      <c r="BF8" s="901"/>
      <c r="BG8" s="901"/>
      <c r="BH8" s="837">
        <f>AY8-BE8</f>
        <v>2.7755773427124879</v>
      </c>
      <c r="BI8" s="901"/>
      <c r="BJ8" s="928"/>
    </row>
    <row r="9" spans="1:62" s="291" customFormat="1" ht="37.5" customHeight="1" outlineLevel="1" thickBot="1" x14ac:dyDescent="0.3">
      <c r="C9" s="301" t="str">
        <f>'Working Paper 3'!$B$10</f>
        <v>VC/MC  PemiumCredit</v>
      </c>
      <c r="D9" s="309">
        <f>'Working Paper 3'!$C$10</f>
        <v>0.25452682626864803</v>
      </c>
      <c r="E9" s="295">
        <f t="shared" si="0"/>
        <v>0.2545</v>
      </c>
      <c r="F9" s="294"/>
      <c r="G9" s="317"/>
      <c r="H9" s="687">
        <f>'Working Paper 3'!$E$10</f>
        <v>148.69146331982427</v>
      </c>
      <c r="I9" s="690">
        <f t="shared" si="2"/>
        <v>149</v>
      </c>
      <c r="J9" s="294"/>
      <c r="K9" s="317"/>
      <c r="L9" s="298">
        <f>'Working Paper 3'!$G$10</f>
        <v>100.86833162399658</v>
      </c>
      <c r="M9" s="300">
        <f t="shared" si="3"/>
        <v>101</v>
      </c>
      <c r="N9" s="294"/>
      <c r="O9" s="317"/>
      <c r="P9" s="340"/>
      <c r="Q9" s="887" t="s">
        <v>123</v>
      </c>
      <c r="R9" s="888"/>
      <c r="S9" s="889"/>
      <c r="T9" s="701"/>
      <c r="U9" s="709"/>
      <c r="V9" s="317"/>
      <c r="W9" s="301" t="s">
        <v>50</v>
      </c>
      <c r="X9" s="309">
        <f t="shared" si="4"/>
        <v>0.15</v>
      </c>
      <c r="Y9" s="295">
        <f t="shared" si="1"/>
        <v>0.15</v>
      </c>
      <c r="Z9" s="294"/>
      <c r="AA9" s="317"/>
      <c r="AB9" s="298">
        <v>122</v>
      </c>
      <c r="AC9" s="299">
        <f t="shared" si="5"/>
        <v>65</v>
      </c>
      <c r="AD9" s="294"/>
      <c r="AE9" s="317"/>
      <c r="AF9" s="298">
        <v>72</v>
      </c>
      <c r="AG9" s="300">
        <f t="shared" si="6"/>
        <v>72</v>
      </c>
      <c r="AH9" s="294"/>
      <c r="AJ9" s="340"/>
      <c r="AK9" s="887" t="s">
        <v>123</v>
      </c>
      <c r="AL9" s="888"/>
      <c r="AM9" s="889"/>
      <c r="AR9" s="696" t="s">
        <v>124</v>
      </c>
      <c r="AS9" s="945">
        <f>AS5-AS7</f>
        <v>1001638.2277202499</v>
      </c>
      <c r="AT9" s="788"/>
      <c r="AU9" s="789"/>
      <c r="AV9" s="790">
        <f>AV5-AV7</f>
        <v>1769.6840272247791</v>
      </c>
      <c r="AW9" s="791"/>
      <c r="AX9" s="792"/>
      <c r="AY9" s="793">
        <f>AY5-AY7</f>
        <v>999868.54369302513</v>
      </c>
      <c r="AZ9" s="788"/>
      <c r="BA9" s="788"/>
      <c r="BB9" s="794"/>
      <c r="BC9" s="788"/>
      <c r="BD9" s="789"/>
      <c r="BE9" s="795">
        <f>BE5-BE7</f>
        <v>52.178506272495724</v>
      </c>
      <c r="BF9" s="788"/>
      <c r="BG9" s="789"/>
      <c r="BH9" s="796">
        <f>BH5-BH7</f>
        <v>999816.36518675252</v>
      </c>
      <c r="BI9" s="788"/>
      <c r="BJ9" s="797"/>
    </row>
    <row r="10" spans="1:62" s="291" customFormat="1" ht="37.5" customHeight="1" outlineLevel="1" thickBot="1" x14ac:dyDescent="0.3">
      <c r="C10" s="301" t="str">
        <f>'Working Paper 3'!$B$11</f>
        <v>VC/MC Premium Debit</v>
      </c>
      <c r="D10" s="309">
        <f>'Working Paper 3'!$C$11</f>
        <v>6.0059880831170691E-2</v>
      </c>
      <c r="E10" s="295">
        <f t="shared" si="0"/>
        <v>6.0100000000000001E-2</v>
      </c>
      <c r="F10" s="294"/>
      <c r="G10" s="317"/>
      <c r="H10" s="687">
        <f>'Working Paper 3'!$E$11</f>
        <v>142.98844600659757</v>
      </c>
      <c r="I10" s="690">
        <f t="shared" si="2"/>
        <v>65</v>
      </c>
      <c r="J10" s="294"/>
      <c r="K10" s="317"/>
      <c r="L10" s="298">
        <f>'Working Paper 3'!$G$11</f>
        <v>54.90928046317822</v>
      </c>
      <c r="M10" s="300">
        <f t="shared" si="3"/>
        <v>55</v>
      </c>
      <c r="N10" s="294"/>
      <c r="O10" s="317"/>
      <c r="P10" s="340"/>
      <c r="Q10" s="384">
        <v>1</v>
      </c>
      <c r="R10" s="384">
        <f>Q22/100</f>
        <v>1</v>
      </c>
      <c r="S10" s="383"/>
      <c r="T10" s="317"/>
      <c r="U10" s="709"/>
      <c r="V10" s="317"/>
      <c r="W10" s="301" t="s">
        <v>125</v>
      </c>
      <c r="X10" s="309">
        <f t="shared" si="4"/>
        <v>0.15</v>
      </c>
      <c r="Y10" s="295">
        <f t="shared" si="1"/>
        <v>0.15</v>
      </c>
      <c r="Z10" s="294"/>
      <c r="AA10" s="318"/>
      <c r="AB10" s="298">
        <v>122</v>
      </c>
      <c r="AC10" s="299">
        <f t="shared" si="5"/>
        <v>65</v>
      </c>
      <c r="AD10" s="294"/>
      <c r="AE10" s="318"/>
      <c r="AF10" s="298">
        <v>72</v>
      </c>
      <c r="AG10" s="300">
        <f t="shared" si="6"/>
        <v>72</v>
      </c>
      <c r="AH10" s="294"/>
      <c r="AJ10" s="340"/>
      <c r="AK10" s="384">
        <v>1</v>
      </c>
      <c r="AL10" s="384">
        <f>AK22/100</f>
        <v>1</v>
      </c>
      <c r="AM10" s="383"/>
      <c r="AR10" s="425" t="s">
        <v>126</v>
      </c>
      <c r="AS10" s="950">
        <f>AS6-AS8</f>
        <v>45.631941616403665</v>
      </c>
      <c r="AT10" s="799"/>
      <c r="AU10" s="800"/>
      <c r="AV10" s="801">
        <f>AV6-AV8</f>
        <v>8.0622040947460505E-2</v>
      </c>
      <c r="AW10" s="799"/>
      <c r="AX10" s="800"/>
      <c r="AY10" s="801">
        <f>AY6-AY8</f>
        <v>45.551319575456205</v>
      </c>
      <c r="AZ10" s="799"/>
      <c r="BA10" s="799"/>
      <c r="BB10" s="802"/>
      <c r="BC10" s="803"/>
      <c r="BD10" s="804"/>
      <c r="BE10" s="805">
        <f>BE6-BE8</f>
        <v>-0.64303653820536866</v>
      </c>
      <c r="BF10" s="806"/>
      <c r="BG10" s="807"/>
      <c r="BH10" s="808">
        <f>BH6-BH8</f>
        <v>46.194356113661577</v>
      </c>
      <c r="BI10" s="806"/>
      <c r="BJ10" s="809"/>
    </row>
    <row r="11" spans="1:62" s="291" customFormat="1" ht="37.5" customHeight="1" outlineLevel="1" thickBot="1" x14ac:dyDescent="0.3">
      <c r="C11" s="301" t="str">
        <f>'Working Paper 3'!$B$12</f>
        <v>VC/MC  Int. Credit</v>
      </c>
      <c r="D11" s="309">
        <f>'Working Paper 3'!$C$12</f>
        <v>2.4773150306096305E-2</v>
      </c>
      <c r="E11" s="295">
        <f t="shared" si="0"/>
        <v>2.4799999999999999E-2</v>
      </c>
      <c r="F11" s="294"/>
      <c r="G11" s="317"/>
      <c r="H11" s="687">
        <f>'Working Paper 3'!$E$12</f>
        <v>145.45695079148425</v>
      </c>
      <c r="I11" s="690">
        <f t="shared" si="2"/>
        <v>145</v>
      </c>
      <c r="J11" s="294"/>
      <c r="K11" s="317"/>
      <c r="L11" s="298">
        <f>'Working Paper 3'!$G$12</f>
        <v>292.619148787516</v>
      </c>
      <c r="M11" s="300">
        <f t="shared" si="3"/>
        <v>293</v>
      </c>
      <c r="N11" s="294"/>
      <c r="O11" s="317"/>
      <c r="P11" s="340"/>
      <c r="Q11" s="335"/>
      <c r="R11" s="317"/>
      <c r="S11" s="336"/>
      <c r="T11" s="317"/>
      <c r="U11" s="709"/>
      <c r="V11" s="317"/>
      <c r="W11" s="323"/>
      <c r="X11" s="661"/>
      <c r="Y11" s="662"/>
      <c r="Z11" s="317"/>
      <c r="AA11" s="317"/>
      <c r="AB11" s="663"/>
      <c r="AC11" s="663"/>
      <c r="AD11" s="317"/>
      <c r="AE11" s="317"/>
      <c r="AF11" s="663"/>
      <c r="AG11" s="663"/>
      <c r="AH11" s="317"/>
      <c r="AI11" s="423"/>
      <c r="AJ11" s="340"/>
      <c r="AK11" s="335"/>
      <c r="AL11" s="317"/>
      <c r="AM11" s="336"/>
      <c r="AN11" s="423"/>
      <c r="AO11" s="423"/>
    </row>
    <row r="12" spans="1:62" s="291" customFormat="1" ht="37.5" customHeight="1" outlineLevel="1" thickBot="1" x14ac:dyDescent="0.3">
      <c r="C12" s="301" t="str">
        <f>'Working Paper 3'!$B$13</f>
        <v>VC/MC int.  Debit</v>
      </c>
      <c r="D12" s="309">
        <f>'Working Paper 3'!$C$13</f>
        <v>2.3298914154830527E-2</v>
      </c>
      <c r="E12" s="295">
        <f t="shared" si="0"/>
        <v>2.3300000000000001E-2</v>
      </c>
      <c r="F12" s="294"/>
      <c r="G12" s="317"/>
      <c r="H12" s="687">
        <f>'Working Paper 3'!$E$13</f>
        <v>139.5775929132339</v>
      </c>
      <c r="I12" s="690">
        <f t="shared" si="2"/>
        <v>140</v>
      </c>
      <c r="J12" s="294"/>
      <c r="K12" s="317"/>
      <c r="L12" s="298">
        <f>'Working Paper 3'!$G$13</f>
        <v>285.31047780447233</v>
      </c>
      <c r="M12" s="300">
        <f t="shared" si="3"/>
        <v>285</v>
      </c>
      <c r="N12" s="294"/>
      <c r="O12" s="317"/>
      <c r="P12" s="341"/>
      <c r="Q12" s="337"/>
      <c r="R12" s="318"/>
      <c r="S12" s="338"/>
      <c r="T12" s="317"/>
      <c r="U12" s="709"/>
      <c r="V12" s="317"/>
      <c r="W12" s="323"/>
      <c r="X12" s="661"/>
      <c r="Y12" s="662"/>
      <c r="Z12" s="317"/>
      <c r="AA12" s="317"/>
      <c r="AB12" s="663"/>
      <c r="AC12" s="663"/>
      <c r="AD12" s="317"/>
      <c r="AE12" s="317"/>
      <c r="AF12" s="663"/>
      <c r="AG12" s="663"/>
      <c r="AH12" s="317"/>
      <c r="AI12" s="423"/>
      <c r="AJ12" s="341"/>
      <c r="AK12" s="337"/>
      <c r="AL12" s="318"/>
      <c r="AM12" s="338"/>
      <c r="AN12" s="423"/>
      <c r="AO12" s="423"/>
      <c r="AR12" s="391" t="s">
        <v>127</v>
      </c>
    </row>
    <row r="13" spans="1:62" s="291" customFormat="1" ht="21.95" customHeight="1" outlineLevel="1" thickBot="1" x14ac:dyDescent="0.3">
      <c r="A13" s="303"/>
      <c r="G13" s="317"/>
      <c r="H13" s="688"/>
      <c r="I13" s="688"/>
      <c r="K13" s="317"/>
      <c r="O13" s="317"/>
      <c r="P13" s="317"/>
      <c r="Q13" s="317"/>
      <c r="R13" s="317"/>
      <c r="S13" s="317"/>
      <c r="T13" s="317"/>
      <c r="U13" s="709"/>
      <c r="V13" s="317"/>
      <c r="AA13" s="317"/>
      <c r="AE13" s="317"/>
      <c r="AI13"/>
      <c r="AJ13" s="317"/>
      <c r="AK13" s="317"/>
      <c r="AL13" s="317"/>
      <c r="AM13" s="317"/>
      <c r="AN13"/>
      <c r="AO13"/>
    </row>
    <row r="14" spans="1:62" s="291" customFormat="1" ht="21.95" customHeight="1" outlineLevel="1" thickBot="1" x14ac:dyDescent="0.3">
      <c r="A14" s="303"/>
      <c r="D14" s="315">
        <f>SUM(D5:D13)</f>
        <v>0.99999999999999978</v>
      </c>
      <c r="E14" s="316">
        <f>SUM(E5:E13)</f>
        <v>1.0001</v>
      </c>
      <c r="G14" s="317"/>
      <c r="H14" s="689">
        <f>I25/B26*10000</f>
        <v>145.09737289553766</v>
      </c>
      <c r="I14" s="691">
        <f>J25/B26*10000</f>
        <v>97.868399999999994</v>
      </c>
      <c r="K14" s="317"/>
      <c r="L14" s="363">
        <f>M25/B26*10000</f>
        <v>77.946175197285811</v>
      </c>
      <c r="M14" s="312">
        <f>N25/B26*10000</f>
        <v>77.847700000000003</v>
      </c>
      <c r="O14" s="317"/>
      <c r="Q14" s="332">
        <f>R20/B26*10000</f>
        <v>18.794239326298644</v>
      </c>
      <c r="R14" s="413">
        <f>S20/B26*10000</f>
        <v>18.79</v>
      </c>
      <c r="T14" s="317"/>
      <c r="U14" s="709"/>
      <c r="V14" s="317"/>
      <c r="X14" s="315">
        <f>SUM(X5:X13)</f>
        <v>1</v>
      </c>
      <c r="Y14" s="316">
        <f>SUM(Y5:Y13)</f>
        <v>1</v>
      </c>
      <c r="AA14" s="317"/>
      <c r="AB14" s="686">
        <f>AC25/V25*10000</f>
        <v>124.77799999999998</v>
      </c>
      <c r="AC14" s="357">
        <f>AD25/V25*10000</f>
        <v>86.358000000000004</v>
      </c>
      <c r="AE14" s="317"/>
      <c r="AF14" s="698">
        <f>AF25</f>
        <v>57.815999999999995</v>
      </c>
      <c r="AG14" s="312">
        <f>AH25/Z25*10000</f>
        <v>57.815999999999995</v>
      </c>
      <c r="AI14"/>
      <c r="AK14" s="332">
        <f>AL20/Z25*10000</f>
        <v>15.223967647309742</v>
      </c>
      <c r="AL14" s="413">
        <f>AM20/Z25*10000</f>
        <v>15.229999999999999</v>
      </c>
      <c r="AN14"/>
      <c r="AO14"/>
    </row>
    <row r="15" spans="1:62" s="291" customFormat="1" ht="21.95" customHeight="1" outlineLevel="1" thickBot="1" x14ac:dyDescent="0.3">
      <c r="A15" s="655" t="s">
        <v>128</v>
      </c>
      <c r="B15" s="409" t="s">
        <v>129</v>
      </c>
      <c r="G15" s="317"/>
      <c r="K15" s="317"/>
      <c r="O15" s="317"/>
      <c r="P15" s="317"/>
      <c r="Q15" s="317"/>
      <c r="R15" s="414"/>
      <c r="S15" s="317"/>
      <c r="T15" s="317"/>
      <c r="U15" s="709"/>
      <c r="V15" s="670" t="s">
        <v>103</v>
      </c>
      <c r="AA15" s="317"/>
      <c r="AE15" s="317"/>
      <c r="AI15"/>
      <c r="AJ15" s="317"/>
      <c r="AK15" s="317"/>
      <c r="AL15" s="414"/>
      <c r="AM15" s="317"/>
      <c r="AN15"/>
      <c r="AO15"/>
    </row>
    <row r="16" spans="1:62" s="291" customFormat="1" ht="21.95" customHeight="1" outlineLevel="1" thickBot="1" x14ac:dyDescent="0.3">
      <c r="A16" s="368">
        <f>'TTV By Card'!$C$24</f>
        <v>7773747.9000000004</v>
      </c>
      <c r="B16" s="370">
        <f>'TTV By Card'!$C$46</f>
        <v>1302400.9993999999</v>
      </c>
      <c r="C16" s="291" t="s">
        <v>130</v>
      </c>
      <c r="D16" s="369">
        <v>505</v>
      </c>
      <c r="E16" s="370">
        <f>D5*$B$26</f>
        <v>9076148.8993999995</v>
      </c>
      <c r="F16" s="349">
        <f>E5*$B$26</f>
        <v>9075284.5222000033</v>
      </c>
      <c r="G16" s="317"/>
      <c r="H16" s="688">
        <v>155</v>
      </c>
      <c r="I16" s="348">
        <f>H5*(A16+B16)/10000</f>
        <v>140625.07096306313</v>
      </c>
      <c r="J16" s="350">
        <f>I5*F16/10000</f>
        <v>140666.91009410005</v>
      </c>
      <c r="K16" s="317"/>
      <c r="L16" s="296">
        <v>170</v>
      </c>
      <c r="M16" s="348">
        <f>L5*(A16+B16)/10000</f>
        <v>154038.48510632664</v>
      </c>
      <c r="N16" s="351">
        <f>M5*F16/10000</f>
        <v>154279.83687740006</v>
      </c>
      <c r="O16" s="317"/>
      <c r="P16" s="329" t="s">
        <v>116</v>
      </c>
      <c r="Q16" s="371">
        <v>1065</v>
      </c>
      <c r="R16" s="694">
        <f>Q5*$B$26/10000</f>
        <v>191465.84802727259</v>
      </c>
      <c r="S16" s="373">
        <f>R5*$B$26/10000</f>
        <v>191389.66368600004</v>
      </c>
      <c r="T16" s="702"/>
      <c r="U16" s="709"/>
      <c r="V16" s="671">
        <f>'TTV By Card'!$C$55</f>
        <v>557132.03</v>
      </c>
      <c r="W16" s="291" t="str">
        <f>W5</f>
        <v>Amex</v>
      </c>
      <c r="X16" s="369">
        <v>140</v>
      </c>
      <c r="Y16" s="370">
        <f>X5*$V$25</f>
        <v>557132.03</v>
      </c>
      <c r="Z16" s="349">
        <f>Y5*$V$25</f>
        <v>557132.03</v>
      </c>
      <c r="AA16" s="317"/>
      <c r="AB16" s="700">
        <v>133</v>
      </c>
      <c r="AC16" s="348">
        <f>AB5*V16/10000</f>
        <v>7409.8559990000012</v>
      </c>
      <c r="AD16" s="350">
        <f>AC5*Z16/10000</f>
        <v>7409.8559990000012</v>
      </c>
      <c r="AE16" s="317"/>
      <c r="AF16" s="296">
        <v>160</v>
      </c>
      <c r="AG16" s="348">
        <f>AF5*V16/10000</f>
        <v>8914.1124800000016</v>
      </c>
      <c r="AH16" s="351">
        <f>AG5*Z16/10000</f>
        <v>8914.1124800000016</v>
      </c>
      <c r="AJ16" s="329" t="s">
        <v>116</v>
      </c>
      <c r="AK16" s="371">
        <v>476</v>
      </c>
      <c r="AL16" s="694">
        <f>AK5*$Z$25/10000</f>
        <v>18929</v>
      </c>
      <c r="AM16" s="373">
        <f>AL5*$Z$25/10000</f>
        <v>18942.489019999997</v>
      </c>
    </row>
    <row r="17" spans="1:42" ht="21.95" customHeight="1" outlineLevel="1" thickBot="1" x14ac:dyDescent="0.3">
      <c r="A17" s="368">
        <f>'TTV By Card'!$D$24</f>
        <v>46435674.090000018</v>
      </c>
      <c r="B17" s="370">
        <f>'TTV By Card'!$D$46</f>
        <v>11196557.2828</v>
      </c>
      <c r="C17" s="291" t="s">
        <v>3</v>
      </c>
      <c r="D17" s="369">
        <v>3207</v>
      </c>
      <c r="E17" s="370">
        <f t="shared" ref="E17:F23" si="8">D6*$B$26</f>
        <v>57632231.372800022</v>
      </c>
      <c r="F17" s="349">
        <f t="shared" si="8"/>
        <v>57632549.431080006</v>
      </c>
      <c r="H17" s="692">
        <v>65</v>
      </c>
      <c r="I17" s="348">
        <f t="shared" ref="I17:I23" si="9">H6*(A17+B17)/10000</f>
        <v>824097.96201185125</v>
      </c>
      <c r="J17" s="350">
        <f t="shared" ref="J17:J23" si="10">I6*F17/10000</f>
        <v>374611.57130202005</v>
      </c>
      <c r="L17" s="297">
        <v>28</v>
      </c>
      <c r="M17" s="348">
        <f t="shared" ref="M17:M23" si="11">L6*(A17+B17)/10000</f>
        <v>165177.77053064405</v>
      </c>
      <c r="N17" s="351">
        <f t="shared" ref="N17:N23" si="12">M6*F17/10000</f>
        <v>161371.13840702403</v>
      </c>
      <c r="P17" s="329" t="s">
        <v>118</v>
      </c>
      <c r="Q17" s="374">
        <v>312</v>
      </c>
      <c r="R17" s="694">
        <f t="shared" ref="R17:R18" si="13">Q6*$B$26/10000</f>
        <v>56069.084572800013</v>
      </c>
      <c r="S17" s="373">
        <f>R6*$B$26/10000</f>
        <v>56069.084572800013</v>
      </c>
      <c r="T17" s="702"/>
      <c r="U17" s="710"/>
      <c r="V17" s="672">
        <f>'TTV By Card'!$D$55</f>
        <v>13052807.560000001</v>
      </c>
      <c r="W17" s="291" t="str">
        <f t="shared" ref="W17:W21" si="14">W6</f>
        <v>EFTPOS</v>
      </c>
      <c r="X17" s="369">
        <v>3280</v>
      </c>
      <c r="Y17" s="370">
        <f t="shared" ref="Y17:Z21" si="15">X6*$V$25</f>
        <v>13052807.560000001</v>
      </c>
      <c r="Z17" s="349">
        <f t="shared" si="15"/>
        <v>13052807.560000001</v>
      </c>
      <c r="AA17" s="319"/>
      <c r="AB17" s="430">
        <v>65</v>
      </c>
      <c r="AC17" s="348">
        <f t="shared" ref="AC17:AC21" si="16">AB6*V17/10000</f>
        <v>169686.49828</v>
      </c>
      <c r="AD17" s="350">
        <f t="shared" ref="AD17:AD21" si="17">AC6*Z17/10000</f>
        <v>84843.24914</v>
      </c>
      <c r="AE17" s="319"/>
      <c r="AF17" s="297">
        <v>25</v>
      </c>
      <c r="AG17" s="348">
        <f t="shared" ref="AG17:AG21" si="18">AF6*V17/10000</f>
        <v>32632.018899999999</v>
      </c>
      <c r="AH17" s="351">
        <f t="shared" ref="AH17:AH21" si="19">AG6*Z17/10000</f>
        <v>32632.018899999999</v>
      </c>
      <c r="AJ17" s="329" t="s">
        <v>118</v>
      </c>
      <c r="AK17" s="374">
        <v>98</v>
      </c>
      <c r="AL17" s="694">
        <f t="shared" ref="AL17:AM18" si="20">AK6*$Z$25/10000</f>
        <v>3891</v>
      </c>
      <c r="AM17" s="373">
        <f t="shared" si="20"/>
        <v>3899.9242100000001</v>
      </c>
    </row>
    <row r="18" spans="1:42" ht="21.95" customHeight="1" outlineLevel="1" thickBot="1" x14ac:dyDescent="0.3">
      <c r="A18" s="656">
        <f>'TTV By Card'!$E$24</f>
        <v>5845626.4700000016</v>
      </c>
      <c r="B18" s="659">
        <f>'TTV By Card'!$E$46</f>
        <v>1442187.4941</v>
      </c>
      <c r="C18" s="291" t="s">
        <v>4</v>
      </c>
      <c r="D18" s="369">
        <v>406</v>
      </c>
      <c r="E18" s="370">
        <f t="shared" si="8"/>
        <v>7287813.9641000004</v>
      </c>
      <c r="F18" s="349">
        <f t="shared" si="8"/>
        <v>7296169.3386400007</v>
      </c>
      <c r="H18" s="692">
        <v>144</v>
      </c>
      <c r="I18" s="348">
        <f t="shared" si="9"/>
        <v>104549.8989406953</v>
      </c>
      <c r="J18" s="350">
        <f t="shared" si="10"/>
        <v>105064.83847641601</v>
      </c>
      <c r="L18" s="297">
        <v>61</v>
      </c>
      <c r="M18" s="348">
        <f t="shared" si="11"/>
        <v>43898.925875452092</v>
      </c>
      <c r="N18" s="351">
        <f t="shared" si="12"/>
        <v>44506.632965704004</v>
      </c>
      <c r="P18" s="333" t="s">
        <v>119</v>
      </c>
      <c r="Q18" s="374">
        <v>502</v>
      </c>
      <c r="R18" s="694">
        <f t="shared" si="13"/>
        <v>90213.719408800011</v>
      </c>
      <c r="S18" s="373">
        <f>R7*$B$26/10000</f>
        <v>90213.719408800011</v>
      </c>
      <c r="T18" s="702"/>
      <c r="U18" s="710"/>
      <c r="V18" s="672">
        <f>'TTV By Card'!$E$55</f>
        <v>7163126.0999999996</v>
      </c>
      <c r="W18" s="291" t="str">
        <f t="shared" si="14"/>
        <v>Credit ViSa</v>
      </c>
      <c r="X18" s="369">
        <v>1800</v>
      </c>
      <c r="Y18" s="370">
        <f t="shared" si="15"/>
        <v>7163126.0999999996</v>
      </c>
      <c r="Z18" s="349">
        <f t="shared" si="15"/>
        <v>7163126.0999999996</v>
      </c>
      <c r="AA18" s="319"/>
      <c r="AB18" s="430">
        <v>122</v>
      </c>
      <c r="AC18" s="348">
        <f t="shared" si="16"/>
        <v>87390.138419999988</v>
      </c>
      <c r="AD18" s="350">
        <f t="shared" si="17"/>
        <v>87390.138419999988</v>
      </c>
      <c r="AE18" s="319"/>
      <c r="AF18" s="297">
        <v>72</v>
      </c>
      <c r="AG18" s="348">
        <f t="shared" si="18"/>
        <v>51574.507919999996</v>
      </c>
      <c r="AH18" s="351">
        <f t="shared" si="19"/>
        <v>51574.507919999996</v>
      </c>
      <c r="AJ18" s="333" t="s">
        <v>119</v>
      </c>
      <c r="AK18" s="374">
        <v>949</v>
      </c>
      <c r="AL18" s="694">
        <f t="shared" si="20"/>
        <v>37764</v>
      </c>
      <c r="AM18" s="373">
        <f t="shared" si="20"/>
        <v>37765.592604999998</v>
      </c>
    </row>
    <row r="19" spans="1:42" ht="21.95" customHeight="1" outlineLevel="1" x14ac:dyDescent="0.25">
      <c r="A19" s="657">
        <f>'TTV By Card'!$F$24</f>
        <v>32721693.030000001</v>
      </c>
      <c r="B19" s="658">
        <f>'TTV By Card'!$F$46</f>
        <v>7817815.4231000002</v>
      </c>
      <c r="C19" s="291" t="s">
        <v>5</v>
      </c>
      <c r="D19" s="369">
        <v>2256</v>
      </c>
      <c r="E19" s="370">
        <f t="shared" si="8"/>
        <v>40539508.453100003</v>
      </c>
      <c r="F19" s="349">
        <f t="shared" si="8"/>
        <v>40542261.152640007</v>
      </c>
      <c r="H19" s="692">
        <v>65</v>
      </c>
      <c r="I19" s="348">
        <f t="shared" si="9"/>
        <v>580597.69872457779</v>
      </c>
      <c r="J19" s="350">
        <f t="shared" si="10"/>
        <v>263524.69749216002</v>
      </c>
      <c r="L19" s="297">
        <v>66</v>
      </c>
      <c r="M19" s="348">
        <f t="shared" si="11"/>
        <v>267268.66568152525</v>
      </c>
      <c r="N19" s="351">
        <f t="shared" si="12"/>
        <v>267578.92360742408</v>
      </c>
      <c r="S19" s="246"/>
      <c r="U19" s="710"/>
      <c r="V19" s="672">
        <f>'TTV By Card'!$F$55</f>
        <v>7083535.8099999996</v>
      </c>
      <c r="W19" s="291" t="str">
        <f t="shared" si="14"/>
        <v>Credit MC</v>
      </c>
      <c r="X19" s="369">
        <v>1780</v>
      </c>
      <c r="Y19" s="370">
        <f t="shared" si="15"/>
        <v>7083535.8099999996</v>
      </c>
      <c r="Z19" s="349">
        <f t="shared" si="15"/>
        <v>7083535.8099999996</v>
      </c>
      <c r="AA19" s="319"/>
      <c r="AB19" s="430">
        <v>122</v>
      </c>
      <c r="AC19" s="348">
        <f t="shared" si="16"/>
        <v>86419.136881999992</v>
      </c>
      <c r="AD19" s="350">
        <f t="shared" si="17"/>
        <v>86419.136881999992</v>
      </c>
      <c r="AE19" s="319"/>
      <c r="AF19" s="297">
        <v>72</v>
      </c>
      <c r="AG19" s="348">
        <f t="shared" si="18"/>
        <v>51001.457832</v>
      </c>
      <c r="AH19" s="351">
        <f t="shared" si="19"/>
        <v>51001.457832</v>
      </c>
      <c r="AJ19" s="319"/>
      <c r="AK19" s="319"/>
      <c r="AL19" s="319"/>
      <c r="AM19" s="246"/>
    </row>
    <row r="20" spans="1:42" ht="21.95" customHeight="1" outlineLevel="1" x14ac:dyDescent="0.25">
      <c r="A20" s="656">
        <f>'TTV By Card'!$G$24</f>
        <v>37104582.900000006</v>
      </c>
      <c r="B20" s="659">
        <f>'TTV By Card'!$G$46</f>
        <v>8636077.8311000001</v>
      </c>
      <c r="C20" s="291" t="s">
        <v>131</v>
      </c>
      <c r="D20" s="369">
        <v>2545</v>
      </c>
      <c r="E20" s="370">
        <f t="shared" si="8"/>
        <v>45740660.731100008</v>
      </c>
      <c r="F20" s="349">
        <f t="shared" si="8"/>
        <v>45735839.819800012</v>
      </c>
      <c r="H20" s="692">
        <v>149</v>
      </c>
      <c r="I20" s="348">
        <f t="shared" si="9"/>
        <v>680124.57773228828</v>
      </c>
      <c r="J20" s="350">
        <f t="shared" si="10"/>
        <v>681464.01331502013</v>
      </c>
      <c r="L20" s="297">
        <v>101</v>
      </c>
      <c r="M20" s="348">
        <f t="shared" si="11"/>
        <v>461378.41353253135</v>
      </c>
      <c r="N20" s="351">
        <f t="shared" si="12"/>
        <v>461931.98217998008</v>
      </c>
      <c r="Q20" s="320">
        <f>R20/B26*10000</f>
        <v>18.794239326298644</v>
      </c>
      <c r="R20" s="695">
        <f>SUM(R16:R19)</f>
        <v>337748.6520088726</v>
      </c>
      <c r="S20" s="377">
        <f>SUM(S16:S18)</f>
        <v>337672.46766760008</v>
      </c>
      <c r="T20" s="695"/>
      <c r="U20" s="710"/>
      <c r="V20" s="672">
        <f>'TTV By Card'!$G$55</f>
        <v>5969271.75</v>
      </c>
      <c r="W20" s="291" t="str">
        <f t="shared" si="14"/>
        <v>Debit VISA</v>
      </c>
      <c r="X20" s="369">
        <v>1500</v>
      </c>
      <c r="Y20" s="370">
        <f t="shared" si="15"/>
        <v>5969271.75</v>
      </c>
      <c r="Z20" s="349">
        <f t="shared" si="15"/>
        <v>5969271.75</v>
      </c>
      <c r="AA20" s="319"/>
      <c r="AB20" s="430">
        <v>65</v>
      </c>
      <c r="AC20" s="348">
        <f t="shared" si="16"/>
        <v>72825.115349999993</v>
      </c>
      <c r="AD20" s="350">
        <f t="shared" si="17"/>
        <v>38800.266374999999</v>
      </c>
      <c r="AE20" s="319"/>
      <c r="AF20" s="297">
        <v>72</v>
      </c>
      <c r="AG20" s="348">
        <f t="shared" si="18"/>
        <v>42978.756600000001</v>
      </c>
      <c r="AH20" s="351">
        <f t="shared" si="19"/>
        <v>42978.756600000001</v>
      </c>
      <c r="AJ20" s="319"/>
      <c r="AK20" s="320">
        <f>AL26/$Z$25*10000</f>
        <v>15.223967647309742</v>
      </c>
      <c r="AL20" s="695">
        <f>SUM(AL16:AL19)</f>
        <v>60584</v>
      </c>
      <c r="AM20" s="699">
        <f>SUM(AM16:AM18)</f>
        <v>60608.005834999996</v>
      </c>
    </row>
    <row r="21" spans="1:42" ht="21.95" customHeight="1" outlineLevel="1" x14ac:dyDescent="0.25">
      <c r="A21" s="657">
        <f>'TTV By Card'!$H$24</f>
        <v>8618063.129999999</v>
      </c>
      <c r="B21" s="658">
        <f>'TTV By Card'!$H$46</f>
        <v>2175214.2345999996</v>
      </c>
      <c r="C21" s="291" t="s">
        <v>7</v>
      </c>
      <c r="D21" s="369">
        <v>601</v>
      </c>
      <c r="E21" s="370">
        <f t="shared" si="8"/>
        <v>10793277.364599999</v>
      </c>
      <c r="F21" s="349">
        <f t="shared" si="8"/>
        <v>10800487.124440003</v>
      </c>
      <c r="H21" s="692">
        <v>65</v>
      </c>
      <c r="I21" s="348">
        <f t="shared" si="9"/>
        <v>154331.39576823387</v>
      </c>
      <c r="J21" s="350">
        <f t="shared" si="10"/>
        <v>70203.166308860018</v>
      </c>
      <c r="L21" s="297">
        <v>55</v>
      </c>
      <c r="M21" s="348">
        <f t="shared" si="11"/>
        <v>59265.10939296944</v>
      </c>
      <c r="N21" s="351">
        <f t="shared" si="12"/>
        <v>59402.679184420012</v>
      </c>
      <c r="U21" s="710"/>
      <c r="V21" s="672">
        <f>'TTV By Card'!$H$55</f>
        <v>5969271.75</v>
      </c>
      <c r="W21" s="291" t="str">
        <f t="shared" si="14"/>
        <v>Debit MC</v>
      </c>
      <c r="X21" s="369">
        <v>1500</v>
      </c>
      <c r="Y21" s="370">
        <f t="shared" si="15"/>
        <v>5969271.75</v>
      </c>
      <c r="Z21" s="349">
        <f t="shared" si="15"/>
        <v>5969271.75</v>
      </c>
      <c r="AA21" s="319"/>
      <c r="AB21" s="430">
        <v>65</v>
      </c>
      <c r="AC21" s="348">
        <f t="shared" si="16"/>
        <v>72825.115349999993</v>
      </c>
      <c r="AD21" s="350">
        <f t="shared" si="17"/>
        <v>38800.266374999999</v>
      </c>
      <c r="AE21" s="319"/>
      <c r="AF21" s="297">
        <v>72</v>
      </c>
      <c r="AG21" s="348">
        <f t="shared" si="18"/>
        <v>42978.756600000001</v>
      </c>
      <c r="AH21" s="351">
        <f t="shared" si="19"/>
        <v>42978.756600000001</v>
      </c>
      <c r="AJ21" s="319"/>
      <c r="AK21" s="319"/>
      <c r="AL21" s="319"/>
      <c r="AM21" s="319"/>
    </row>
    <row r="22" spans="1:42" ht="21.95" customHeight="1" outlineLevel="1" x14ac:dyDescent="0.25">
      <c r="A22" s="656">
        <f>'TTV By Card'!$I$24</f>
        <v>3623457.5800000005</v>
      </c>
      <c r="B22" s="659">
        <f>'TTV By Card'!$I$46</f>
        <v>828490.68809999991</v>
      </c>
      <c r="C22" s="291" t="s">
        <v>132</v>
      </c>
      <c r="D22" s="369">
        <v>248</v>
      </c>
      <c r="E22" s="370">
        <f t="shared" si="8"/>
        <v>4451948.2681000009</v>
      </c>
      <c r="F22" s="349">
        <f t="shared" si="8"/>
        <v>4456773.3891200004</v>
      </c>
      <c r="H22" s="692">
        <v>145</v>
      </c>
      <c r="I22" s="348">
        <f t="shared" si="9"/>
        <v>64756.682015925537</v>
      </c>
      <c r="J22" s="350">
        <f t="shared" si="10"/>
        <v>64623.214142240009</v>
      </c>
      <c r="L22" s="297">
        <v>293</v>
      </c>
      <c r="M22" s="348">
        <f t="shared" si="11"/>
        <v>130272.53126574784</v>
      </c>
      <c r="N22" s="351">
        <f t="shared" si="12"/>
        <v>130583.46030121601</v>
      </c>
      <c r="Q22" s="386">
        <v>100</v>
      </c>
      <c r="R22" s="385">
        <f>R10*1</f>
        <v>1</v>
      </c>
      <c r="S22" s="246"/>
      <c r="U22" s="710"/>
      <c r="W22" s="317"/>
      <c r="X22" s="660"/>
      <c r="Y22" s="667"/>
      <c r="Z22" s="668"/>
      <c r="AA22" s="319"/>
      <c r="AB22" s="320"/>
      <c r="AC22" s="668"/>
      <c r="AD22" s="668"/>
      <c r="AE22" s="319"/>
      <c r="AF22" s="320"/>
      <c r="AG22" s="668"/>
      <c r="AH22" s="669"/>
      <c r="AJ22" s="319"/>
      <c r="AK22" s="386">
        <v>100</v>
      </c>
      <c r="AL22" s="385">
        <f>AL10*1</f>
        <v>1</v>
      </c>
      <c r="AM22" s="246"/>
    </row>
    <row r="23" spans="1:42" ht="21.95" customHeight="1" outlineLevel="1" x14ac:dyDescent="0.25">
      <c r="A23" s="657">
        <f>'TTV By Card'!$J$24</f>
        <v>3491492.3000000003</v>
      </c>
      <c r="B23" s="658">
        <f>'TTV By Card'!$J$46</f>
        <v>695523.04680000001</v>
      </c>
      <c r="C23" s="291" t="s">
        <v>133</v>
      </c>
      <c r="D23" s="369">
        <v>233</v>
      </c>
      <c r="E23" s="370">
        <f t="shared" si="8"/>
        <v>4187015.3468000004</v>
      </c>
      <c r="F23" s="349">
        <f t="shared" si="8"/>
        <v>4187210.482520001</v>
      </c>
      <c r="H23" s="692">
        <v>140</v>
      </c>
      <c r="I23" s="348">
        <f t="shared" si="9"/>
        <v>58441.352359711338</v>
      </c>
      <c r="J23" s="350">
        <f t="shared" si="10"/>
        <v>58620.94675528002</v>
      </c>
      <c r="L23" s="297">
        <v>285</v>
      </c>
      <c r="M23" s="348">
        <f t="shared" si="11"/>
        <v>119459.93491701665</v>
      </c>
      <c r="N23" s="351">
        <f t="shared" si="12"/>
        <v>119335.49875182004</v>
      </c>
      <c r="Q23" s="319">
        <f>R23/A25*10000</f>
        <v>10.654239326298644</v>
      </c>
      <c r="R23" s="372">
        <v>155141</v>
      </c>
      <c r="S23" s="246"/>
      <c r="U23" s="710"/>
      <c r="W23" s="317"/>
      <c r="X23" s="660"/>
      <c r="Y23" s="667"/>
      <c r="Z23" s="668"/>
      <c r="AA23" s="319"/>
      <c r="AB23" s="320"/>
      <c r="AC23" s="668"/>
      <c r="AD23" s="668"/>
      <c r="AE23" s="319"/>
      <c r="AF23" s="320"/>
      <c r="AG23" s="668"/>
      <c r="AH23" s="669"/>
      <c r="AJ23" s="319"/>
      <c r="AK23" s="319"/>
      <c r="AL23" s="372">
        <v>18929</v>
      </c>
      <c r="AM23" s="246"/>
    </row>
    <row r="24" spans="1:42" ht="21.95" customHeight="1" outlineLevel="1" x14ac:dyDescent="0.25">
      <c r="A24" s="375"/>
      <c r="D24" s="291"/>
      <c r="H24" s="692"/>
      <c r="R24" s="372">
        <v>45390</v>
      </c>
      <c r="U24" s="710"/>
      <c r="W24"/>
      <c r="X24" s="291"/>
      <c r="AA24" s="319"/>
      <c r="AE24" s="319"/>
      <c r="AJ24" s="319"/>
      <c r="AK24" s="319"/>
      <c r="AL24" s="372">
        <v>3891</v>
      </c>
      <c r="AM24" s="319"/>
    </row>
    <row r="25" spans="1:42" ht="21.95" customHeight="1" outlineLevel="1" x14ac:dyDescent="0.25">
      <c r="A25" s="376">
        <f>SUM(A16:A24)</f>
        <v>145614337.40000004</v>
      </c>
      <c r="B25" s="376">
        <f>SUM(B16:B24)</f>
        <v>34094267</v>
      </c>
      <c r="C25" s="343"/>
      <c r="D25" s="344">
        <f>SUM(D16:D24)</f>
        <v>10001</v>
      </c>
      <c r="E25" s="681">
        <f>SUM(E16:E23)</f>
        <v>179708604.40000004</v>
      </c>
      <c r="F25" s="342">
        <f>SUM(F16:F23)</f>
        <v>179726575.26044008</v>
      </c>
      <c r="G25" s="343"/>
      <c r="H25" s="693">
        <f>I25/E25*10000</f>
        <v>145.09737289553766</v>
      </c>
      <c r="I25" s="681">
        <f>SUM(I16:I24)</f>
        <v>2607524.6385163465</v>
      </c>
      <c r="J25" s="342">
        <f>SUM(J16:J24)</f>
        <v>1758779.3578860965</v>
      </c>
      <c r="K25" s="343"/>
      <c r="L25" s="345">
        <f>M25/E25*10000</f>
        <v>77.946175197285811</v>
      </c>
      <c r="M25" s="347">
        <f>SUM(M16:M24)</f>
        <v>1400759.8363022131</v>
      </c>
      <c r="N25" s="377">
        <f>SUM(N16:N24)</f>
        <v>1398990.1522749884</v>
      </c>
      <c r="O25" s="345"/>
      <c r="P25" s="345"/>
      <c r="R25" s="372">
        <v>73040</v>
      </c>
      <c r="U25" s="711"/>
      <c r="V25" s="672">
        <f>SUM(V16:V24)</f>
        <v>39795145</v>
      </c>
      <c r="W25" s="343"/>
      <c r="X25" s="344">
        <f>SUM(X16:X24)</f>
        <v>10000</v>
      </c>
      <c r="Y25" s="681">
        <f>SUM(Y16:Y23)</f>
        <v>39795145</v>
      </c>
      <c r="Z25" s="685">
        <f>SUM(Z16:Z23)</f>
        <v>39795145</v>
      </c>
      <c r="AA25" s="319"/>
      <c r="AB25" s="320">
        <f>AC25/Y25*10000</f>
        <v>124.77799999999998</v>
      </c>
      <c r="AC25" s="681">
        <f>SUM(AC16:AC24)</f>
        <v>496555.86028099991</v>
      </c>
      <c r="AD25" s="342">
        <f>SUM(AD16:AD24)</f>
        <v>343662.913191</v>
      </c>
      <c r="AE25" s="343"/>
      <c r="AF25" s="320">
        <f>AG25/Z25*10000</f>
        <v>57.815999999999995</v>
      </c>
      <c r="AG25" s="672">
        <f>SUM(AG16:AG24)</f>
        <v>230079.61033199998</v>
      </c>
      <c r="AH25" s="697">
        <f>SUM(AH16:AH24)</f>
        <v>230079.61033199998</v>
      </c>
      <c r="AJ25" s="345"/>
      <c r="AK25" s="319"/>
      <c r="AL25" s="372">
        <v>37764</v>
      </c>
      <c r="AM25" s="319"/>
    </row>
    <row r="26" spans="1:42" ht="21.95" customHeight="1" outlineLevel="1" x14ac:dyDescent="0.25">
      <c r="A26" s="375"/>
      <c r="B26" s="71">
        <f>A25+B25</f>
        <v>179708604.40000004</v>
      </c>
      <c r="M26" s="149"/>
      <c r="N26" s="7"/>
      <c r="R26" s="377">
        <f>SUM(R23:R25)</f>
        <v>273571</v>
      </c>
      <c r="V26" s="695"/>
      <c r="AJ26" s="319"/>
      <c r="AK26" s="319"/>
      <c r="AL26" s="377">
        <f>SUM(AL23:AL25)</f>
        <v>60584</v>
      </c>
      <c r="AM26" s="319"/>
    </row>
    <row r="27" spans="1:42" ht="21.75" customHeight="1" outlineLevel="1" x14ac:dyDescent="0.25">
      <c r="M27" s="149"/>
      <c r="N27" s="7"/>
    </row>
    <row r="28" spans="1:42" ht="6.75" customHeight="1" outlineLevel="1" x14ac:dyDescent="0.25">
      <c r="B28" s="710"/>
      <c r="C28" s="710"/>
      <c r="D28" s="710"/>
      <c r="E28" s="710"/>
      <c r="F28" s="710"/>
      <c r="G28" s="710"/>
      <c r="H28" s="710"/>
      <c r="I28" s="710"/>
      <c r="J28" s="710"/>
      <c r="K28" s="710"/>
      <c r="L28" s="710"/>
      <c r="M28" s="712"/>
      <c r="N28" s="713"/>
      <c r="O28" s="710"/>
      <c r="P28" s="710"/>
      <c r="Q28" s="710"/>
      <c r="R28" s="710"/>
      <c r="S28" s="710"/>
      <c r="T28" s="710"/>
      <c r="U28" s="710"/>
      <c r="V28" s="710"/>
      <c r="W28" s="710"/>
      <c r="X28" s="710"/>
      <c r="Y28" s="710"/>
      <c r="Z28" s="710"/>
      <c r="AA28" s="710"/>
      <c r="AB28" s="710"/>
      <c r="AC28" s="710"/>
      <c r="AD28" s="710"/>
      <c r="AE28" s="710"/>
      <c r="AF28" s="710"/>
      <c r="AG28" s="710"/>
      <c r="AH28" s="710"/>
      <c r="AI28" s="710"/>
      <c r="AJ28" s="710"/>
      <c r="AK28" s="710"/>
      <c r="AL28" s="710"/>
    </row>
    <row r="29" spans="1:42" ht="21.95" customHeight="1" outlineLevel="1" x14ac:dyDescent="0.25">
      <c r="M29" s="149"/>
      <c r="N29" s="7"/>
    </row>
    <row r="30" spans="1:42" ht="21.95" customHeight="1" x14ac:dyDescent="0.25">
      <c r="M30" s="149"/>
      <c r="N30" s="7"/>
    </row>
    <row r="31" spans="1:42" ht="21.95" customHeight="1" outlineLevel="1" x14ac:dyDescent="0.35">
      <c r="D31" s="465" t="s">
        <v>134</v>
      </c>
      <c r="F31" s="465" t="s">
        <v>135</v>
      </c>
      <c r="G31" s="466"/>
      <c r="H31" s="465"/>
      <c r="I31" s="465"/>
      <c r="J31" s="465"/>
      <c r="K31" s="466"/>
      <c r="L31" s="465"/>
      <c r="M31" s="468"/>
      <c r="X31" s="465" t="s">
        <v>134</v>
      </c>
    </row>
    <row r="32" spans="1:42" ht="21.95" customHeight="1" outlineLevel="1" thickBot="1" x14ac:dyDescent="0.3">
      <c r="A32" s="291"/>
      <c r="B32" s="291"/>
      <c r="C32" s="291"/>
      <c r="D32" s="291"/>
      <c r="E32" s="291"/>
      <c r="F32" s="291"/>
      <c r="G32" s="317"/>
      <c r="H32" s="882" t="s">
        <v>102</v>
      </c>
      <c r="I32" s="882"/>
      <c r="J32" s="882"/>
      <c r="K32" s="317"/>
      <c r="L32" s="291"/>
      <c r="M32" s="291"/>
      <c r="N32" s="291"/>
      <c r="O32" s="317"/>
      <c r="P32" s="317"/>
      <c r="Q32" s="317"/>
      <c r="R32" s="317"/>
      <c r="S32" s="317"/>
      <c r="T32" s="317"/>
      <c r="U32" s="317"/>
      <c r="V32" s="317"/>
      <c r="W32" s="317"/>
      <c r="X32" s="291"/>
      <c r="Y32" s="291"/>
      <c r="Z32" s="291"/>
      <c r="AA32" s="291"/>
      <c r="AB32" s="882" t="s">
        <v>103</v>
      </c>
      <c r="AC32" s="882"/>
      <c r="AD32" s="882"/>
      <c r="AP32" s="291"/>
    </row>
    <row r="33" spans="1:62" ht="38.25" customHeight="1" outlineLevel="1" thickBot="1" x14ac:dyDescent="0.3">
      <c r="A33" s="291"/>
      <c r="B33" s="291"/>
      <c r="C33" s="291"/>
      <c r="D33" s="883" t="s">
        <v>104</v>
      </c>
      <c r="E33" s="884"/>
      <c r="F33" s="885"/>
      <c r="G33" s="323"/>
      <c r="H33" s="873" t="s">
        <v>105</v>
      </c>
      <c r="I33" s="874"/>
      <c r="J33" s="875"/>
      <c r="K33" s="323"/>
      <c r="L33" s="876" t="s">
        <v>106</v>
      </c>
      <c r="M33" s="877"/>
      <c r="N33" s="878"/>
      <c r="O33" s="323"/>
      <c r="P33" s="323"/>
      <c r="Q33" s="879" t="s">
        <v>107</v>
      </c>
      <c r="R33" s="880"/>
      <c r="S33" s="881"/>
      <c r="T33" s="323"/>
      <c r="U33" s="710"/>
      <c r="V33" s="323"/>
      <c r="W33" s="291"/>
      <c r="X33" s="883" t="s">
        <v>104</v>
      </c>
      <c r="Y33" s="884"/>
      <c r="Z33" s="885"/>
      <c r="AA33" s="323"/>
      <c r="AB33" s="873" t="s">
        <v>105</v>
      </c>
      <c r="AC33" s="874"/>
      <c r="AD33" s="875"/>
      <c r="AE33" s="323"/>
      <c r="AF33" s="876" t="s">
        <v>106</v>
      </c>
      <c r="AG33" s="877"/>
      <c r="AH33" s="878"/>
      <c r="AI33" s="291"/>
      <c r="AJ33" s="323"/>
      <c r="AK33" s="879" t="s">
        <v>107</v>
      </c>
      <c r="AL33" s="880"/>
      <c r="AM33" s="881"/>
      <c r="AP33" s="291"/>
      <c r="AR33" s="321"/>
      <c r="AS33" s="936" t="s">
        <v>108</v>
      </c>
      <c r="AT33" s="937"/>
      <c r="AU33" s="938"/>
      <c r="AV33" s="942" t="s">
        <v>1</v>
      </c>
      <c r="AW33" s="942"/>
      <c r="AX33" s="943"/>
      <c r="AY33" s="860" t="s">
        <v>109</v>
      </c>
      <c r="AZ33" s="913"/>
      <c r="BA33" s="913"/>
      <c r="BB33" s="853" t="s">
        <v>110</v>
      </c>
      <c r="BC33" s="851"/>
      <c r="BD33" s="916"/>
      <c r="BE33" s="857" t="s">
        <v>111</v>
      </c>
      <c r="BF33" s="857"/>
      <c r="BG33" s="858"/>
      <c r="BH33" s="860" t="s">
        <v>112</v>
      </c>
      <c r="BI33" s="861"/>
      <c r="BJ33" s="862"/>
    </row>
    <row r="34" spans="1:62" ht="38.450000000000003" customHeight="1" outlineLevel="1" thickBot="1" x14ac:dyDescent="0.3">
      <c r="A34" s="291"/>
      <c r="B34" s="291"/>
      <c r="C34" s="291"/>
      <c r="D34" s="325" t="s">
        <v>113</v>
      </c>
      <c r="E34" s="883" t="s">
        <v>114</v>
      </c>
      <c r="F34" s="890"/>
      <c r="G34" s="322"/>
      <c r="H34" s="302" t="s">
        <v>113</v>
      </c>
      <c r="I34" s="873" t="s">
        <v>115</v>
      </c>
      <c r="J34" s="891"/>
      <c r="K34" s="322"/>
      <c r="L34" s="302" t="s">
        <v>113</v>
      </c>
      <c r="M34" s="876" t="s">
        <v>115</v>
      </c>
      <c r="N34" s="886"/>
      <c r="O34" s="322"/>
      <c r="P34" s="322"/>
      <c r="Q34" s="328" t="s">
        <v>113</v>
      </c>
      <c r="R34" s="871" t="s">
        <v>115</v>
      </c>
      <c r="S34" s="872"/>
      <c r="T34" s="322"/>
      <c r="U34" s="708"/>
      <c r="V34" s="322"/>
      <c r="W34" s="291"/>
      <c r="X34" s="664" t="s">
        <v>113</v>
      </c>
      <c r="Y34" s="865" t="s">
        <v>114</v>
      </c>
      <c r="Z34" s="866"/>
      <c r="AA34" s="322"/>
      <c r="AB34" s="328" t="s">
        <v>113</v>
      </c>
      <c r="AC34" s="867" t="s">
        <v>115</v>
      </c>
      <c r="AD34" s="868"/>
      <c r="AE34" s="322"/>
      <c r="AF34" s="328" t="s">
        <v>113</v>
      </c>
      <c r="AG34" s="869" t="s">
        <v>115</v>
      </c>
      <c r="AH34" s="870"/>
      <c r="AI34" s="291"/>
      <c r="AJ34" s="322"/>
      <c r="AK34" s="328" t="s">
        <v>113</v>
      </c>
      <c r="AL34" s="871" t="s">
        <v>115</v>
      </c>
      <c r="AM34" s="872"/>
      <c r="AP34" s="291"/>
      <c r="AR34" s="322"/>
      <c r="AS34" s="939"/>
      <c r="AT34" s="940"/>
      <c r="AU34" s="941"/>
      <c r="AV34" s="944"/>
      <c r="AW34" s="944"/>
      <c r="AX34" s="944"/>
      <c r="AY34" s="930"/>
      <c r="AZ34" s="931"/>
      <c r="BA34" s="931"/>
      <c r="BB34" s="854"/>
      <c r="BC34" s="849"/>
      <c r="BD34" s="850"/>
      <c r="BE34" s="859"/>
      <c r="BF34" s="859"/>
      <c r="BG34" s="859"/>
      <c r="BH34" s="863"/>
      <c r="BI34" s="864"/>
      <c r="BJ34" s="864"/>
    </row>
    <row r="35" spans="1:62" ht="49.5" customHeight="1" outlineLevel="1" thickBot="1" x14ac:dyDescent="0.3">
      <c r="A35" s="291"/>
      <c r="B35" s="291"/>
      <c r="C35" s="301" t="s">
        <v>130</v>
      </c>
      <c r="D35" s="309">
        <f>'Working Paper 3'!$C$6</f>
        <v>5.0504809882102659E-2</v>
      </c>
      <c r="E35" s="295">
        <f t="shared" ref="E35:E42" si="21">D46/10000</f>
        <v>5.0500000000000003E-2</v>
      </c>
      <c r="F35" s="293"/>
      <c r="G35" s="324"/>
      <c r="H35" s="298">
        <f>'Working Paper 3'!$E$6</f>
        <v>154.93914051185246</v>
      </c>
      <c r="I35" s="299">
        <f>H46</f>
        <v>179</v>
      </c>
      <c r="J35" s="294"/>
      <c r="K35" s="317"/>
      <c r="L35" s="298">
        <f>'Working Paper 3'!$G$6</f>
        <v>169.71789116032431</v>
      </c>
      <c r="M35" s="300">
        <f>L46</f>
        <v>170</v>
      </c>
      <c r="N35" s="294"/>
      <c r="O35" s="317"/>
      <c r="P35" s="329" t="s">
        <v>116</v>
      </c>
      <c r="Q35" s="334">
        <v>10.65</v>
      </c>
      <c r="R35" s="352">
        <f>Q46/100</f>
        <v>10.65</v>
      </c>
      <c r="S35" s="330"/>
      <c r="T35" s="317"/>
      <c r="U35" s="709"/>
      <c r="V35" s="317"/>
      <c r="W35" s="301" t="str">
        <f>'Working Paper 3'!$B$6</f>
        <v>Amex</v>
      </c>
      <c r="X35" s="309">
        <f>V46/$V$25</f>
        <v>1.4E-2</v>
      </c>
      <c r="Y35" s="295">
        <f t="shared" ref="Y35:Y40" si="22">X46/10000</f>
        <v>1.4E-2</v>
      </c>
      <c r="Z35" s="293"/>
      <c r="AA35" s="665"/>
      <c r="AB35" s="298">
        <v>133</v>
      </c>
      <c r="AC35" s="299">
        <f>AB46</f>
        <v>150</v>
      </c>
      <c r="AD35" s="294"/>
      <c r="AE35" s="666"/>
      <c r="AF35" s="298">
        <v>160</v>
      </c>
      <c r="AG35" s="300">
        <f>AF46</f>
        <v>160</v>
      </c>
      <c r="AH35" s="294"/>
      <c r="AI35" s="291"/>
      <c r="AJ35" s="329" t="s">
        <v>116</v>
      </c>
      <c r="AK35" s="334">
        <f>AL53/$Z$25*10000</f>
        <v>4.756610385513107</v>
      </c>
      <c r="AL35" s="352">
        <f>AK46/100</f>
        <v>4.76</v>
      </c>
      <c r="AM35" s="330"/>
      <c r="AP35" s="291"/>
      <c r="AR35" s="911" t="s">
        <v>117</v>
      </c>
      <c r="AS35" s="932">
        <f>I55+AC55</f>
        <v>3104080.4987973464</v>
      </c>
      <c r="AT35" s="896"/>
      <c r="AU35" s="933"/>
      <c r="AV35" s="895">
        <f>M55+AG55</f>
        <v>1630839.4466342132</v>
      </c>
      <c r="AW35" s="896"/>
      <c r="AX35" s="933"/>
      <c r="AY35" s="895">
        <f>AS35-AV35</f>
        <v>1473241.0521631332</v>
      </c>
      <c r="AZ35" s="896"/>
      <c r="BA35" s="933"/>
      <c r="BB35" s="935">
        <f>AY35/AS35</f>
        <v>0.47461431903390705</v>
      </c>
      <c r="BC35" s="896"/>
      <c r="BD35" s="933"/>
      <c r="BE35" s="934">
        <f>R50+AL50</f>
        <v>398256.46766760008</v>
      </c>
      <c r="BF35" s="896"/>
      <c r="BG35" s="933"/>
      <c r="BH35" s="895">
        <f>AY35-BE35</f>
        <v>1074984.584495533</v>
      </c>
      <c r="BI35" s="896"/>
      <c r="BJ35" s="897"/>
    </row>
    <row r="36" spans="1:62" ht="49.5" customHeight="1" outlineLevel="1" thickBot="1" x14ac:dyDescent="0.3">
      <c r="A36" s="291"/>
      <c r="B36" s="291"/>
      <c r="C36" s="301" t="s">
        <v>3</v>
      </c>
      <c r="D36" s="309">
        <f>'Working Paper 3'!$C$7</f>
        <v>0.3206982301443993</v>
      </c>
      <c r="E36" s="295">
        <f t="shared" si="21"/>
        <v>0.32069999999999999</v>
      </c>
      <c r="F36" s="294"/>
      <c r="G36" s="317"/>
      <c r="H36" s="298">
        <f>'Working Paper 3'!$E$7</f>
        <v>142.99254815956868</v>
      </c>
      <c r="I36" s="299">
        <f t="shared" ref="I36:I42" si="23">H47</f>
        <v>65</v>
      </c>
      <c r="J36" s="294"/>
      <c r="K36" s="317"/>
      <c r="L36" s="298">
        <f>'Working Paper 3'!$G$7</f>
        <v>28.660658557912612</v>
      </c>
      <c r="M36" s="300">
        <f t="shared" ref="M36:M42" si="24">L47</f>
        <v>28</v>
      </c>
      <c r="N36" s="294"/>
      <c r="O36" s="317"/>
      <c r="P36" s="329" t="s">
        <v>118</v>
      </c>
      <c r="Q36" s="334">
        <v>3.12</v>
      </c>
      <c r="R36" s="352">
        <f>Q47/100</f>
        <v>3.12</v>
      </c>
      <c r="S36" s="330"/>
      <c r="T36" s="317"/>
      <c r="U36" s="709"/>
      <c r="V36" s="317"/>
      <c r="W36" s="301" t="str">
        <f>'Working Paper 3'!$B$7</f>
        <v>EFTPOS</v>
      </c>
      <c r="X36" s="309">
        <f t="shared" ref="X36:X40" si="25">V47/$V$25</f>
        <v>0.32800000000000001</v>
      </c>
      <c r="Y36" s="295">
        <f t="shared" si="22"/>
        <v>0.32800000000000001</v>
      </c>
      <c r="Z36" s="294"/>
      <c r="AA36" s="317"/>
      <c r="AB36" s="298">
        <v>130</v>
      </c>
      <c r="AC36" s="299">
        <f t="shared" ref="AC36:AC40" si="26">AB47</f>
        <v>65</v>
      </c>
      <c r="AD36" s="294"/>
      <c r="AE36" s="317"/>
      <c r="AF36" s="298">
        <v>25</v>
      </c>
      <c r="AG36" s="300">
        <f t="shared" ref="AG36:AG40" si="27">AF47</f>
        <v>25</v>
      </c>
      <c r="AH36" s="294"/>
      <c r="AI36" s="291"/>
      <c r="AJ36" s="329" t="s">
        <v>118</v>
      </c>
      <c r="AK36" s="334">
        <f t="shared" ref="AK36:AK37" si="28">AL54/$Z$25*10000</f>
        <v>0.97775746262515195</v>
      </c>
      <c r="AL36" s="352">
        <f>AK47/100</f>
        <v>0.98</v>
      </c>
      <c r="AM36" s="330"/>
      <c r="AP36" s="291"/>
      <c r="AR36" s="912"/>
      <c r="AS36" s="834">
        <f>AS35/(Y55+A55)*10000</f>
        <v>141.41355249202618</v>
      </c>
      <c r="AT36" s="835"/>
      <c r="AU36" s="836"/>
      <c r="AV36" s="837">
        <f>AV35/(Y55+A55)*10000</f>
        <v>74.296655573857493</v>
      </c>
      <c r="AW36" s="835"/>
      <c r="AX36" s="836"/>
      <c r="AY36" s="837">
        <f>AS36-AV36</f>
        <v>67.116896918168692</v>
      </c>
      <c r="AZ36" s="838"/>
      <c r="BA36" s="839"/>
      <c r="BB36" s="840"/>
      <c r="BC36" s="841"/>
      <c r="BD36" s="842"/>
      <c r="BE36" s="843">
        <f>Q38</f>
        <v>18.794239326298644</v>
      </c>
      <c r="BF36" s="835"/>
      <c r="BG36" s="836"/>
      <c r="BH36" s="837">
        <f>AY36-BE36</f>
        <v>48.322657591870048</v>
      </c>
      <c r="BI36" s="835"/>
      <c r="BJ36" s="844"/>
    </row>
    <row r="37" spans="1:62" ht="49.5" customHeight="1" outlineLevel="1" thickBot="1" x14ac:dyDescent="0.3">
      <c r="A37" s="291"/>
      <c r="B37" s="291"/>
      <c r="C37" s="301" t="s">
        <v>4</v>
      </c>
      <c r="D37" s="309">
        <f>'Working Paper 3'!$C$8</f>
        <v>4.0553505985047866E-2</v>
      </c>
      <c r="E37" s="295">
        <f t="shared" si="21"/>
        <v>4.0599999999999997E-2</v>
      </c>
      <c r="F37" s="326"/>
      <c r="G37" s="317"/>
      <c r="H37" s="298">
        <f>'Working Paper 3'!$E$8</f>
        <v>143.45851781578313</v>
      </c>
      <c r="I37" s="299">
        <f t="shared" si="23"/>
        <v>165</v>
      </c>
      <c r="J37" s="294"/>
      <c r="K37" s="317"/>
      <c r="L37" s="298">
        <f>'Working Paper 3'!$G$8</f>
        <v>60.236068170372583</v>
      </c>
      <c r="M37" s="300">
        <f t="shared" si="24"/>
        <v>61</v>
      </c>
      <c r="N37" s="294"/>
      <c r="O37" s="317"/>
      <c r="P37" s="331" t="s">
        <v>119</v>
      </c>
      <c r="Q37" s="334">
        <v>5.0199999999999996</v>
      </c>
      <c r="R37" s="352">
        <f>Q48/100</f>
        <v>5.0199999999999996</v>
      </c>
      <c r="S37" s="330"/>
      <c r="T37" s="317"/>
      <c r="U37" s="709"/>
      <c r="V37" s="317"/>
      <c r="W37" s="301" t="s">
        <v>120</v>
      </c>
      <c r="X37" s="309">
        <f t="shared" si="25"/>
        <v>0.18</v>
      </c>
      <c r="Y37" s="295">
        <f t="shared" si="22"/>
        <v>0.18</v>
      </c>
      <c r="Z37" s="294"/>
      <c r="AA37" s="317"/>
      <c r="AB37" s="298">
        <v>122</v>
      </c>
      <c r="AC37" s="299">
        <f t="shared" si="26"/>
        <v>150</v>
      </c>
      <c r="AD37" s="294"/>
      <c r="AE37" s="317"/>
      <c r="AF37" s="298">
        <v>72</v>
      </c>
      <c r="AG37" s="300">
        <f t="shared" si="27"/>
        <v>72</v>
      </c>
      <c r="AH37" s="294"/>
      <c r="AI37" s="291"/>
      <c r="AJ37" s="331" t="s">
        <v>119</v>
      </c>
      <c r="AK37" s="334">
        <f t="shared" si="28"/>
        <v>9.4895997991714811</v>
      </c>
      <c r="AL37" s="352">
        <f>AK48/100</f>
        <v>9.49</v>
      </c>
      <c r="AM37" s="330"/>
      <c r="AP37" s="291"/>
      <c r="AR37" s="909" t="s">
        <v>136</v>
      </c>
      <c r="AS37" s="812">
        <f>(J55+AD55)*$R$41</f>
        <v>2386730.1015300606</v>
      </c>
      <c r="AT37" s="788"/>
      <c r="AU37" s="789"/>
      <c r="AV37" s="813">
        <f>(AG55+N55)*$R$41</f>
        <v>1629488.4836552404</v>
      </c>
      <c r="AW37" s="788"/>
      <c r="AX37" s="789"/>
      <c r="AY37" s="813">
        <f>AS37-AV37</f>
        <v>757241.61787482025</v>
      </c>
      <c r="AZ37" s="788"/>
      <c r="BA37" s="788"/>
      <c r="BB37" s="814">
        <f>AY37/AS37</f>
        <v>0.31727157477478307</v>
      </c>
      <c r="BC37" s="788"/>
      <c r="BD37" s="789"/>
      <c r="BE37" s="815">
        <f>(S50+AM50)*R41</f>
        <v>398280.4735026001</v>
      </c>
      <c r="BF37" s="788"/>
      <c r="BG37" s="789"/>
      <c r="BH37" s="813">
        <f>AY37-BE37</f>
        <v>358961.14437222015</v>
      </c>
      <c r="BI37" s="788"/>
      <c r="BJ37" s="797"/>
    </row>
    <row r="38" spans="1:62" ht="49.5" customHeight="1" outlineLevel="1" thickBot="1" x14ac:dyDescent="0.3">
      <c r="A38" s="291"/>
      <c r="B38" s="291"/>
      <c r="C38" s="301" t="s">
        <v>5</v>
      </c>
      <c r="D38" s="309">
        <f>'Working Paper 3'!$C$9</f>
        <v>0.22558468242770457</v>
      </c>
      <c r="E38" s="295">
        <f t="shared" si="21"/>
        <v>0.22559999999999999</v>
      </c>
      <c r="F38" s="294"/>
      <c r="G38" s="317"/>
      <c r="H38" s="298">
        <f>'Working Paper 3'!$E$9</f>
        <v>143.21774507854948</v>
      </c>
      <c r="I38" s="299">
        <f t="shared" si="23"/>
        <v>65</v>
      </c>
      <c r="J38" s="294"/>
      <c r="K38" s="317"/>
      <c r="L38" s="298">
        <f>'Working Paper 3'!$G$9</f>
        <v>65.927949272184037</v>
      </c>
      <c r="M38" s="300">
        <f t="shared" si="24"/>
        <v>66</v>
      </c>
      <c r="N38" s="294"/>
      <c r="O38" s="317"/>
      <c r="P38" s="340"/>
      <c r="Q38" s="332">
        <f>R20/A55*10000</f>
        <v>18.794239326298644</v>
      </c>
      <c r="R38" s="339">
        <f>S50/A55*10000</f>
        <v>18.79</v>
      </c>
      <c r="S38" s="336"/>
      <c r="T38" s="317"/>
      <c r="U38" s="709"/>
      <c r="V38" s="317"/>
      <c r="W38" s="301" t="s">
        <v>122</v>
      </c>
      <c r="X38" s="309">
        <f t="shared" si="25"/>
        <v>0.17799999999999999</v>
      </c>
      <c r="Y38" s="295">
        <f t="shared" si="22"/>
        <v>0.17799999999999999</v>
      </c>
      <c r="Z38" s="294"/>
      <c r="AA38" s="317"/>
      <c r="AB38" s="298">
        <v>122</v>
      </c>
      <c r="AC38" s="299">
        <f t="shared" si="26"/>
        <v>152</v>
      </c>
      <c r="AD38" s="294"/>
      <c r="AE38" s="317"/>
      <c r="AF38" s="298">
        <v>72</v>
      </c>
      <c r="AG38" s="300">
        <f t="shared" si="27"/>
        <v>72</v>
      </c>
      <c r="AH38" s="294"/>
      <c r="AI38" s="291"/>
      <c r="AJ38" s="340"/>
      <c r="AK38" s="335"/>
      <c r="AL38" s="317"/>
      <c r="AM38" s="336"/>
      <c r="AP38" s="291"/>
      <c r="AR38" s="910"/>
      <c r="AS38" s="816">
        <f>AS37/(Y55+A55)*10000</f>
        <v>108.73299923368235</v>
      </c>
      <c r="AT38" s="817"/>
      <c r="AU38" s="818"/>
      <c r="AV38" s="819">
        <f>AV37/(Y55+A55)*10000</f>
        <v>74.235109336826667</v>
      </c>
      <c r="AW38" s="817"/>
      <c r="AX38" s="818"/>
      <c r="AY38" s="819">
        <f>AS38-AV38</f>
        <v>34.497889896855682</v>
      </c>
      <c r="AZ38" s="817"/>
      <c r="BA38" s="817"/>
      <c r="BB38" s="820"/>
      <c r="BC38" s="821"/>
      <c r="BD38" s="822"/>
      <c r="BE38" s="823">
        <f>R38*R41</f>
        <v>18.79</v>
      </c>
      <c r="BF38" s="817"/>
      <c r="BG38" s="817"/>
      <c r="BH38" s="819">
        <f>AY38-BE38</f>
        <v>15.707889896855683</v>
      </c>
      <c r="BI38" s="817"/>
      <c r="BJ38" s="824"/>
    </row>
    <row r="39" spans="1:62" ht="49.5" customHeight="1" outlineLevel="1" thickBot="1" x14ac:dyDescent="0.3">
      <c r="A39" s="291"/>
      <c r="B39" s="291"/>
      <c r="C39" s="301" t="s">
        <v>131</v>
      </c>
      <c r="D39" s="309">
        <f>'Working Paper 3'!$C$10</f>
        <v>0.25452682626864803</v>
      </c>
      <c r="E39" s="295">
        <f t="shared" si="21"/>
        <v>0.2545</v>
      </c>
      <c r="F39" s="294"/>
      <c r="G39" s="317"/>
      <c r="H39" s="298">
        <f>'Working Paper 3'!$E$10</f>
        <v>148.69146331982427</v>
      </c>
      <c r="I39" s="299">
        <f t="shared" si="23"/>
        <v>165</v>
      </c>
      <c r="J39" s="294"/>
      <c r="K39" s="317"/>
      <c r="L39" s="298">
        <f>'Working Paper 3'!$G$10</f>
        <v>100.86833162399658</v>
      </c>
      <c r="M39" s="300">
        <f t="shared" si="24"/>
        <v>101</v>
      </c>
      <c r="N39" s="294"/>
      <c r="O39" s="317"/>
      <c r="P39" s="340"/>
      <c r="S39" s="336"/>
      <c r="T39" s="317"/>
      <c r="U39" s="709"/>
      <c r="V39" s="317"/>
      <c r="W39" s="301" t="s">
        <v>50</v>
      </c>
      <c r="X39" s="309">
        <f t="shared" si="25"/>
        <v>0.15</v>
      </c>
      <c r="Y39" s="295">
        <f t="shared" si="22"/>
        <v>0.15</v>
      </c>
      <c r="Z39" s="294"/>
      <c r="AA39" s="317"/>
      <c r="AB39" s="298">
        <v>122</v>
      </c>
      <c r="AC39" s="299">
        <f t="shared" si="26"/>
        <v>65</v>
      </c>
      <c r="AD39" s="294"/>
      <c r="AE39" s="317"/>
      <c r="AF39" s="298">
        <v>72</v>
      </c>
      <c r="AG39" s="300">
        <f t="shared" si="27"/>
        <v>72</v>
      </c>
      <c r="AH39" s="294"/>
      <c r="AI39" s="291"/>
      <c r="AJ39" s="340"/>
      <c r="AK39" s="887" t="s">
        <v>123</v>
      </c>
      <c r="AL39" s="888"/>
      <c r="AM39" s="889"/>
      <c r="AP39" s="291"/>
      <c r="AR39" s="388" t="s">
        <v>124</v>
      </c>
      <c r="AS39" s="787">
        <f>AS35-AS37</f>
        <v>717350.39726728573</v>
      </c>
      <c r="AT39" s="788"/>
      <c r="AU39" s="789"/>
      <c r="AV39" s="790">
        <f>AV35-AV37</f>
        <v>1350.9629789728206</v>
      </c>
      <c r="AW39" s="791"/>
      <c r="AX39" s="792"/>
      <c r="AY39" s="793">
        <f>AY35-AY37</f>
        <v>715999.43428831291</v>
      </c>
      <c r="AZ39" s="788"/>
      <c r="BA39" s="788"/>
      <c r="BB39" s="794"/>
      <c r="BC39" s="788"/>
      <c r="BD39" s="789"/>
      <c r="BE39" s="795">
        <f>BE35-BE37</f>
        <v>-24.005835000018124</v>
      </c>
      <c r="BF39" s="788"/>
      <c r="BG39" s="789"/>
      <c r="BH39" s="796">
        <f>BH35-BH37</f>
        <v>716023.44012331287</v>
      </c>
      <c r="BI39" s="788"/>
      <c r="BJ39" s="797"/>
    </row>
    <row r="40" spans="1:62" ht="49.5" customHeight="1" outlineLevel="1" thickBot="1" x14ac:dyDescent="0.3">
      <c r="A40" s="291"/>
      <c r="B40" s="291"/>
      <c r="C40" s="301" t="s">
        <v>7</v>
      </c>
      <c r="D40" s="309">
        <f>'Working Paper 3'!$C$11</f>
        <v>6.0059880831170691E-2</v>
      </c>
      <c r="E40" s="295">
        <f t="shared" si="21"/>
        <v>6.0100000000000001E-2</v>
      </c>
      <c r="F40" s="294"/>
      <c r="G40" s="317"/>
      <c r="H40" s="298">
        <f>'Working Paper 3'!$E$11</f>
        <v>142.98844600659757</v>
      </c>
      <c r="I40" s="299">
        <f t="shared" si="23"/>
        <v>65</v>
      </c>
      <c r="J40" s="294"/>
      <c r="K40" s="317"/>
      <c r="L40" s="298">
        <f>'Working Paper 3'!$G$11</f>
        <v>54.90928046317822</v>
      </c>
      <c r="M40" s="300">
        <f t="shared" si="24"/>
        <v>55</v>
      </c>
      <c r="N40" s="294"/>
      <c r="O40" s="317"/>
      <c r="P40" s="340"/>
      <c r="Q40" s="887" t="s">
        <v>123</v>
      </c>
      <c r="R40" s="888"/>
      <c r="S40" s="889"/>
      <c r="T40" s="701"/>
      <c r="U40" s="709"/>
      <c r="V40" s="317"/>
      <c r="W40" s="301" t="s">
        <v>125</v>
      </c>
      <c r="X40" s="309">
        <f t="shared" si="25"/>
        <v>0.15</v>
      </c>
      <c r="Y40" s="295">
        <f t="shared" si="22"/>
        <v>0.15</v>
      </c>
      <c r="Z40" s="294"/>
      <c r="AA40" s="318"/>
      <c r="AB40" s="298">
        <v>122</v>
      </c>
      <c r="AC40" s="299">
        <f t="shared" si="26"/>
        <v>65</v>
      </c>
      <c r="AD40" s="294"/>
      <c r="AE40" s="318"/>
      <c r="AF40" s="298">
        <v>72</v>
      </c>
      <c r="AG40" s="300">
        <f t="shared" si="27"/>
        <v>73</v>
      </c>
      <c r="AH40" s="294"/>
      <c r="AI40" s="291"/>
      <c r="AJ40" s="340"/>
      <c r="AK40" s="384">
        <v>1</v>
      </c>
      <c r="AL40" s="384">
        <f>AK52/100</f>
        <v>1</v>
      </c>
      <c r="AM40" s="383"/>
      <c r="AP40" s="291"/>
      <c r="AR40" s="389"/>
      <c r="AS40" s="798">
        <f>AS36-AS38</f>
        <v>32.680553258343835</v>
      </c>
      <c r="AT40" s="799"/>
      <c r="AU40" s="800"/>
      <c r="AV40" s="801">
        <f>AV36-AV38</f>
        <v>6.1546237030825068E-2</v>
      </c>
      <c r="AW40" s="799"/>
      <c r="AX40" s="800"/>
      <c r="AY40" s="801">
        <f>AY36-AY38</f>
        <v>32.61900702131301</v>
      </c>
      <c r="AZ40" s="799"/>
      <c r="BA40" s="799"/>
      <c r="BB40" s="802"/>
      <c r="BC40" s="803"/>
      <c r="BD40" s="804"/>
      <c r="BE40" s="805">
        <f>BE36-BE38</f>
        <v>4.2393262986450964E-3</v>
      </c>
      <c r="BF40" s="806"/>
      <c r="BG40" s="807"/>
      <c r="BH40" s="808">
        <f>BH36-BH38</f>
        <v>32.614767695014365</v>
      </c>
      <c r="BI40" s="806"/>
      <c r="BJ40" s="809"/>
    </row>
    <row r="41" spans="1:62" ht="49.5" customHeight="1" outlineLevel="1" thickBot="1" x14ac:dyDescent="0.3">
      <c r="A41" s="291"/>
      <c r="B41" s="291"/>
      <c r="C41" s="301" t="s">
        <v>132</v>
      </c>
      <c r="D41" s="309">
        <f>'Working Paper 3'!$C$12</f>
        <v>2.4773150306096305E-2</v>
      </c>
      <c r="E41" s="295">
        <f t="shared" si="21"/>
        <v>2.4799999999999999E-2</v>
      </c>
      <c r="F41" s="294"/>
      <c r="G41" s="317"/>
      <c r="H41" s="298">
        <f>'Working Paper 3'!$E$12</f>
        <v>145.45695079148425</v>
      </c>
      <c r="I41" s="299">
        <f t="shared" si="23"/>
        <v>295</v>
      </c>
      <c r="J41" s="294"/>
      <c r="K41" s="317"/>
      <c r="L41" s="298">
        <f>'Working Paper 3'!$G$12</f>
        <v>292.619148787516</v>
      </c>
      <c r="M41" s="300">
        <f t="shared" si="24"/>
        <v>293</v>
      </c>
      <c r="N41" s="294"/>
      <c r="O41" s="317"/>
      <c r="P41" s="340"/>
      <c r="Q41" s="384">
        <v>1</v>
      </c>
      <c r="R41" s="384">
        <f>Q44/100</f>
        <v>1</v>
      </c>
      <c r="S41" s="383"/>
      <c r="T41" s="317"/>
      <c r="U41" s="709"/>
      <c r="V41" s="317"/>
      <c r="W41" s="323"/>
      <c r="X41" s="661"/>
      <c r="Y41" s="662"/>
      <c r="Z41" s="317"/>
      <c r="AA41" s="317"/>
      <c r="AB41" s="663"/>
      <c r="AC41" s="663"/>
      <c r="AD41" s="317"/>
      <c r="AE41" s="317"/>
      <c r="AF41" s="663"/>
      <c r="AG41" s="663"/>
      <c r="AH41" s="317"/>
      <c r="AI41" s="423"/>
      <c r="AJ41" s="340"/>
      <c r="AK41" s="335"/>
      <c r="AL41" s="317"/>
      <c r="AM41" s="336"/>
      <c r="AN41" s="321"/>
      <c r="AO41" s="321"/>
      <c r="AP41" s="291"/>
      <c r="AR41" s="276" t="s">
        <v>127</v>
      </c>
      <c r="AS41" s="291"/>
      <c r="AT41" s="291"/>
      <c r="AU41" s="291"/>
      <c r="AV41" s="291"/>
      <c r="AW41" s="291"/>
      <c r="AX41" s="291"/>
      <c r="AY41" s="291"/>
      <c r="AZ41" s="291"/>
    </row>
    <row r="42" spans="1:62" ht="49.5" customHeight="1" outlineLevel="1" thickBot="1" x14ac:dyDescent="0.3">
      <c r="A42" s="291"/>
      <c r="B42" s="291"/>
      <c r="C42" s="301" t="s">
        <v>133</v>
      </c>
      <c r="D42" s="309">
        <f>'Working Paper 3'!$C$13</f>
        <v>2.3298914154830527E-2</v>
      </c>
      <c r="E42" s="295">
        <f t="shared" si="21"/>
        <v>2.3300000000000001E-2</v>
      </c>
      <c r="F42" s="294"/>
      <c r="G42" s="317"/>
      <c r="H42" s="298">
        <f>'Working Paper 3'!$E$13</f>
        <v>139.5775929132339</v>
      </c>
      <c r="I42" s="299">
        <f t="shared" si="23"/>
        <v>295</v>
      </c>
      <c r="J42" s="294"/>
      <c r="K42" s="317"/>
      <c r="L42" s="298">
        <f>'Working Paper 3'!$G$13</f>
        <v>285.31047780447233</v>
      </c>
      <c r="M42" s="300">
        <f t="shared" si="24"/>
        <v>286</v>
      </c>
      <c r="N42" s="294"/>
      <c r="O42" s="317"/>
      <c r="P42" s="341"/>
      <c r="Q42" s="337"/>
      <c r="R42" s="318"/>
      <c r="S42" s="338"/>
      <c r="T42" s="317"/>
      <c r="U42" s="709"/>
      <c r="V42" s="317"/>
      <c r="W42" s="323"/>
      <c r="X42" s="661"/>
      <c r="Y42" s="662"/>
      <c r="Z42" s="317"/>
      <c r="AA42" s="317"/>
      <c r="AB42" s="663"/>
      <c r="AC42" s="663"/>
      <c r="AD42" s="317"/>
      <c r="AE42" s="317"/>
      <c r="AF42" s="663"/>
      <c r="AG42" s="663"/>
      <c r="AH42" s="317"/>
      <c r="AI42" s="423"/>
      <c r="AJ42" s="341"/>
      <c r="AK42" s="337"/>
      <c r="AL42" s="318"/>
      <c r="AM42" s="338"/>
      <c r="AN42" s="427"/>
      <c r="AO42" s="427"/>
      <c r="AP42" s="291"/>
      <c r="AR42" s="714" t="s">
        <v>137</v>
      </c>
    </row>
    <row r="43" spans="1:62" ht="16.5" customHeight="1" outlineLevel="1" thickBot="1" x14ac:dyDescent="0.3">
      <c r="A43" s="291"/>
      <c r="B43" s="291"/>
      <c r="C43" s="291"/>
      <c r="D43" s="291"/>
      <c r="E43" s="291"/>
      <c r="F43" s="291"/>
      <c r="G43" s="317"/>
      <c r="H43" s="291"/>
      <c r="I43" s="291"/>
      <c r="J43" s="291"/>
      <c r="K43" s="317"/>
      <c r="L43" s="291"/>
      <c r="M43" s="291"/>
      <c r="N43" s="291"/>
      <c r="O43" s="317"/>
      <c r="P43" s="317"/>
      <c r="Q43" s="317"/>
      <c r="R43" s="317"/>
      <c r="S43" s="317"/>
      <c r="T43" s="317"/>
      <c r="U43" s="709"/>
      <c r="V43" s="317"/>
      <c r="W43" s="291"/>
      <c r="X43" s="291"/>
      <c r="Y43" s="291"/>
      <c r="Z43" s="291"/>
      <c r="AA43" s="317"/>
      <c r="AB43" s="291"/>
      <c r="AC43" s="291"/>
      <c r="AD43" s="291"/>
      <c r="AE43" s="317"/>
      <c r="AF43" s="291"/>
      <c r="AG43" s="291"/>
      <c r="AH43" s="291"/>
      <c r="AJ43" s="317"/>
      <c r="AK43" s="317"/>
      <c r="AL43" s="317"/>
      <c r="AM43" s="317"/>
      <c r="AP43" s="291"/>
    </row>
    <row r="44" spans="1:62" ht="38.450000000000003" customHeight="1" outlineLevel="1" thickBot="1" x14ac:dyDescent="0.3">
      <c r="A44" s="291"/>
      <c r="B44" s="291"/>
      <c r="C44" s="291"/>
      <c r="D44" s="315">
        <f>SUM(D35:D43)</f>
        <v>0.99999999999999978</v>
      </c>
      <c r="E44" s="316">
        <f>SUM(E35:E43)</f>
        <v>1.0001</v>
      </c>
      <c r="F44" s="291"/>
      <c r="G44" s="317"/>
      <c r="H44" s="356">
        <f>I55/A55*10000</f>
        <v>145.09737289553766</v>
      </c>
      <c r="I44" s="357">
        <f>J55/A55*10000</f>
        <v>111.33650000000002</v>
      </c>
      <c r="J44" s="291"/>
      <c r="K44" s="317"/>
      <c r="L44" s="363">
        <f>M55/A55*10000</f>
        <v>77.946175197285811</v>
      </c>
      <c r="M44" s="312">
        <f>N55/A55*10000</f>
        <v>77.870999999999995</v>
      </c>
      <c r="N44" s="291"/>
      <c r="O44" s="317"/>
      <c r="P44" s="291"/>
      <c r="Q44" s="410">
        <v>100</v>
      </c>
      <c r="R44" s="411">
        <f>R41*1</f>
        <v>1</v>
      </c>
      <c r="S44" s="410"/>
      <c r="T44" s="703"/>
      <c r="U44" s="709"/>
      <c r="V44" s="317"/>
      <c r="W44" s="291"/>
      <c r="X44" s="315">
        <f>SUM(X35:X43)</f>
        <v>1</v>
      </c>
      <c r="Y44" s="316">
        <f>SUM(Y35:Y43)</f>
        <v>1</v>
      </c>
      <c r="Z44" s="291"/>
      <c r="AA44" s="317"/>
      <c r="AB44" s="686">
        <f>AC55/V55*10000</f>
        <v>124.77799999999998</v>
      </c>
      <c r="AC44" s="357">
        <f>AD55/V55*10000</f>
        <v>96.976000000000013</v>
      </c>
      <c r="AD44" s="291"/>
      <c r="AE44" s="317"/>
      <c r="AF44" s="698">
        <f>AF55</f>
        <v>57.815999999999995</v>
      </c>
      <c r="AG44" s="312">
        <f>AH55/Z55*10000</f>
        <v>57.965999999999987</v>
      </c>
      <c r="AH44" s="291"/>
      <c r="AJ44" s="291"/>
      <c r="AK44" s="332">
        <f>AL50/Z55*10000</f>
        <v>15.223967647309742</v>
      </c>
      <c r="AL44" s="413">
        <f>AM50/Z55*10000</f>
        <v>15.229999999999999</v>
      </c>
      <c r="AM44" s="291"/>
      <c r="AP44" s="291"/>
    </row>
    <row r="45" spans="1:62" ht="21.95" customHeight="1" outlineLevel="1" thickBot="1" x14ac:dyDescent="0.3">
      <c r="A45" s="291"/>
      <c r="B45" s="291"/>
      <c r="C45" s="291"/>
      <c r="D45" s="291"/>
      <c r="E45" s="291"/>
      <c r="F45" s="291"/>
      <c r="G45" s="317"/>
      <c r="H45" s="291"/>
      <c r="I45" s="291"/>
      <c r="J45" s="291"/>
      <c r="K45" s="317"/>
      <c r="L45" s="291"/>
      <c r="M45" s="291"/>
      <c r="N45" s="291"/>
      <c r="O45" s="317"/>
      <c r="P45" s="317"/>
      <c r="Q45" s="317"/>
      <c r="R45" s="317"/>
      <c r="S45" s="317"/>
      <c r="T45" s="317"/>
      <c r="U45" s="709"/>
      <c r="V45" s="670" t="s">
        <v>103</v>
      </c>
      <c r="W45" s="291"/>
      <c r="X45" s="291"/>
      <c r="Y45" s="291"/>
      <c r="Z45" s="291"/>
      <c r="AA45" s="317"/>
      <c r="AB45" s="291"/>
      <c r="AC45" s="291"/>
      <c r="AD45" s="291"/>
      <c r="AE45" s="317"/>
      <c r="AF45" s="291"/>
      <c r="AG45" s="291"/>
      <c r="AH45" s="291"/>
      <c r="AJ45" s="317"/>
      <c r="AK45" s="317"/>
      <c r="AL45" s="414"/>
      <c r="AM45" s="317"/>
      <c r="AP45" s="291"/>
    </row>
    <row r="46" spans="1:62" ht="21.95" customHeight="1" outlineLevel="1" thickBot="1" x14ac:dyDescent="0.3">
      <c r="A46" s="305">
        <f>D35*'Working Paper 3'!$D$15</f>
        <v>9076148.8993999995</v>
      </c>
      <c r="B46" s="305"/>
      <c r="C46" s="291" t="s">
        <v>130</v>
      </c>
      <c r="D46" s="292">
        <v>505</v>
      </c>
      <c r="E46" s="305">
        <f>D35*$A$55</f>
        <v>9076148.8993999995</v>
      </c>
      <c r="F46" s="349">
        <f>E35*$A$55</f>
        <v>9075284.5222000033</v>
      </c>
      <c r="G46" s="317"/>
      <c r="H46" s="296">
        <v>179</v>
      </c>
      <c r="I46" s="348">
        <f t="shared" ref="I46:I53" si="29">H35*A46/10000</f>
        <v>140625.07096306313</v>
      </c>
      <c r="J46" s="350">
        <f>I35*F46/10000</f>
        <v>162447.59294738006</v>
      </c>
      <c r="K46" s="317"/>
      <c r="L46" s="296">
        <v>170</v>
      </c>
      <c r="M46" s="348">
        <f t="shared" ref="M46:M53" si="30">L35*A46/10000</f>
        <v>154038.48510632664</v>
      </c>
      <c r="N46" s="351">
        <f>M35*F46/10000</f>
        <v>154279.83687740006</v>
      </c>
      <c r="O46" s="317"/>
      <c r="P46" s="329" t="s">
        <v>116</v>
      </c>
      <c r="Q46" s="371">
        <v>1065</v>
      </c>
      <c r="R46" s="694">
        <f>Q35*$A$55/10000</f>
        <v>191389.66368600004</v>
      </c>
      <c r="S46" s="361">
        <f>R35*A55/10000</f>
        <v>191389.66368600004</v>
      </c>
      <c r="T46" s="704"/>
      <c r="U46" s="709"/>
      <c r="V46" s="671">
        <f>'TTV By Card'!$C$55</f>
        <v>557132.03</v>
      </c>
      <c r="W46" s="291" t="str">
        <f>W35</f>
        <v>Amex</v>
      </c>
      <c r="X46" s="369">
        <v>140</v>
      </c>
      <c r="Y46" s="370">
        <f>X35*$V$25</f>
        <v>557132.03</v>
      </c>
      <c r="Z46" s="349">
        <f>Y35*$V$25</f>
        <v>557132.03</v>
      </c>
      <c r="AA46" s="317"/>
      <c r="AB46" s="700">
        <v>150</v>
      </c>
      <c r="AC46" s="348">
        <f>AB35*V46/10000</f>
        <v>7409.8559990000012</v>
      </c>
      <c r="AD46" s="350">
        <f>AC35*Z46/10000</f>
        <v>8356.9804499999991</v>
      </c>
      <c r="AE46" s="317"/>
      <c r="AF46" s="296">
        <v>160</v>
      </c>
      <c r="AG46" s="348">
        <f>AF35*V46/10000</f>
        <v>8914.1124800000016</v>
      </c>
      <c r="AH46" s="351">
        <f>AG35*Z46/10000</f>
        <v>8914.1124800000016</v>
      </c>
      <c r="AI46" s="291"/>
      <c r="AJ46" s="329" t="s">
        <v>116</v>
      </c>
      <c r="AK46" s="371">
        <v>476</v>
      </c>
      <c r="AL46" s="694">
        <f>AK35*$Z$25/10000</f>
        <v>18929</v>
      </c>
      <c r="AM46" s="373">
        <f>AL35*$Z$55/10000</f>
        <v>18942.489019999997</v>
      </c>
      <c r="AP46" s="291"/>
    </row>
    <row r="47" spans="1:62" ht="21.95" customHeight="1" outlineLevel="1" thickBot="1" x14ac:dyDescent="0.3">
      <c r="A47" s="305">
        <f>D36*'Working Paper 3'!$D$15</f>
        <v>57632231.372800022</v>
      </c>
      <c r="B47" s="305"/>
      <c r="C47" s="291" t="s">
        <v>3</v>
      </c>
      <c r="D47" s="292">
        <v>3207</v>
      </c>
      <c r="E47" s="305">
        <f t="shared" ref="E47:E53" si="31">D36*$A$55</f>
        <v>57632231.372800022</v>
      </c>
      <c r="F47" s="349">
        <f t="shared" ref="F47:F53" si="32">E36*$A$55</f>
        <v>57632549.431080006</v>
      </c>
      <c r="H47" s="297">
        <v>65</v>
      </c>
      <c r="I47" s="348">
        <f t="shared" si="29"/>
        <v>824097.96201185125</v>
      </c>
      <c r="J47" s="350">
        <f t="shared" ref="J47:J53" si="33">I36*F47/10000</f>
        <v>374611.57130202005</v>
      </c>
      <c r="L47" s="297">
        <v>28</v>
      </c>
      <c r="M47" s="348">
        <f t="shared" si="30"/>
        <v>165177.77053064405</v>
      </c>
      <c r="N47" s="351">
        <f t="shared" ref="N47:N53" si="34">M36*F47/10000</f>
        <v>161371.13840702403</v>
      </c>
      <c r="P47" s="329" t="s">
        <v>118</v>
      </c>
      <c r="Q47" s="374">
        <v>312</v>
      </c>
      <c r="R47" s="694">
        <f t="shared" ref="R47:R48" si="35">Q36*$A$55/10000</f>
        <v>56069.084572800013</v>
      </c>
      <c r="S47" s="362">
        <f>R36*A55/10000</f>
        <v>56069.084572800013</v>
      </c>
      <c r="T47" s="705"/>
      <c r="U47" s="710"/>
      <c r="V47" s="672">
        <f>'TTV By Card'!$D$55</f>
        <v>13052807.560000001</v>
      </c>
      <c r="W47" s="291" t="str">
        <f t="shared" ref="W47:W51" si="36">W36</f>
        <v>EFTPOS</v>
      </c>
      <c r="X47" s="369">
        <v>3280</v>
      </c>
      <c r="Y47" s="370">
        <f t="shared" ref="Y47:Z47" si="37">X36*$V$25</f>
        <v>13052807.560000001</v>
      </c>
      <c r="Z47" s="349">
        <f t="shared" si="37"/>
        <v>13052807.560000001</v>
      </c>
      <c r="AA47" s="319"/>
      <c r="AB47" s="430">
        <v>65</v>
      </c>
      <c r="AC47" s="348">
        <f t="shared" ref="AC47:AC51" si="38">AB36*V47/10000</f>
        <v>169686.49828</v>
      </c>
      <c r="AD47" s="350">
        <f t="shared" ref="AD47:AD51" si="39">AC36*Z47/10000</f>
        <v>84843.24914</v>
      </c>
      <c r="AE47" s="319"/>
      <c r="AF47" s="297">
        <v>25</v>
      </c>
      <c r="AG47" s="348">
        <f t="shared" ref="AG47:AG51" si="40">AF36*V47/10000</f>
        <v>32632.018899999999</v>
      </c>
      <c r="AH47" s="351">
        <f t="shared" ref="AH47:AH51" si="41">AG36*Z47/10000</f>
        <v>32632.018899999999</v>
      </c>
      <c r="AJ47" s="329" t="s">
        <v>118</v>
      </c>
      <c r="AK47" s="374">
        <v>98</v>
      </c>
      <c r="AL47" s="694">
        <f t="shared" ref="AL47" si="42">AK36*$Z$25/10000</f>
        <v>3891</v>
      </c>
      <c r="AM47" s="373">
        <f t="shared" ref="AM47:AM48" si="43">AL36*$Z$55/10000</f>
        <v>3899.9242100000001</v>
      </c>
    </row>
    <row r="48" spans="1:62" ht="21.95" customHeight="1" outlineLevel="1" thickBot="1" x14ac:dyDescent="0.3">
      <c r="A48" s="305">
        <f>D37*'Working Paper 3'!$D$15</f>
        <v>7287813.9641000004</v>
      </c>
      <c r="B48" s="305"/>
      <c r="C48" s="291" t="s">
        <v>4</v>
      </c>
      <c r="D48" s="292">
        <v>406</v>
      </c>
      <c r="E48" s="305">
        <f t="shared" si="31"/>
        <v>7287813.9641000004</v>
      </c>
      <c r="F48" s="349">
        <f t="shared" si="32"/>
        <v>7296169.3386400007</v>
      </c>
      <c r="H48" s="297">
        <v>165</v>
      </c>
      <c r="I48" s="348">
        <f t="shared" si="29"/>
        <v>104549.8989406953</v>
      </c>
      <c r="J48" s="350">
        <f t="shared" si="33"/>
        <v>120386.79408756</v>
      </c>
      <c r="L48" s="297">
        <v>61</v>
      </c>
      <c r="M48" s="348">
        <f t="shared" si="30"/>
        <v>43898.925875452092</v>
      </c>
      <c r="N48" s="351">
        <f t="shared" si="34"/>
        <v>44506.632965704004</v>
      </c>
      <c r="P48" s="333" t="s">
        <v>119</v>
      </c>
      <c r="Q48" s="374">
        <v>502</v>
      </c>
      <c r="R48" s="694">
        <f t="shared" si="35"/>
        <v>90213.719408800011</v>
      </c>
      <c r="S48" s="362">
        <f>R37*A55/10000</f>
        <v>90213.719408800011</v>
      </c>
      <c r="T48" s="705"/>
      <c r="U48" s="710"/>
      <c r="V48" s="672">
        <f>'TTV By Card'!$E$55</f>
        <v>7163126.0999999996</v>
      </c>
      <c r="W48" s="291" t="str">
        <f t="shared" si="36"/>
        <v>Credit ViSa</v>
      </c>
      <c r="X48" s="369">
        <v>1800</v>
      </c>
      <c r="Y48" s="370">
        <f t="shared" ref="Y48:Z48" si="44">X37*$V$25</f>
        <v>7163126.0999999996</v>
      </c>
      <c r="Z48" s="349">
        <f t="shared" si="44"/>
        <v>7163126.0999999996</v>
      </c>
      <c r="AA48" s="319"/>
      <c r="AB48" s="430">
        <v>150</v>
      </c>
      <c r="AC48" s="348">
        <f t="shared" si="38"/>
        <v>87390.138419999988</v>
      </c>
      <c r="AD48" s="350">
        <f t="shared" si="39"/>
        <v>107446.8915</v>
      </c>
      <c r="AE48" s="319"/>
      <c r="AF48" s="297">
        <v>72</v>
      </c>
      <c r="AG48" s="348">
        <f t="shared" si="40"/>
        <v>51574.507919999996</v>
      </c>
      <c r="AH48" s="351">
        <f t="shared" si="41"/>
        <v>51574.507919999996</v>
      </c>
      <c r="AJ48" s="333" t="s">
        <v>119</v>
      </c>
      <c r="AK48" s="374">
        <v>949</v>
      </c>
      <c r="AL48" s="694">
        <f t="shared" ref="AL48" si="45">AK37*$Z$25/10000</f>
        <v>37764</v>
      </c>
      <c r="AM48" s="373">
        <f t="shared" si="43"/>
        <v>37765.592604999998</v>
      </c>
    </row>
    <row r="49" spans="1:62" ht="21.95" customHeight="1" outlineLevel="1" x14ac:dyDescent="0.25">
      <c r="A49" s="305">
        <f>D38*'Working Paper 3'!$D$15</f>
        <v>40539508.453100003</v>
      </c>
      <c r="B49" s="305"/>
      <c r="C49" s="291" t="s">
        <v>5</v>
      </c>
      <c r="D49" s="292">
        <v>2256</v>
      </c>
      <c r="E49" s="305">
        <f t="shared" si="31"/>
        <v>40539508.453100003</v>
      </c>
      <c r="F49" s="349">
        <f t="shared" si="32"/>
        <v>40542261.152640007</v>
      </c>
      <c r="H49" s="297">
        <v>65</v>
      </c>
      <c r="I49" s="348">
        <f t="shared" si="29"/>
        <v>580597.69872457779</v>
      </c>
      <c r="J49" s="350">
        <f t="shared" si="33"/>
        <v>263524.69749216002</v>
      </c>
      <c r="L49" s="297">
        <v>66</v>
      </c>
      <c r="M49" s="348">
        <f t="shared" si="30"/>
        <v>267268.66568152525</v>
      </c>
      <c r="N49" s="351">
        <f t="shared" si="34"/>
        <v>267578.92360742408</v>
      </c>
      <c r="S49" s="246"/>
      <c r="U49" s="710"/>
      <c r="V49" s="672">
        <f>'TTV By Card'!$F$55</f>
        <v>7083535.8099999996</v>
      </c>
      <c r="W49" s="291" t="str">
        <f t="shared" si="36"/>
        <v>Credit MC</v>
      </c>
      <c r="X49" s="369">
        <v>1780</v>
      </c>
      <c r="Y49" s="370">
        <f t="shared" ref="Y49:Z49" si="46">X38*$V$25</f>
        <v>7083535.8099999996</v>
      </c>
      <c r="Z49" s="349">
        <f t="shared" si="46"/>
        <v>7083535.8099999996</v>
      </c>
      <c r="AA49" s="319"/>
      <c r="AB49" s="430">
        <v>152</v>
      </c>
      <c r="AC49" s="348">
        <f t="shared" si="38"/>
        <v>86419.136881999992</v>
      </c>
      <c r="AD49" s="350">
        <f t="shared" si="39"/>
        <v>107669.744312</v>
      </c>
      <c r="AE49" s="319"/>
      <c r="AF49" s="297">
        <v>72</v>
      </c>
      <c r="AG49" s="348">
        <f t="shared" si="40"/>
        <v>51001.457832</v>
      </c>
      <c r="AH49" s="351">
        <f t="shared" si="41"/>
        <v>51001.457832</v>
      </c>
      <c r="AJ49" s="319"/>
      <c r="AK49" s="319"/>
      <c r="AL49" s="319"/>
      <c r="AM49" s="246"/>
    </row>
    <row r="50" spans="1:62" ht="21.95" customHeight="1" outlineLevel="1" x14ac:dyDescent="0.25">
      <c r="A50" s="305">
        <f>D39*'Working Paper 3'!$D$15</f>
        <v>45740660.731100008</v>
      </c>
      <c r="B50" s="305"/>
      <c r="C50" s="291" t="s">
        <v>131</v>
      </c>
      <c r="D50" s="292">
        <v>2545</v>
      </c>
      <c r="E50" s="305">
        <f t="shared" si="31"/>
        <v>45740660.731100008</v>
      </c>
      <c r="F50" s="349">
        <f t="shared" si="32"/>
        <v>45735839.819800012</v>
      </c>
      <c r="H50" s="297">
        <v>165</v>
      </c>
      <c r="I50" s="348">
        <f t="shared" si="29"/>
        <v>680124.57773228828</v>
      </c>
      <c r="J50" s="350">
        <f t="shared" si="33"/>
        <v>754641.35702670016</v>
      </c>
      <c r="L50" s="297">
        <v>101</v>
      </c>
      <c r="M50" s="348">
        <f t="shared" si="30"/>
        <v>461378.41353253135</v>
      </c>
      <c r="N50" s="351">
        <f t="shared" si="34"/>
        <v>461931.98217998008</v>
      </c>
      <c r="Q50" s="320">
        <f>R50/$A$55*10000</f>
        <v>18.79</v>
      </c>
      <c r="R50" s="695">
        <f>SUM(R46:R49)</f>
        <v>337672.46766760008</v>
      </c>
      <c r="S50" s="377">
        <f>SUM(S46:S48)</f>
        <v>337672.46766760008</v>
      </c>
      <c r="U50" s="710"/>
      <c r="V50" s="672">
        <f>'TTV By Card'!$G$55</f>
        <v>5969271.75</v>
      </c>
      <c r="W50" s="291" t="str">
        <f t="shared" si="36"/>
        <v>Debit VISA</v>
      </c>
      <c r="X50" s="369">
        <v>1500</v>
      </c>
      <c r="Y50" s="370">
        <f t="shared" ref="Y50:Z50" si="47">X39*$V$25</f>
        <v>5969271.75</v>
      </c>
      <c r="Z50" s="349">
        <f t="shared" si="47"/>
        <v>5969271.75</v>
      </c>
      <c r="AA50" s="319"/>
      <c r="AB50" s="430">
        <v>65</v>
      </c>
      <c r="AC50" s="348">
        <f t="shared" si="38"/>
        <v>72825.115349999993</v>
      </c>
      <c r="AD50" s="350">
        <f t="shared" si="39"/>
        <v>38800.266374999999</v>
      </c>
      <c r="AE50" s="319"/>
      <c r="AF50" s="297">
        <v>72</v>
      </c>
      <c r="AG50" s="348">
        <f t="shared" si="40"/>
        <v>42978.756600000001</v>
      </c>
      <c r="AH50" s="351">
        <f t="shared" si="41"/>
        <v>42978.756600000001</v>
      </c>
      <c r="AJ50" s="319"/>
      <c r="AK50" s="320">
        <f>AL56/$Z$25*10000</f>
        <v>15.223967647309742</v>
      </c>
      <c r="AL50" s="695">
        <f>SUM(AL46:AL49)</f>
        <v>60584</v>
      </c>
      <c r="AM50" s="699">
        <f>SUM(AM46:AM48)</f>
        <v>60608.005834999996</v>
      </c>
    </row>
    <row r="51" spans="1:62" ht="21.95" customHeight="1" outlineLevel="1" x14ac:dyDescent="0.25">
      <c r="A51" s="305">
        <f>D40*'Working Paper 3'!$D$15</f>
        <v>10793277.364599999</v>
      </c>
      <c r="B51" s="305"/>
      <c r="C51" s="291" t="s">
        <v>7</v>
      </c>
      <c r="D51" s="292">
        <v>601</v>
      </c>
      <c r="E51" s="305">
        <f t="shared" si="31"/>
        <v>10793277.364599999</v>
      </c>
      <c r="F51" s="349">
        <f t="shared" si="32"/>
        <v>10800487.124440003</v>
      </c>
      <c r="H51" s="297">
        <v>65</v>
      </c>
      <c r="I51" s="348">
        <f t="shared" si="29"/>
        <v>154331.39576823387</v>
      </c>
      <c r="J51" s="350">
        <f t="shared" si="33"/>
        <v>70203.166308860018</v>
      </c>
      <c r="L51" s="297">
        <v>55</v>
      </c>
      <c r="M51" s="348">
        <f t="shared" si="30"/>
        <v>59265.10939296944</v>
      </c>
      <c r="N51" s="351">
        <f t="shared" si="34"/>
        <v>59402.679184420012</v>
      </c>
      <c r="S51" s="246"/>
      <c r="U51" s="710"/>
      <c r="V51" s="672">
        <f>'TTV By Card'!$H$55</f>
        <v>5969271.75</v>
      </c>
      <c r="W51" s="291" t="str">
        <f t="shared" si="36"/>
        <v>Debit MC</v>
      </c>
      <c r="X51" s="369">
        <v>1500</v>
      </c>
      <c r="Y51" s="370">
        <f t="shared" ref="Y51:Z51" si="48">X40*$V$25</f>
        <v>5969271.75</v>
      </c>
      <c r="Z51" s="349">
        <f t="shared" si="48"/>
        <v>5969271.75</v>
      </c>
      <c r="AA51" s="319"/>
      <c r="AB51" s="430">
        <v>65</v>
      </c>
      <c r="AC51" s="348">
        <f t="shared" si="38"/>
        <v>72825.115349999993</v>
      </c>
      <c r="AD51" s="350">
        <f t="shared" si="39"/>
        <v>38800.266374999999</v>
      </c>
      <c r="AE51" s="319"/>
      <c r="AF51" s="297">
        <v>73</v>
      </c>
      <c r="AG51" s="348">
        <f t="shared" si="40"/>
        <v>42978.756600000001</v>
      </c>
      <c r="AH51" s="351">
        <f t="shared" si="41"/>
        <v>43575.683774999998</v>
      </c>
      <c r="AJ51" s="319"/>
      <c r="AK51" s="319"/>
      <c r="AL51" s="319"/>
      <c r="AM51" s="319"/>
    </row>
    <row r="52" spans="1:62" ht="21.95" customHeight="1" outlineLevel="1" x14ac:dyDescent="0.25">
      <c r="A52" s="305">
        <f>D41*'Working Paper 3'!$D$15</f>
        <v>4451948.2681000009</v>
      </c>
      <c r="B52" s="305"/>
      <c r="C52" s="291" t="s">
        <v>132</v>
      </c>
      <c r="D52" s="292">
        <v>248</v>
      </c>
      <c r="E52" s="305">
        <f t="shared" si="31"/>
        <v>4451948.2681000009</v>
      </c>
      <c r="F52" s="349">
        <f t="shared" si="32"/>
        <v>4456773.3891200004</v>
      </c>
      <c r="H52" s="297">
        <v>295</v>
      </c>
      <c r="I52" s="348">
        <f t="shared" si="29"/>
        <v>64756.682015925537</v>
      </c>
      <c r="J52" s="350">
        <f t="shared" si="33"/>
        <v>131474.81497904001</v>
      </c>
      <c r="L52" s="297">
        <v>293</v>
      </c>
      <c r="M52" s="348">
        <f t="shared" si="30"/>
        <v>130272.53126574784</v>
      </c>
      <c r="N52" s="351">
        <f t="shared" si="34"/>
        <v>130583.46030121601</v>
      </c>
      <c r="R52" s="372">
        <v>155141</v>
      </c>
      <c r="S52" s="246"/>
      <c r="U52" s="710"/>
      <c r="W52" s="317"/>
      <c r="X52" s="660"/>
      <c r="Y52" s="667"/>
      <c r="Z52" s="668"/>
      <c r="AA52" s="319"/>
      <c r="AB52" s="320"/>
      <c r="AC52" s="668"/>
      <c r="AD52" s="668"/>
      <c r="AE52" s="319"/>
      <c r="AF52" s="320"/>
      <c r="AG52" s="668"/>
      <c r="AH52" s="669"/>
      <c r="AJ52" s="319"/>
      <c r="AK52" s="386">
        <v>100</v>
      </c>
      <c r="AL52" s="385">
        <f>AL40*1</f>
        <v>1</v>
      </c>
      <c r="AM52" s="246"/>
    </row>
    <row r="53" spans="1:62" ht="21.95" customHeight="1" outlineLevel="1" x14ac:dyDescent="0.25">
      <c r="A53" s="305">
        <f>D42*'Working Paper 3'!$D$15</f>
        <v>4187015.3468000004</v>
      </c>
      <c r="B53" s="305"/>
      <c r="C53" s="291" t="s">
        <v>133</v>
      </c>
      <c r="D53" s="292">
        <v>233</v>
      </c>
      <c r="E53" s="305">
        <f t="shared" si="31"/>
        <v>4187015.3468000004</v>
      </c>
      <c r="F53" s="349">
        <f t="shared" si="32"/>
        <v>4187210.482520001</v>
      </c>
      <c r="H53" s="297">
        <v>295</v>
      </c>
      <c r="I53" s="348">
        <f t="shared" si="29"/>
        <v>58441.352359711338</v>
      </c>
      <c r="J53" s="350">
        <f t="shared" si="33"/>
        <v>123522.70923434003</v>
      </c>
      <c r="L53" s="297">
        <v>286</v>
      </c>
      <c r="M53" s="348">
        <f t="shared" si="30"/>
        <v>119459.93491701665</v>
      </c>
      <c r="N53" s="351">
        <f t="shared" si="34"/>
        <v>119754.21980007202</v>
      </c>
      <c r="R53" s="372">
        <v>45390</v>
      </c>
      <c r="S53" s="246"/>
      <c r="U53" s="710"/>
      <c r="W53" s="317"/>
      <c r="X53" s="660"/>
      <c r="Y53" s="667"/>
      <c r="Z53" s="668"/>
      <c r="AA53" s="319"/>
      <c r="AB53" s="320"/>
      <c r="AC53" s="668"/>
      <c r="AD53" s="668"/>
      <c r="AE53" s="319"/>
      <c r="AF53" s="320"/>
      <c r="AG53" s="668"/>
      <c r="AH53" s="669"/>
      <c r="AJ53" s="319"/>
      <c r="AK53" s="319"/>
      <c r="AL53" s="372">
        <v>18929</v>
      </c>
      <c r="AM53" s="246"/>
    </row>
    <row r="54" spans="1:62" ht="21.95" customHeight="1" outlineLevel="1" x14ac:dyDescent="0.25">
      <c r="D54" s="291"/>
      <c r="R54" s="372">
        <v>73040</v>
      </c>
      <c r="U54" s="710"/>
      <c r="W54"/>
      <c r="X54" s="291"/>
      <c r="AA54" s="319"/>
      <c r="AE54" s="319"/>
      <c r="AJ54" s="319"/>
      <c r="AK54" s="319"/>
      <c r="AL54" s="372">
        <v>3891</v>
      </c>
      <c r="AM54" s="319"/>
    </row>
    <row r="55" spans="1:62" ht="21.95" customHeight="1" outlineLevel="1" x14ac:dyDescent="0.25">
      <c r="A55" s="342">
        <f>SUM(A46:A54)</f>
        <v>179708604.40000004</v>
      </c>
      <c r="B55" s="342"/>
      <c r="C55" s="343"/>
      <c r="D55" s="344">
        <f>SUM(D46:D54)</f>
        <v>10001</v>
      </c>
      <c r="E55" s="342">
        <f>SUM(E46:E53)</f>
        <v>179708604.40000004</v>
      </c>
      <c r="F55" s="342">
        <f>SUM(F46:F53)</f>
        <v>179726575.26044008</v>
      </c>
      <c r="G55" s="343"/>
      <c r="H55" s="345">
        <f>I55/E55*10000</f>
        <v>145.09737289553766</v>
      </c>
      <c r="I55" s="342">
        <f>SUM(I46:I54)</f>
        <v>2607524.6385163465</v>
      </c>
      <c r="J55" s="342">
        <f>SUM(J46:J54)</f>
        <v>2000812.7033780606</v>
      </c>
      <c r="K55" s="343"/>
      <c r="L55" s="345">
        <f>M55/E55*10000</f>
        <v>77.946175197285811</v>
      </c>
      <c r="M55" s="342">
        <f>SUM(M46:M54)</f>
        <v>1400759.8363022131</v>
      </c>
      <c r="N55" s="347">
        <f>SUM(N46:N54)</f>
        <v>1399408.8733232403</v>
      </c>
      <c r="O55" s="345"/>
      <c r="P55" s="345"/>
      <c r="Q55" s="345">
        <f>R55/A55*10000</f>
        <v>15.223032915612578</v>
      </c>
      <c r="R55" s="377">
        <f>SUM(R52:R54)</f>
        <v>273571</v>
      </c>
      <c r="S55" s="347"/>
      <c r="T55" s="672"/>
      <c r="U55" s="320"/>
      <c r="V55" s="672">
        <f>SUM(V46:V54)</f>
        <v>39795145</v>
      </c>
      <c r="W55" s="343"/>
      <c r="X55" s="344">
        <f>SUM(X46:X54)</f>
        <v>10000</v>
      </c>
      <c r="Y55" s="681">
        <f>SUM(Y46:Y53)</f>
        <v>39795145</v>
      </c>
      <c r="Z55" s="685">
        <f>SUM(Z46:Z53)</f>
        <v>39795145</v>
      </c>
      <c r="AA55" s="319"/>
      <c r="AB55" s="320">
        <f>AC55/Y55*10000</f>
        <v>124.77799999999998</v>
      </c>
      <c r="AC55" s="681">
        <f>SUM(AC46:AC54)</f>
        <v>496555.86028099991</v>
      </c>
      <c r="AD55" s="342">
        <f>SUM(AD46:AD54)</f>
        <v>385917.39815200004</v>
      </c>
      <c r="AE55" s="343"/>
      <c r="AF55" s="320">
        <f>AG55/Z55*10000</f>
        <v>57.815999999999995</v>
      </c>
      <c r="AG55" s="672">
        <f>SUM(AG46:AG54)</f>
        <v>230079.61033199998</v>
      </c>
      <c r="AH55" s="697">
        <f>SUM(AH46:AH54)</f>
        <v>230676.53750699997</v>
      </c>
      <c r="AJ55" s="345"/>
      <c r="AK55" s="319"/>
      <c r="AL55" s="372">
        <v>37764</v>
      </c>
      <c r="AM55" s="319"/>
    </row>
    <row r="56" spans="1:62" ht="21.95" customHeight="1" outlineLevel="1" x14ac:dyDescent="0.25">
      <c r="M56" s="71">
        <f>I55-M55</f>
        <v>1206764.8022141333</v>
      </c>
      <c r="V56" s="695"/>
      <c r="AJ56" s="319"/>
      <c r="AK56" s="319"/>
      <c r="AL56" s="377">
        <f>SUM(AL53:AL55)</f>
        <v>60584</v>
      </c>
      <c r="AM56" s="319"/>
    </row>
    <row r="57" spans="1:62" ht="21.95" customHeight="1" outlineLevel="1" x14ac:dyDescent="0.25"/>
    <row r="58" spans="1:62" ht="4.5" customHeight="1" outlineLevel="1" x14ac:dyDescent="0.25">
      <c r="B58" s="710"/>
      <c r="C58" s="710"/>
      <c r="D58" s="710"/>
      <c r="E58" s="710"/>
      <c r="F58" s="710"/>
      <c r="G58" s="710"/>
      <c r="H58" s="710"/>
      <c r="I58" s="710"/>
      <c r="J58" s="710"/>
      <c r="K58" s="710"/>
      <c r="L58" s="710"/>
      <c r="M58" s="710"/>
      <c r="N58" s="710"/>
      <c r="O58" s="710"/>
      <c r="P58" s="710"/>
      <c r="Q58" s="710"/>
      <c r="R58" s="710"/>
      <c r="S58" s="710"/>
      <c r="T58" s="710"/>
      <c r="U58" s="710"/>
      <c r="V58" s="710"/>
      <c r="W58" s="710"/>
      <c r="X58" s="710"/>
      <c r="Y58" s="710"/>
      <c r="Z58" s="710"/>
      <c r="AA58" s="710"/>
      <c r="AB58" s="710"/>
      <c r="AC58" s="710"/>
      <c r="AD58" s="710"/>
      <c r="AE58" s="710"/>
      <c r="AF58" s="710"/>
      <c r="AG58" s="710"/>
      <c r="AH58" s="710"/>
      <c r="AI58" s="710"/>
      <c r="AJ58" s="710"/>
      <c r="AK58" s="710"/>
      <c r="AL58" s="710"/>
      <c r="AM58" s="710"/>
      <c r="AN58" s="710"/>
    </row>
    <row r="59" spans="1:62" ht="21.95" customHeight="1" outlineLevel="1" x14ac:dyDescent="0.25"/>
    <row r="61" spans="1:62" ht="21.95" customHeight="1" outlineLevel="1" x14ac:dyDescent="0.35">
      <c r="D61" s="465" t="s">
        <v>138</v>
      </c>
      <c r="F61" s="894" t="s">
        <v>139</v>
      </c>
      <c r="G61" s="893"/>
      <c r="H61" s="893"/>
      <c r="I61" s="893"/>
      <c r="J61" s="893"/>
      <c r="K61" s="893"/>
      <c r="L61" s="893"/>
      <c r="M61" s="893"/>
      <c r="N61" s="893"/>
      <c r="O61" s="893"/>
      <c r="P61" s="893"/>
      <c r="Q61" s="893"/>
      <c r="R61" s="893"/>
      <c r="X61" s="465" t="s">
        <v>138</v>
      </c>
    </row>
    <row r="62" spans="1:62" ht="21.95" customHeight="1" outlineLevel="1" thickBot="1" x14ac:dyDescent="0.3">
      <c r="H62" s="882" t="s">
        <v>102</v>
      </c>
      <c r="I62" s="882"/>
      <c r="J62" s="882"/>
      <c r="K62" s="317"/>
      <c r="L62" s="291"/>
      <c r="M62" s="291"/>
      <c r="N62" s="291"/>
      <c r="O62" s="317"/>
      <c r="P62" s="317"/>
      <c r="Q62" s="317"/>
      <c r="R62" s="317"/>
      <c r="S62" s="317"/>
      <c r="T62" s="317"/>
      <c r="U62" s="317"/>
      <c r="V62" s="317"/>
      <c r="W62" s="317"/>
      <c r="X62" s="291"/>
      <c r="Y62" s="291"/>
      <c r="Z62" s="291"/>
      <c r="AA62" s="291"/>
      <c r="AB62" s="882" t="s">
        <v>103</v>
      </c>
      <c r="AC62" s="882"/>
      <c r="AD62" s="882"/>
    </row>
    <row r="63" spans="1:62" ht="21.95" customHeight="1" outlineLevel="1" thickBot="1" x14ac:dyDescent="0.3">
      <c r="A63" s="291"/>
      <c r="B63" s="291"/>
      <c r="C63" s="291"/>
      <c r="D63" s="883" t="s">
        <v>104</v>
      </c>
      <c r="E63" s="884"/>
      <c r="F63" s="885"/>
      <c r="G63" s="323"/>
      <c r="H63" s="873" t="s">
        <v>105</v>
      </c>
      <c r="I63" s="874"/>
      <c r="J63" s="875"/>
      <c r="K63" s="323"/>
      <c r="L63" s="876" t="s">
        <v>106</v>
      </c>
      <c r="M63" s="877"/>
      <c r="N63" s="878"/>
      <c r="O63" s="323"/>
      <c r="P63" s="323"/>
      <c r="Q63" s="879" t="s">
        <v>107</v>
      </c>
      <c r="R63" s="880"/>
      <c r="S63" s="881"/>
      <c r="T63" s="323"/>
      <c r="U63" s="707"/>
      <c r="V63" s="323"/>
      <c r="W63" s="291"/>
      <c r="X63" s="883" t="s">
        <v>104</v>
      </c>
      <c r="Y63" s="884"/>
      <c r="Z63" s="885"/>
      <c r="AA63" s="323"/>
      <c r="AB63" s="873" t="s">
        <v>105</v>
      </c>
      <c r="AC63" s="874"/>
      <c r="AD63" s="875"/>
      <c r="AE63" s="323"/>
      <c r="AF63" s="876" t="s">
        <v>106</v>
      </c>
      <c r="AG63" s="877"/>
      <c r="AH63" s="878"/>
      <c r="AI63" s="291"/>
      <c r="AJ63" s="323"/>
      <c r="AK63" s="879" t="s">
        <v>107</v>
      </c>
      <c r="AL63" s="880"/>
      <c r="AM63" s="881"/>
      <c r="AP63" s="291"/>
      <c r="AR63" s="321"/>
      <c r="AS63" s="845" t="s">
        <v>108</v>
      </c>
      <c r="AT63" s="846"/>
      <c r="AU63" s="847"/>
      <c r="AV63" s="851" t="s">
        <v>1</v>
      </c>
      <c r="AW63" s="851"/>
      <c r="AX63" s="852"/>
      <c r="AY63" s="853" t="s">
        <v>140</v>
      </c>
      <c r="AZ63" s="851"/>
      <c r="BA63" s="852"/>
      <c r="BB63" s="853" t="s">
        <v>110</v>
      </c>
      <c r="BC63" s="851"/>
      <c r="BD63" s="855"/>
      <c r="BE63" s="857" t="s">
        <v>111</v>
      </c>
      <c r="BF63" s="857"/>
      <c r="BG63" s="858"/>
      <c r="BH63" s="860" t="s">
        <v>112</v>
      </c>
      <c r="BI63" s="861"/>
      <c r="BJ63" s="862"/>
    </row>
    <row r="64" spans="1:62" ht="21.95" customHeight="1" outlineLevel="1" thickBot="1" x14ac:dyDescent="0.3">
      <c r="A64" s="291"/>
      <c r="B64" s="291"/>
      <c r="C64" s="291"/>
      <c r="D64" s="325" t="s">
        <v>113</v>
      </c>
      <c r="E64" s="883" t="s">
        <v>114</v>
      </c>
      <c r="F64" s="890"/>
      <c r="G64" s="322"/>
      <c r="H64" s="302" t="s">
        <v>113</v>
      </c>
      <c r="I64" s="873" t="s">
        <v>115</v>
      </c>
      <c r="J64" s="891"/>
      <c r="K64" s="322"/>
      <c r="L64" s="302" t="s">
        <v>113</v>
      </c>
      <c r="M64" s="876" t="s">
        <v>115</v>
      </c>
      <c r="N64" s="886"/>
      <c r="O64" s="322"/>
      <c r="P64" s="322"/>
      <c r="Q64" s="328" t="s">
        <v>113</v>
      </c>
      <c r="R64" s="871" t="s">
        <v>115</v>
      </c>
      <c r="S64" s="872"/>
      <c r="T64" s="322"/>
      <c r="U64" s="708"/>
      <c r="V64" s="322"/>
      <c r="W64" s="291"/>
      <c r="X64" s="664" t="s">
        <v>113</v>
      </c>
      <c r="Y64" s="865" t="s">
        <v>114</v>
      </c>
      <c r="Z64" s="866"/>
      <c r="AA64" s="322"/>
      <c r="AB64" s="328" t="s">
        <v>113</v>
      </c>
      <c r="AC64" s="867" t="s">
        <v>115</v>
      </c>
      <c r="AD64" s="868"/>
      <c r="AE64" s="322"/>
      <c r="AF64" s="328" t="s">
        <v>113</v>
      </c>
      <c r="AG64" s="869" t="s">
        <v>115</v>
      </c>
      <c r="AH64" s="870"/>
      <c r="AI64" s="291"/>
      <c r="AJ64" s="322"/>
      <c r="AK64" s="328" t="s">
        <v>113</v>
      </c>
      <c r="AL64" s="871" t="s">
        <v>115</v>
      </c>
      <c r="AM64" s="872"/>
      <c r="AP64" s="291"/>
      <c r="AR64" s="322"/>
      <c r="AS64" s="848"/>
      <c r="AT64" s="849"/>
      <c r="AU64" s="850"/>
      <c r="AV64" s="849"/>
      <c r="AW64" s="849"/>
      <c r="AX64" s="849"/>
      <c r="AY64" s="854"/>
      <c r="AZ64" s="849"/>
      <c r="BA64" s="849"/>
      <c r="BB64" s="854"/>
      <c r="BC64" s="849"/>
      <c r="BD64" s="856"/>
      <c r="BE64" s="859"/>
      <c r="BF64" s="859"/>
      <c r="BG64" s="859"/>
      <c r="BH64" s="863"/>
      <c r="BI64" s="864"/>
      <c r="BJ64" s="864"/>
    </row>
    <row r="65" spans="1:62" ht="54.95" customHeight="1" outlineLevel="1" thickBot="1" x14ac:dyDescent="0.3">
      <c r="A65" s="291"/>
      <c r="B65" s="291"/>
      <c r="C65" s="301" t="s">
        <v>130</v>
      </c>
      <c r="D65" s="309">
        <f>'Working Paper 3'!$C$6</f>
        <v>5.0504809882102659E-2</v>
      </c>
      <c r="E65" s="295">
        <f t="shared" ref="E65:E72" si="49">D76/10000</f>
        <v>5.0500000000000003E-2</v>
      </c>
      <c r="F65" s="293"/>
      <c r="G65" s="324"/>
      <c r="H65" s="298">
        <f>'Working Paper 3'!$E$6</f>
        <v>154.93914051185246</v>
      </c>
      <c r="I65" s="299">
        <f>H76</f>
        <v>179</v>
      </c>
      <c r="J65" s="294"/>
      <c r="K65" s="317"/>
      <c r="L65" s="298">
        <f>'Working Paper 3'!$G$6</f>
        <v>169.71789116032431</v>
      </c>
      <c r="M65" s="300">
        <f>L76</f>
        <v>170</v>
      </c>
      <c r="N65" s="294"/>
      <c r="O65" s="317"/>
      <c r="P65" s="329" t="s">
        <v>116</v>
      </c>
      <c r="Q65" s="334">
        <v>10.65</v>
      </c>
      <c r="R65" s="352">
        <f>Q76/100</f>
        <v>10.68</v>
      </c>
      <c r="S65" s="330"/>
      <c r="T65" s="317"/>
      <c r="U65" s="709"/>
      <c r="V65" s="317"/>
      <c r="W65" s="301" t="str">
        <f>'Working Paper 3'!$B$6</f>
        <v>Amex</v>
      </c>
      <c r="X65" s="309">
        <f>V76/$V$85</f>
        <v>1.4E-2</v>
      </c>
      <c r="Y65" s="295">
        <f t="shared" ref="Y65:Y70" si="50">X76/10000</f>
        <v>1.4E-2</v>
      </c>
      <c r="Z65" s="293"/>
      <c r="AA65" s="665"/>
      <c r="AB65" s="298">
        <v>133</v>
      </c>
      <c r="AC65" s="299">
        <f>AB76</f>
        <v>150</v>
      </c>
      <c r="AD65" s="294"/>
      <c r="AE65" s="666"/>
      <c r="AF65" s="298">
        <v>160</v>
      </c>
      <c r="AG65" s="300">
        <f>AF76</f>
        <v>160</v>
      </c>
      <c r="AH65" s="294"/>
      <c r="AI65" s="291"/>
      <c r="AJ65" s="329" t="s">
        <v>116</v>
      </c>
      <c r="AK65" s="334">
        <f>AL83/$Z$25*10000</f>
        <v>4.756610385513107</v>
      </c>
      <c r="AL65" s="352">
        <f>AK76/100</f>
        <v>4.7699999999999996</v>
      </c>
      <c r="AM65" s="330"/>
      <c r="AP65" s="291"/>
      <c r="AR65" s="825" t="s">
        <v>113</v>
      </c>
      <c r="AS65" s="827">
        <f>+I85+AC85</f>
        <v>3104080.4987973464</v>
      </c>
      <c r="AT65" s="828"/>
      <c r="AU65" s="829"/>
      <c r="AV65" s="830">
        <f>AG85+M85</f>
        <v>1630839.4466342132</v>
      </c>
      <c r="AW65" s="828"/>
      <c r="AX65" s="829"/>
      <c r="AY65" s="830">
        <f>AS65-AV65</f>
        <v>1473241.0521631332</v>
      </c>
      <c r="AZ65" s="828"/>
      <c r="BA65" s="829"/>
      <c r="BB65" s="831">
        <f>'Working Paper 3'!$J$15/'Working Paper 3'!$F$15</f>
        <v>0.46280092022477287</v>
      </c>
      <c r="BC65" s="828"/>
      <c r="BD65" s="832"/>
      <c r="BE65" s="827">
        <f>+AL80+R80</f>
        <v>398256.46766760008</v>
      </c>
      <c r="BF65" s="828"/>
      <c r="BG65" s="828"/>
      <c r="BH65" s="833">
        <f>AY65-BE65</f>
        <v>1074984.584495533</v>
      </c>
      <c r="BI65" s="828"/>
      <c r="BJ65" s="832"/>
    </row>
    <row r="66" spans="1:62" ht="54.95" customHeight="1" outlineLevel="1" thickBot="1" x14ac:dyDescent="0.3">
      <c r="A66" s="291"/>
      <c r="B66" s="291"/>
      <c r="C66" s="301" t="s">
        <v>3</v>
      </c>
      <c r="D66" s="309">
        <f>'Working Paper 3'!$C$7</f>
        <v>0.3206982301443993</v>
      </c>
      <c r="E66" s="295">
        <f t="shared" si="49"/>
        <v>0.32069999999999999</v>
      </c>
      <c r="F66" s="294"/>
      <c r="G66" s="317"/>
      <c r="H66" s="298">
        <f>'Working Paper 3'!$E$7</f>
        <v>142.99254815956868</v>
      </c>
      <c r="I66" s="299">
        <f t="shared" ref="I66:I72" si="51">H77</f>
        <v>65</v>
      </c>
      <c r="J66" s="294"/>
      <c r="K66" s="317"/>
      <c r="L66" s="298">
        <f>'Working Paper 3'!$G$7</f>
        <v>28.660658557912612</v>
      </c>
      <c r="M66" s="300">
        <f t="shared" ref="M66:M72" si="52">L77</f>
        <v>28</v>
      </c>
      <c r="N66" s="294"/>
      <c r="O66" s="317"/>
      <c r="P66" s="329" t="s">
        <v>118</v>
      </c>
      <c r="Q66" s="334">
        <v>3.12</v>
      </c>
      <c r="R66" s="352">
        <f>Q77/100</f>
        <v>3.12</v>
      </c>
      <c r="S66" s="330"/>
      <c r="T66" s="317"/>
      <c r="U66" s="709"/>
      <c r="V66" s="317"/>
      <c r="W66" s="301" t="str">
        <f>'Working Paper 3'!$B$7</f>
        <v>EFTPOS</v>
      </c>
      <c r="X66" s="309">
        <f t="shared" ref="X66:X70" si="53">V77/$V$85</f>
        <v>0.32800000000000001</v>
      </c>
      <c r="Y66" s="295">
        <f t="shared" si="50"/>
        <v>0.32800000000000001</v>
      </c>
      <c r="Z66" s="294"/>
      <c r="AA66" s="317"/>
      <c r="AB66" s="298">
        <v>130</v>
      </c>
      <c r="AC66" s="299">
        <f t="shared" ref="AC66:AC70" si="54">AB77</f>
        <v>65</v>
      </c>
      <c r="AD66" s="294"/>
      <c r="AE66" s="317"/>
      <c r="AF66" s="298">
        <v>25</v>
      </c>
      <c r="AG66" s="300">
        <f t="shared" ref="AG66:AG70" si="55">AF77</f>
        <v>25</v>
      </c>
      <c r="AH66" s="294"/>
      <c r="AI66" s="291"/>
      <c r="AJ66" s="329" t="s">
        <v>118</v>
      </c>
      <c r="AK66" s="334">
        <f t="shared" ref="AK66:AK67" si="56">AL84/$Z$25*10000</f>
        <v>0.97775746262515195</v>
      </c>
      <c r="AL66" s="352">
        <f>AK77/100</f>
        <v>0.98</v>
      </c>
      <c r="AM66" s="330"/>
      <c r="AP66" s="291"/>
      <c r="AR66" s="826"/>
      <c r="AS66" s="834">
        <f>AS65/(Y85+A85)*10000</f>
        <v>141.41355249202618</v>
      </c>
      <c r="AT66" s="835"/>
      <c r="AU66" s="836"/>
      <c r="AV66" s="837">
        <f>AV65/(Y85+A85)*10000</f>
        <v>74.296655573857493</v>
      </c>
      <c r="AW66" s="835"/>
      <c r="AX66" s="836"/>
      <c r="AY66" s="837">
        <f>AS66-AV66</f>
        <v>67.116896918168692</v>
      </c>
      <c r="AZ66" s="838"/>
      <c r="BA66" s="839"/>
      <c r="BB66" s="840"/>
      <c r="BC66" s="841"/>
      <c r="BD66" s="842"/>
      <c r="BE66" s="843">
        <f>Q68</f>
        <v>18.79</v>
      </c>
      <c r="BF66" s="835"/>
      <c r="BG66" s="836"/>
      <c r="BH66" s="837">
        <f>AY66-BE66</f>
        <v>48.326896918168693</v>
      </c>
      <c r="BI66" s="835"/>
      <c r="BJ66" s="844"/>
    </row>
    <row r="67" spans="1:62" ht="54.95" customHeight="1" outlineLevel="1" thickBot="1" x14ac:dyDescent="0.3">
      <c r="A67" s="291"/>
      <c r="B67" s="291"/>
      <c r="C67" s="301" t="s">
        <v>4</v>
      </c>
      <c r="D67" s="309">
        <f>'Working Paper 3'!$C$8</f>
        <v>4.0553505985047866E-2</v>
      </c>
      <c r="E67" s="295">
        <f t="shared" si="49"/>
        <v>4.0599999999999997E-2</v>
      </c>
      <c r="F67" s="326"/>
      <c r="G67" s="317"/>
      <c r="H67" s="298">
        <f>'Working Paper 3'!$E$8</f>
        <v>143.45851781578313</v>
      </c>
      <c r="I67" s="299">
        <f t="shared" si="51"/>
        <v>165</v>
      </c>
      <c r="J67" s="294"/>
      <c r="K67" s="317"/>
      <c r="L67" s="298">
        <f>'Working Paper 3'!$G$8</f>
        <v>60.236068170372583</v>
      </c>
      <c r="M67" s="300">
        <f t="shared" si="52"/>
        <v>50</v>
      </c>
      <c r="N67" s="294"/>
      <c r="O67" s="317"/>
      <c r="P67" s="331" t="s">
        <v>119</v>
      </c>
      <c r="Q67" s="334">
        <v>5.0199999999999996</v>
      </c>
      <c r="R67" s="352">
        <f>Q78/100</f>
        <v>5.0199999999999996</v>
      </c>
      <c r="S67" s="330"/>
      <c r="T67" s="317"/>
      <c r="U67" s="709"/>
      <c r="V67" s="317"/>
      <c r="W67" s="301" t="s">
        <v>120</v>
      </c>
      <c r="X67" s="309">
        <f t="shared" si="53"/>
        <v>0.18</v>
      </c>
      <c r="Y67" s="295">
        <f t="shared" si="50"/>
        <v>0.18010000000000001</v>
      </c>
      <c r="Z67" s="294"/>
      <c r="AA67" s="317"/>
      <c r="AB67" s="298">
        <v>122</v>
      </c>
      <c r="AC67" s="299">
        <f t="shared" si="54"/>
        <v>150</v>
      </c>
      <c r="AD67" s="294"/>
      <c r="AE67" s="317"/>
      <c r="AF67" s="298">
        <v>72</v>
      </c>
      <c r="AG67" s="300">
        <f t="shared" si="55"/>
        <v>50</v>
      </c>
      <c r="AH67" s="294"/>
      <c r="AI67" s="291"/>
      <c r="AJ67" s="331" t="s">
        <v>119</v>
      </c>
      <c r="AK67" s="334">
        <f t="shared" si="56"/>
        <v>9.4895997991714811</v>
      </c>
      <c r="AL67" s="352">
        <f>AK78/100</f>
        <v>9.49</v>
      </c>
      <c r="AM67" s="330"/>
      <c r="AP67" s="291"/>
      <c r="AR67" s="810" t="s">
        <v>141</v>
      </c>
      <c r="AS67" s="812">
        <f>+J85+AD85</f>
        <v>2386789.7942475607</v>
      </c>
      <c r="AT67" s="788"/>
      <c r="AU67" s="789"/>
      <c r="AV67" s="813">
        <f>AH85+N85</f>
        <v>1422764.7358732081</v>
      </c>
      <c r="AW67" s="788"/>
      <c r="AX67" s="789"/>
      <c r="AY67" s="813">
        <f>AS67-AV67</f>
        <v>964025.05837435252</v>
      </c>
      <c r="AZ67" s="788"/>
      <c r="BA67" s="789"/>
      <c r="BB67" s="814">
        <f>AY67/J85</f>
        <v>0.48181674214020453</v>
      </c>
      <c r="BC67" s="788"/>
      <c r="BD67" s="797"/>
      <c r="BE67" s="812">
        <f>AM80+S80</f>
        <v>398859.39446080005</v>
      </c>
      <c r="BF67" s="788"/>
      <c r="BG67" s="788"/>
      <c r="BH67" s="815">
        <f>AY67-BE67</f>
        <v>565165.66391355242</v>
      </c>
      <c r="BI67" s="788"/>
      <c r="BJ67" s="797"/>
    </row>
    <row r="68" spans="1:62" ht="49.5" customHeight="1" outlineLevel="1" thickBot="1" x14ac:dyDescent="0.3">
      <c r="A68" s="291"/>
      <c r="B68" s="291"/>
      <c r="C68" s="301" t="s">
        <v>5</v>
      </c>
      <c r="D68" s="309">
        <f>'Working Paper 3'!$C$9</f>
        <v>0.22558468242770457</v>
      </c>
      <c r="E68" s="295">
        <f t="shared" si="49"/>
        <v>0.22559999999999999</v>
      </c>
      <c r="F68" s="294"/>
      <c r="G68" s="317"/>
      <c r="H68" s="298">
        <f>'Working Paper 3'!$E$9</f>
        <v>143.21774507854948</v>
      </c>
      <c r="I68" s="299">
        <f t="shared" si="51"/>
        <v>65</v>
      </c>
      <c r="J68" s="294"/>
      <c r="K68" s="317"/>
      <c r="L68" s="298">
        <f>'Working Paper 3'!$G$9</f>
        <v>65.927949272184037</v>
      </c>
      <c r="M68" s="300">
        <f t="shared" si="52"/>
        <v>66</v>
      </c>
      <c r="N68" s="294"/>
      <c r="O68" s="317"/>
      <c r="P68" s="340"/>
      <c r="Q68" s="332">
        <f>R80/$A$85*10000</f>
        <v>18.79</v>
      </c>
      <c r="R68" s="339">
        <f>S80/A85*10000</f>
        <v>18.819999999999997</v>
      </c>
      <c r="S68" s="336"/>
      <c r="T68" s="317"/>
      <c r="U68" s="709"/>
      <c r="V68" s="317"/>
      <c r="W68" s="301" t="s">
        <v>122</v>
      </c>
      <c r="X68" s="309">
        <f t="shared" si="53"/>
        <v>0.17799999999999999</v>
      </c>
      <c r="Y68" s="295">
        <f t="shared" si="50"/>
        <v>0.17799999999999999</v>
      </c>
      <c r="Z68" s="294"/>
      <c r="AA68" s="317"/>
      <c r="AB68" s="298">
        <v>122</v>
      </c>
      <c r="AC68" s="299">
        <f t="shared" si="54"/>
        <v>152</v>
      </c>
      <c r="AD68" s="294"/>
      <c r="AE68" s="317"/>
      <c r="AF68" s="298">
        <v>72</v>
      </c>
      <c r="AG68" s="300">
        <f t="shared" si="55"/>
        <v>50</v>
      </c>
      <c r="AH68" s="294"/>
      <c r="AI68" s="291"/>
      <c r="AJ68" s="340"/>
      <c r="AK68" s="335"/>
      <c r="AL68" s="317"/>
      <c r="AM68" s="336"/>
      <c r="AP68" s="291"/>
      <c r="AR68" s="811"/>
      <c r="AS68" s="816">
        <f>AS67/(Y85+A85)*10000</f>
        <v>108.735718673221</v>
      </c>
      <c r="AT68" s="817"/>
      <c r="AU68" s="818"/>
      <c r="AV68" s="819">
        <f>AV67/(Y85+A85)*10000</f>
        <v>64.817331811517931</v>
      </c>
      <c r="AW68" s="817"/>
      <c r="AX68" s="818"/>
      <c r="AY68" s="819">
        <f>AS68-AV68</f>
        <v>43.91838686170307</v>
      </c>
      <c r="AZ68" s="817"/>
      <c r="BA68" s="817"/>
      <c r="BB68" s="820"/>
      <c r="BC68" s="821"/>
      <c r="BD68" s="822"/>
      <c r="BE68" s="823">
        <f>R68*R71</f>
        <v>18.819999999999997</v>
      </c>
      <c r="BF68" s="817"/>
      <c r="BG68" s="817"/>
      <c r="BH68" s="819">
        <f>AY68-BE68</f>
        <v>25.098386861703073</v>
      </c>
      <c r="BI68" s="817"/>
      <c r="BJ68" s="824"/>
    </row>
    <row r="69" spans="1:62" ht="49.5" customHeight="1" outlineLevel="1" thickBot="1" x14ac:dyDescent="0.3">
      <c r="A69" s="291"/>
      <c r="B69" s="291"/>
      <c r="C69" s="301" t="s">
        <v>131</v>
      </c>
      <c r="D69" s="309">
        <f>'Working Paper 3'!$C$10</f>
        <v>0.25452682626864803</v>
      </c>
      <c r="E69" s="295">
        <f t="shared" si="49"/>
        <v>0.2545</v>
      </c>
      <c r="F69" s="294"/>
      <c r="G69" s="317"/>
      <c r="H69" s="298">
        <f>'Working Paper 3'!$E$10</f>
        <v>148.69146331982427</v>
      </c>
      <c r="I69" s="299">
        <f t="shared" si="51"/>
        <v>165</v>
      </c>
      <c r="J69" s="294"/>
      <c r="K69" s="317"/>
      <c r="L69" s="298">
        <f>'Working Paper 3'!$G$10</f>
        <v>100.86833162399658</v>
      </c>
      <c r="M69" s="300">
        <f t="shared" si="52"/>
        <v>70</v>
      </c>
      <c r="N69" s="294"/>
      <c r="O69" s="317"/>
      <c r="P69" s="340"/>
      <c r="S69" s="336"/>
      <c r="T69" s="317"/>
      <c r="U69" s="709"/>
      <c r="V69" s="317"/>
      <c r="W69" s="301" t="s">
        <v>50</v>
      </c>
      <c r="X69" s="309">
        <f t="shared" si="53"/>
        <v>0.15</v>
      </c>
      <c r="Y69" s="295">
        <f t="shared" si="50"/>
        <v>0.15</v>
      </c>
      <c r="Z69" s="294"/>
      <c r="AA69" s="317"/>
      <c r="AB69" s="298">
        <v>122</v>
      </c>
      <c r="AC69" s="299">
        <f t="shared" si="54"/>
        <v>65</v>
      </c>
      <c r="AD69" s="294"/>
      <c r="AE69" s="317"/>
      <c r="AF69" s="298">
        <v>72</v>
      </c>
      <c r="AG69" s="300">
        <f t="shared" si="55"/>
        <v>72</v>
      </c>
      <c r="AH69" s="294"/>
      <c r="AI69" s="291"/>
      <c r="AJ69" s="340"/>
      <c r="AK69" s="887" t="s">
        <v>123</v>
      </c>
      <c r="AL69" s="888"/>
      <c r="AM69" s="889"/>
      <c r="AP69" s="291"/>
      <c r="AR69" s="424" t="s">
        <v>124</v>
      </c>
      <c r="AS69" s="787">
        <f t="shared" ref="AS69:AS70" si="57">AS65-AS67</f>
        <v>717290.7045497857</v>
      </c>
      <c r="AT69" s="788"/>
      <c r="AU69" s="789"/>
      <c r="AV69" s="790">
        <f t="shared" ref="AV69:AV70" si="58">AV65-AV67</f>
        <v>208074.71076100506</v>
      </c>
      <c r="AW69" s="791"/>
      <c r="AX69" s="792"/>
      <c r="AY69" s="793">
        <f t="shared" ref="AY69:AY70" si="59">AY65-AY67</f>
        <v>509215.99378878064</v>
      </c>
      <c r="AZ69" s="788"/>
      <c r="BA69" s="788"/>
      <c r="BB69" s="794"/>
      <c r="BC69" s="788"/>
      <c r="BD69" s="789"/>
      <c r="BE69" s="795">
        <f t="shared" ref="BE69:BE70" si="60">BE65-BE67</f>
        <v>-602.92679319996387</v>
      </c>
      <c r="BF69" s="788"/>
      <c r="BG69" s="789"/>
      <c r="BH69" s="796">
        <f t="shared" ref="BH69:BH70" si="61">BH65-BH67</f>
        <v>509818.92058198061</v>
      </c>
      <c r="BI69" s="788"/>
      <c r="BJ69" s="797"/>
    </row>
    <row r="70" spans="1:62" ht="49.5" customHeight="1" outlineLevel="1" thickBot="1" x14ac:dyDescent="0.3">
      <c r="A70" s="291"/>
      <c r="B70" s="291"/>
      <c r="C70" s="301" t="s">
        <v>7</v>
      </c>
      <c r="D70" s="309">
        <f>'Working Paper 3'!$C$11</f>
        <v>6.0059880831170691E-2</v>
      </c>
      <c r="E70" s="295">
        <f t="shared" si="49"/>
        <v>6.0100000000000001E-2</v>
      </c>
      <c r="F70" s="294"/>
      <c r="G70" s="317"/>
      <c r="H70" s="298">
        <f>'Working Paper 3'!$E$11</f>
        <v>142.98844600659757</v>
      </c>
      <c r="I70" s="299">
        <f t="shared" si="51"/>
        <v>65</v>
      </c>
      <c r="J70" s="294"/>
      <c r="K70" s="317"/>
      <c r="L70" s="298">
        <f>'Working Paper 3'!$G$11</f>
        <v>54.90928046317822</v>
      </c>
      <c r="M70" s="300">
        <f t="shared" si="52"/>
        <v>55</v>
      </c>
      <c r="N70" s="294"/>
      <c r="O70" s="317"/>
      <c r="P70" s="340"/>
      <c r="Q70" s="887" t="s">
        <v>123</v>
      </c>
      <c r="R70" s="888"/>
      <c r="S70" s="889"/>
      <c r="T70" s="701"/>
      <c r="U70" s="709"/>
      <c r="V70" s="317"/>
      <c r="W70" s="301" t="s">
        <v>125</v>
      </c>
      <c r="X70" s="309">
        <f t="shared" si="53"/>
        <v>0.15</v>
      </c>
      <c r="Y70" s="295">
        <f t="shared" si="50"/>
        <v>0.15</v>
      </c>
      <c r="Z70" s="294"/>
      <c r="AA70" s="318"/>
      <c r="AB70" s="298">
        <v>122</v>
      </c>
      <c r="AC70" s="299">
        <f t="shared" si="54"/>
        <v>65</v>
      </c>
      <c r="AD70" s="294"/>
      <c r="AE70" s="318"/>
      <c r="AF70" s="298">
        <v>72</v>
      </c>
      <c r="AG70" s="300">
        <f t="shared" si="55"/>
        <v>72</v>
      </c>
      <c r="AH70" s="294"/>
      <c r="AI70" s="291"/>
      <c r="AJ70" s="340"/>
      <c r="AK70" s="384">
        <v>1</v>
      </c>
      <c r="AL70" s="384">
        <f>AK82/100</f>
        <v>1</v>
      </c>
      <c r="AM70" s="383"/>
      <c r="AP70" s="291"/>
      <c r="AR70" s="425" t="s">
        <v>126</v>
      </c>
      <c r="AS70" s="798">
        <f t="shared" si="57"/>
        <v>32.677833818805183</v>
      </c>
      <c r="AT70" s="799"/>
      <c r="AU70" s="800"/>
      <c r="AV70" s="801">
        <f t="shared" si="58"/>
        <v>9.4793237623395612</v>
      </c>
      <c r="AW70" s="799"/>
      <c r="AX70" s="800"/>
      <c r="AY70" s="801">
        <f t="shared" si="59"/>
        <v>23.198510056465622</v>
      </c>
      <c r="AZ70" s="799"/>
      <c r="BA70" s="799"/>
      <c r="BB70" s="802"/>
      <c r="BC70" s="803"/>
      <c r="BD70" s="804"/>
      <c r="BE70" s="805">
        <f t="shared" si="60"/>
        <v>-2.9999999999997584E-2</v>
      </c>
      <c r="BF70" s="806"/>
      <c r="BG70" s="807"/>
      <c r="BH70" s="808">
        <f t="shared" si="61"/>
        <v>23.22851005646562</v>
      </c>
      <c r="BI70" s="806"/>
      <c r="BJ70" s="809"/>
    </row>
    <row r="71" spans="1:62" ht="49.5" customHeight="1" outlineLevel="1" thickBot="1" x14ac:dyDescent="0.3">
      <c r="A71" s="291"/>
      <c r="B71" s="291"/>
      <c r="C71" s="301" t="s">
        <v>132</v>
      </c>
      <c r="D71" s="309">
        <f>'Working Paper 3'!$C$12</f>
        <v>2.4773150306096305E-2</v>
      </c>
      <c r="E71" s="295">
        <f t="shared" si="49"/>
        <v>2.4799999999999999E-2</v>
      </c>
      <c r="F71" s="294"/>
      <c r="G71" s="317"/>
      <c r="H71" s="298">
        <f>'Working Paper 3'!$E$12</f>
        <v>145.45695079148425</v>
      </c>
      <c r="I71" s="299">
        <f t="shared" si="51"/>
        <v>295</v>
      </c>
      <c r="J71" s="294"/>
      <c r="K71" s="317"/>
      <c r="L71" s="298">
        <f>'Working Paper 3'!$G$12</f>
        <v>292.619148787516</v>
      </c>
      <c r="M71" s="300">
        <f t="shared" si="52"/>
        <v>260</v>
      </c>
      <c r="N71" s="294"/>
      <c r="O71" s="317"/>
      <c r="P71" s="340"/>
      <c r="Q71" s="384">
        <v>1</v>
      </c>
      <c r="R71" s="384">
        <f>Q74/100</f>
        <v>1</v>
      </c>
      <c r="S71" s="383"/>
      <c r="T71" s="317"/>
      <c r="U71" s="709"/>
      <c r="V71" s="317"/>
      <c r="W71" s="323"/>
      <c r="X71" s="661"/>
      <c r="Y71" s="662"/>
      <c r="Z71" s="317"/>
      <c r="AA71" s="317"/>
      <c r="AB71" s="663"/>
      <c r="AC71" s="663"/>
      <c r="AD71" s="317"/>
      <c r="AE71" s="317"/>
      <c r="AF71" s="663"/>
      <c r="AG71" s="663"/>
      <c r="AH71" s="317"/>
      <c r="AI71" s="423"/>
      <c r="AJ71" s="340"/>
      <c r="AK71" s="335"/>
      <c r="AL71" s="317"/>
      <c r="AM71" s="336"/>
      <c r="AN71" s="423"/>
      <c r="AO71" s="423"/>
      <c r="AP71" s="291"/>
    </row>
    <row r="72" spans="1:62" ht="49.5" customHeight="1" outlineLevel="1" thickBot="1" x14ac:dyDescent="0.3">
      <c r="A72" s="291"/>
      <c r="B72" s="291"/>
      <c r="C72" s="301" t="s">
        <v>133</v>
      </c>
      <c r="D72" s="309">
        <f>'Working Paper 3'!$C$13</f>
        <v>2.3298914154830527E-2</v>
      </c>
      <c r="E72" s="295">
        <f t="shared" si="49"/>
        <v>2.3300000000000001E-2</v>
      </c>
      <c r="F72" s="294"/>
      <c r="G72" s="317"/>
      <c r="H72" s="298">
        <f>'Working Paper 3'!$E$13</f>
        <v>139.5775929132339</v>
      </c>
      <c r="I72" s="299">
        <f t="shared" si="51"/>
        <v>295</v>
      </c>
      <c r="J72" s="294"/>
      <c r="K72" s="317"/>
      <c r="L72" s="298">
        <f>'Working Paper 3'!$G$13</f>
        <v>285.31047780447233</v>
      </c>
      <c r="M72" s="300">
        <f t="shared" si="52"/>
        <v>260</v>
      </c>
      <c r="N72" s="294"/>
      <c r="O72" s="317"/>
      <c r="P72" s="341"/>
      <c r="Q72" s="337"/>
      <c r="R72" s="318"/>
      <c r="S72" s="338"/>
      <c r="T72" s="317"/>
      <c r="U72" s="709"/>
      <c r="V72" s="317"/>
      <c r="W72" s="323"/>
      <c r="X72" s="661"/>
      <c r="Y72" s="662"/>
      <c r="Z72" s="317"/>
      <c r="AA72" s="317"/>
      <c r="AB72" s="663"/>
      <c r="AC72" s="663"/>
      <c r="AD72" s="317"/>
      <c r="AE72" s="317"/>
      <c r="AF72" s="663"/>
      <c r="AG72" s="663"/>
      <c r="AH72" s="317"/>
      <c r="AI72" s="423"/>
      <c r="AJ72" s="341"/>
      <c r="AK72" s="337"/>
      <c r="AL72" s="318"/>
      <c r="AM72" s="338"/>
      <c r="AN72" s="423"/>
      <c r="AO72" s="423"/>
      <c r="AP72" s="291"/>
    </row>
    <row r="73" spans="1:62" ht="21.95" customHeight="1" outlineLevel="1" thickBot="1" x14ac:dyDescent="0.3">
      <c r="A73" s="291"/>
      <c r="B73" s="291"/>
      <c r="C73" s="291"/>
      <c r="D73" s="291"/>
      <c r="E73" s="291"/>
      <c r="F73" s="291"/>
      <c r="G73" s="317"/>
      <c r="H73" s="291"/>
      <c r="I73" s="291"/>
      <c r="J73" s="291"/>
      <c r="K73" s="317"/>
      <c r="L73" s="291"/>
      <c r="M73" s="291"/>
      <c r="N73" s="291"/>
      <c r="O73" s="317"/>
      <c r="P73" s="317"/>
      <c r="Q73" s="317"/>
      <c r="R73" s="317"/>
      <c r="S73" s="317"/>
      <c r="T73" s="317"/>
      <c r="U73" s="709"/>
      <c r="V73" s="317"/>
      <c r="W73" s="291"/>
      <c r="X73" s="291"/>
      <c r="Y73" s="291"/>
      <c r="Z73" s="291"/>
      <c r="AA73" s="317"/>
      <c r="AB73" s="291"/>
      <c r="AC73" s="291"/>
      <c r="AD73" s="291"/>
      <c r="AE73" s="317"/>
      <c r="AF73" s="291"/>
      <c r="AG73" s="291"/>
      <c r="AH73" s="291"/>
      <c r="AJ73" s="317"/>
      <c r="AK73" s="317"/>
      <c r="AL73" s="317"/>
      <c r="AM73" s="317"/>
      <c r="AP73" s="291"/>
    </row>
    <row r="74" spans="1:62" ht="21.95" customHeight="1" outlineLevel="1" thickBot="1" x14ac:dyDescent="0.3">
      <c r="A74" s="291"/>
      <c r="B74" s="291"/>
      <c r="C74" s="291"/>
      <c r="D74" s="315">
        <f>SUM(D65:D73)</f>
        <v>0.99999999999999978</v>
      </c>
      <c r="E74" s="316">
        <f>SUM(E65:E73)</f>
        <v>1.0001</v>
      </c>
      <c r="F74" s="291"/>
      <c r="G74" s="317"/>
      <c r="H74" s="356">
        <f>I85/A85*10000</f>
        <v>145.09737289553766</v>
      </c>
      <c r="I74" s="314">
        <f>H85</f>
        <v>111.33650000000002</v>
      </c>
      <c r="J74" s="291"/>
      <c r="K74" s="317"/>
      <c r="L74" s="311">
        <f>M85/A85*10000</f>
        <v>77.946175197285811</v>
      </c>
      <c r="M74" s="312">
        <f>L85</f>
        <v>68.110699999999994</v>
      </c>
      <c r="N74" s="291"/>
      <c r="O74" s="317"/>
      <c r="P74" s="291"/>
      <c r="Q74" s="410">
        <v>100</v>
      </c>
      <c r="R74" s="411">
        <f>R71*1</f>
        <v>1</v>
      </c>
      <c r="S74" s="410"/>
      <c r="T74" s="703"/>
      <c r="U74" s="709"/>
      <c r="V74" s="317"/>
      <c r="W74" s="291"/>
      <c r="X74" s="315">
        <f>SUM(X65:X73)</f>
        <v>1</v>
      </c>
      <c r="Y74" s="316">
        <f>SUM(Y65:Y73)</f>
        <v>1.0001</v>
      </c>
      <c r="Z74" s="291"/>
      <c r="AA74" s="317"/>
      <c r="AB74" s="686">
        <f>AC85/V85*10000</f>
        <v>124.77799999999998</v>
      </c>
      <c r="AC74" s="357">
        <f>AD85/V85*10000</f>
        <v>96.991</v>
      </c>
      <c r="AD74" s="291"/>
      <c r="AE74" s="317"/>
      <c r="AF74" s="698">
        <f>AF85</f>
        <v>57.810218978102185</v>
      </c>
      <c r="AG74" s="312">
        <f>AH85/Z85*10000</f>
        <v>49.940005999400057</v>
      </c>
      <c r="AH74" s="291"/>
      <c r="AJ74" s="291"/>
      <c r="AK74" s="332">
        <f>AL80/Z85*10000</f>
        <v>15.222445402769464</v>
      </c>
      <c r="AL74" s="413">
        <f>AM80/Z85*10000</f>
        <v>15.238476152384761</v>
      </c>
      <c r="AM74" s="291"/>
      <c r="AP74" s="291"/>
    </row>
    <row r="75" spans="1:62" ht="21.95" customHeight="1" outlineLevel="1" thickBot="1" x14ac:dyDescent="0.3">
      <c r="A75" s="291"/>
      <c r="B75" s="291"/>
      <c r="C75" s="291"/>
      <c r="D75" s="291"/>
      <c r="E75" s="291"/>
      <c r="F75" s="291"/>
      <c r="G75" s="317"/>
      <c r="H75" s="291"/>
      <c r="I75" s="291"/>
      <c r="J75" s="291"/>
      <c r="K75" s="317"/>
      <c r="L75" s="291"/>
      <c r="M75" s="291"/>
      <c r="N75" s="291"/>
      <c r="O75" s="317"/>
      <c r="P75" s="317"/>
      <c r="Q75" s="317"/>
      <c r="R75" s="317"/>
      <c r="S75" s="317"/>
      <c r="T75" s="317"/>
      <c r="U75" s="709"/>
      <c r="V75" s="670" t="s">
        <v>103</v>
      </c>
      <c r="W75" s="291"/>
      <c r="X75" s="291"/>
      <c r="Y75" s="291"/>
      <c r="Z75" s="291"/>
      <c r="AA75" s="317"/>
      <c r="AB75" s="291"/>
      <c r="AC75" s="291"/>
      <c r="AD75" s="291"/>
      <c r="AE75" s="317"/>
      <c r="AF75" s="291"/>
      <c r="AG75" s="291"/>
      <c r="AH75" s="291"/>
      <c r="AJ75" s="317"/>
      <c r="AK75" s="317"/>
      <c r="AL75" s="414"/>
      <c r="AM75" s="317"/>
      <c r="AP75" s="291"/>
    </row>
    <row r="76" spans="1:62" ht="21.95" customHeight="1" outlineLevel="1" thickBot="1" x14ac:dyDescent="0.3">
      <c r="A76" s="305">
        <f>D65*'Working Paper 3'!$D$15</f>
        <v>9076148.8993999995</v>
      </c>
      <c r="B76" s="305"/>
      <c r="C76" s="291" t="s">
        <v>130</v>
      </c>
      <c r="D76" s="292">
        <v>505</v>
      </c>
      <c r="E76" s="458">
        <f>D65*$A$85</f>
        <v>9076148.8993999995</v>
      </c>
      <c r="F76" s="448">
        <f>E65*$A$85</f>
        <v>9075284.5222000033</v>
      </c>
      <c r="G76" s="449"/>
      <c r="H76" s="450">
        <v>179</v>
      </c>
      <c r="I76" s="448">
        <f t="shared" ref="I76:I83" si="62">H65*A76/10000</f>
        <v>140625.07096306313</v>
      </c>
      <c r="J76" s="455">
        <f>I65*F76/10000</f>
        <v>162447.59294738006</v>
      </c>
      <c r="K76" s="449"/>
      <c r="L76" s="450">
        <v>170</v>
      </c>
      <c r="M76" s="448">
        <f t="shared" ref="M76:M83" si="63">L65*A76/10000</f>
        <v>154038.48510632664</v>
      </c>
      <c r="N76" s="715">
        <f>M65*F76/10000</f>
        <v>154279.83687740006</v>
      </c>
      <c r="O76" s="449"/>
      <c r="P76" s="460" t="s">
        <v>116</v>
      </c>
      <c r="Q76" s="371">
        <v>1068</v>
      </c>
      <c r="R76" s="461">
        <f>Q65*$A$85/10000</f>
        <v>191389.66368600004</v>
      </c>
      <c r="S76" s="362">
        <f>Q76*E85/1000000</f>
        <v>191928.78949920004</v>
      </c>
      <c r="T76" s="705"/>
      <c r="U76" s="709"/>
      <c r="V76" s="671">
        <f>'TTV By Card'!$C$55</f>
        <v>557132.03</v>
      </c>
      <c r="W76" s="291" t="str">
        <f>W65</f>
        <v>Amex</v>
      </c>
      <c r="X76" s="369">
        <v>140</v>
      </c>
      <c r="Y76" s="370">
        <f>X65*$V$85</f>
        <v>557132.03</v>
      </c>
      <c r="Z76" s="349">
        <f>Y65*$V$25</f>
        <v>557132.03</v>
      </c>
      <c r="AA76" s="317"/>
      <c r="AB76" s="700">
        <v>150</v>
      </c>
      <c r="AC76" s="348">
        <f>AB65*V76/10000</f>
        <v>7409.8559990000012</v>
      </c>
      <c r="AD76" s="350">
        <f>AC65*Z76/10000</f>
        <v>8356.9804499999991</v>
      </c>
      <c r="AE76" s="317"/>
      <c r="AF76" s="296">
        <v>160</v>
      </c>
      <c r="AG76" s="348">
        <f>AF65*V76/10000</f>
        <v>8914.1124800000016</v>
      </c>
      <c r="AH76" s="351">
        <f>AG65*Z76/10000</f>
        <v>8914.1124800000016</v>
      </c>
      <c r="AI76" s="291"/>
      <c r="AJ76" s="329" t="s">
        <v>116</v>
      </c>
      <c r="AK76" s="371">
        <v>477</v>
      </c>
      <c r="AL76" s="694">
        <f>AK65*$Z$25/10000</f>
        <v>18929</v>
      </c>
      <c r="AM76" s="373">
        <f>AL65*$Z$55/10000</f>
        <v>18982.284164999997</v>
      </c>
      <c r="AP76" s="291"/>
    </row>
    <row r="77" spans="1:62" ht="21.95" customHeight="1" outlineLevel="1" thickBot="1" x14ac:dyDescent="0.3">
      <c r="A77" s="305">
        <f>D66*'Working Paper 3'!$D$15</f>
        <v>57632231.372800022</v>
      </c>
      <c r="B77" s="305"/>
      <c r="C77" s="291" t="s">
        <v>3</v>
      </c>
      <c r="D77" s="292">
        <v>3207</v>
      </c>
      <c r="E77" s="458">
        <f t="shared" ref="E77:E83" si="64">D66*$A$85</f>
        <v>57632231.372800022</v>
      </c>
      <c r="F77" s="448">
        <f>E66*$A$85</f>
        <v>57632549.431080006</v>
      </c>
      <c r="G77" s="449"/>
      <c r="H77" s="450">
        <v>65</v>
      </c>
      <c r="I77" s="448">
        <f t="shared" si="62"/>
        <v>824097.96201185125</v>
      </c>
      <c r="J77" s="455">
        <f t="shared" ref="J77:J83" si="65">I66*F77/10000</f>
        <v>374611.57130202005</v>
      </c>
      <c r="K77" s="449"/>
      <c r="L77" s="450">
        <v>28</v>
      </c>
      <c r="M77" s="448">
        <f t="shared" si="63"/>
        <v>165177.77053064405</v>
      </c>
      <c r="N77" s="715">
        <f t="shared" ref="N77:N83" si="66">M66*F77/10000</f>
        <v>161371.13840702403</v>
      </c>
      <c r="O77" s="449"/>
      <c r="P77" s="460" t="s">
        <v>118</v>
      </c>
      <c r="Q77" s="374">
        <v>312</v>
      </c>
      <c r="R77" s="461">
        <f t="shared" ref="R77:R78" si="67">Q66*$A$85/10000</f>
        <v>56069.084572800013</v>
      </c>
      <c r="S77" s="362">
        <f>Q77*E85/1000000</f>
        <v>56069.084572800013</v>
      </c>
      <c r="T77" s="705"/>
      <c r="U77" s="710"/>
      <c r="V77" s="672">
        <f>'TTV By Card'!$D$55</f>
        <v>13052807.560000001</v>
      </c>
      <c r="W77" s="291" t="str">
        <f t="shared" ref="W77:W81" si="68">W66</f>
        <v>EFTPOS</v>
      </c>
      <c r="X77" s="369">
        <v>3280</v>
      </c>
      <c r="Y77" s="370">
        <f t="shared" ref="Y77:Y81" si="69">X66*$V$85</f>
        <v>13052807.560000001</v>
      </c>
      <c r="Z77" s="349">
        <f t="shared" ref="Z77" si="70">Y66*$V$25</f>
        <v>13052807.560000001</v>
      </c>
      <c r="AA77" s="319"/>
      <c r="AB77" s="430">
        <v>65</v>
      </c>
      <c r="AC77" s="348">
        <f t="shared" ref="AC77:AC81" si="71">AB66*V77/10000</f>
        <v>169686.49828</v>
      </c>
      <c r="AD77" s="350">
        <f t="shared" ref="AD77:AD81" si="72">AC66*Z77/10000</f>
        <v>84843.24914</v>
      </c>
      <c r="AE77" s="319"/>
      <c r="AF77" s="297">
        <v>25</v>
      </c>
      <c r="AG77" s="348">
        <f t="shared" ref="AG77:AG81" si="73">AF66*V77/10000</f>
        <v>32632.018899999999</v>
      </c>
      <c r="AH77" s="351">
        <f t="shared" ref="AH77:AH81" si="74">AG66*Z77/10000</f>
        <v>32632.018899999999</v>
      </c>
      <c r="AJ77" s="329" t="s">
        <v>118</v>
      </c>
      <c r="AK77" s="374">
        <v>98</v>
      </c>
      <c r="AL77" s="694">
        <f t="shared" ref="AL77" si="75">AK66*$Z$25/10000</f>
        <v>3891</v>
      </c>
      <c r="AM77" s="373">
        <f t="shared" ref="AM77:AM78" si="76">AL66*$Z$55/10000</f>
        <v>3899.9242100000001</v>
      </c>
    </row>
    <row r="78" spans="1:62" ht="21.95" customHeight="1" outlineLevel="1" thickBot="1" x14ac:dyDescent="0.3">
      <c r="A78" s="305">
        <f>D67*'Working Paper 3'!$D$15</f>
        <v>7287813.9641000004</v>
      </c>
      <c r="B78" s="305"/>
      <c r="C78" s="291" t="s">
        <v>4</v>
      </c>
      <c r="D78" s="292">
        <v>406</v>
      </c>
      <c r="E78" s="458">
        <f t="shared" si="64"/>
        <v>7287813.9641000004</v>
      </c>
      <c r="F78" s="448">
        <f t="shared" ref="F78:F83" si="77">E67*$A$85</f>
        <v>7296169.3386400007</v>
      </c>
      <c r="G78" s="449"/>
      <c r="H78" s="450">
        <v>165</v>
      </c>
      <c r="I78" s="448">
        <f t="shared" si="62"/>
        <v>104549.8989406953</v>
      </c>
      <c r="J78" s="455">
        <f t="shared" si="65"/>
        <v>120386.79408756</v>
      </c>
      <c r="K78" s="449"/>
      <c r="L78" s="450">
        <v>50</v>
      </c>
      <c r="M78" s="448">
        <f t="shared" si="63"/>
        <v>43898.925875452092</v>
      </c>
      <c r="N78" s="715">
        <f t="shared" si="66"/>
        <v>36480.846693200001</v>
      </c>
      <c r="O78" s="449"/>
      <c r="P78" s="462" t="s">
        <v>119</v>
      </c>
      <c r="Q78" s="374">
        <v>502</v>
      </c>
      <c r="R78" s="461">
        <f t="shared" si="67"/>
        <v>90213.719408800011</v>
      </c>
      <c r="S78" s="362">
        <f>Q78*E85/1000000</f>
        <v>90213.719408800025</v>
      </c>
      <c r="T78" s="705"/>
      <c r="U78" s="710"/>
      <c r="V78" s="672">
        <f>'TTV By Card'!$E$55</f>
        <v>7163126.0999999996</v>
      </c>
      <c r="W78" s="291" t="str">
        <f t="shared" si="68"/>
        <v>Credit ViSa</v>
      </c>
      <c r="X78" s="369">
        <v>1801</v>
      </c>
      <c r="Y78" s="370">
        <f t="shared" si="69"/>
        <v>7163126.0999999996</v>
      </c>
      <c r="Z78" s="349">
        <f t="shared" ref="Z78" si="78">Y67*$V$25</f>
        <v>7167105.6145000001</v>
      </c>
      <c r="AA78" s="319"/>
      <c r="AB78" s="430">
        <v>150</v>
      </c>
      <c r="AC78" s="348">
        <f t="shared" si="71"/>
        <v>87390.138419999988</v>
      </c>
      <c r="AD78" s="350">
        <f t="shared" si="72"/>
        <v>107506.5842175</v>
      </c>
      <c r="AE78" s="319"/>
      <c r="AF78" s="297">
        <v>50</v>
      </c>
      <c r="AG78" s="348">
        <f t="shared" si="73"/>
        <v>51574.507919999996</v>
      </c>
      <c r="AH78" s="351">
        <f t="shared" si="74"/>
        <v>35835.528072500005</v>
      </c>
      <c r="AJ78" s="333" t="s">
        <v>119</v>
      </c>
      <c r="AK78" s="374">
        <v>949</v>
      </c>
      <c r="AL78" s="694">
        <f t="shared" ref="AL78" si="79">AK67*$Z$25/10000</f>
        <v>37764</v>
      </c>
      <c r="AM78" s="373">
        <f t="shared" si="76"/>
        <v>37765.592604999998</v>
      </c>
    </row>
    <row r="79" spans="1:62" ht="21.95" customHeight="1" outlineLevel="1" x14ac:dyDescent="0.25">
      <c r="A79" s="305">
        <f>D68*'Working Paper 3'!$D$15</f>
        <v>40539508.453100003</v>
      </c>
      <c r="B79" s="305"/>
      <c r="C79" s="291" t="s">
        <v>5</v>
      </c>
      <c r="D79" s="292">
        <v>2256</v>
      </c>
      <c r="E79" s="458">
        <f t="shared" si="64"/>
        <v>40539508.453100003</v>
      </c>
      <c r="F79" s="448">
        <f t="shared" si="77"/>
        <v>40542261.152640007</v>
      </c>
      <c r="G79" s="449"/>
      <c r="H79" s="450">
        <v>65</v>
      </c>
      <c r="I79" s="448">
        <f t="shared" si="62"/>
        <v>580597.69872457779</v>
      </c>
      <c r="J79" s="455">
        <f t="shared" si="65"/>
        <v>263524.69749216002</v>
      </c>
      <c r="K79" s="449"/>
      <c r="L79" s="450">
        <v>66</v>
      </c>
      <c r="M79" s="448">
        <f t="shared" si="63"/>
        <v>267268.66568152525</v>
      </c>
      <c r="N79" s="715">
        <f t="shared" si="66"/>
        <v>267578.92360742408</v>
      </c>
      <c r="O79" s="449"/>
      <c r="P79" s="449"/>
      <c r="Q79" s="449"/>
      <c r="R79" s="449"/>
      <c r="S79" s="451"/>
      <c r="T79" s="449"/>
      <c r="U79" s="710"/>
      <c r="V79" s="672">
        <f>'TTV By Card'!$F$55</f>
        <v>7083535.8099999996</v>
      </c>
      <c r="W79" s="291" t="str">
        <f t="shared" si="68"/>
        <v>Credit MC</v>
      </c>
      <c r="X79" s="369">
        <v>1780</v>
      </c>
      <c r="Y79" s="370">
        <f t="shared" si="69"/>
        <v>7083535.8099999996</v>
      </c>
      <c r="Z79" s="349">
        <f t="shared" ref="Z79" si="80">Y68*$V$25</f>
        <v>7083535.8099999996</v>
      </c>
      <c r="AA79" s="319"/>
      <c r="AB79" s="430">
        <v>152</v>
      </c>
      <c r="AC79" s="348">
        <f t="shared" si="71"/>
        <v>86419.136881999992</v>
      </c>
      <c r="AD79" s="350">
        <f t="shared" si="72"/>
        <v>107669.744312</v>
      </c>
      <c r="AE79" s="319"/>
      <c r="AF79" s="297">
        <v>50</v>
      </c>
      <c r="AG79" s="348">
        <f t="shared" si="73"/>
        <v>51001.457832</v>
      </c>
      <c r="AH79" s="351">
        <f t="shared" si="74"/>
        <v>35417.679049999999</v>
      </c>
      <c r="AJ79" s="319"/>
      <c r="AK79" s="319"/>
      <c r="AL79" s="319"/>
      <c r="AM79" s="246"/>
    </row>
    <row r="80" spans="1:62" ht="21.95" customHeight="1" outlineLevel="1" x14ac:dyDescent="0.25">
      <c r="A80" s="305">
        <f>D69*'Working Paper 3'!$D$15</f>
        <v>45740660.731100008</v>
      </c>
      <c r="B80" s="305"/>
      <c r="C80" s="291" t="s">
        <v>131</v>
      </c>
      <c r="D80" s="292">
        <v>2545</v>
      </c>
      <c r="E80" s="458">
        <f t="shared" si="64"/>
        <v>45740660.731100008</v>
      </c>
      <c r="F80" s="448">
        <f t="shared" si="77"/>
        <v>45735839.819800012</v>
      </c>
      <c r="G80" s="449"/>
      <c r="H80" s="450">
        <v>165</v>
      </c>
      <c r="I80" s="448">
        <f t="shared" si="62"/>
        <v>680124.57773228828</v>
      </c>
      <c r="J80" s="455">
        <f t="shared" si="65"/>
        <v>754641.35702670016</v>
      </c>
      <c r="K80" s="449"/>
      <c r="L80" s="450">
        <v>70</v>
      </c>
      <c r="M80" s="448">
        <f t="shared" si="63"/>
        <v>461378.41353253135</v>
      </c>
      <c r="N80" s="715">
        <f t="shared" si="66"/>
        <v>320150.87873860006</v>
      </c>
      <c r="O80" s="449"/>
      <c r="P80" s="449"/>
      <c r="Q80" s="320">
        <f>R80/$A$55*10000</f>
        <v>18.79</v>
      </c>
      <c r="R80" s="695">
        <f>SUM(R76:R79)</f>
        <v>337672.46766760008</v>
      </c>
      <c r="S80" s="377">
        <f>SUM(S76:S78)</f>
        <v>338211.59348080005</v>
      </c>
      <c r="T80" s="449"/>
      <c r="U80" s="710"/>
      <c r="V80" s="672">
        <f>'TTV By Card'!$G$55</f>
        <v>5969271.75</v>
      </c>
      <c r="W80" s="291" t="str">
        <f t="shared" si="68"/>
        <v>Debit VISA</v>
      </c>
      <c r="X80" s="369">
        <v>1500</v>
      </c>
      <c r="Y80" s="370">
        <f t="shared" si="69"/>
        <v>5969271.75</v>
      </c>
      <c r="Z80" s="349">
        <f t="shared" ref="Z80" si="81">Y69*$V$25</f>
        <v>5969271.75</v>
      </c>
      <c r="AA80" s="319"/>
      <c r="AB80" s="430">
        <v>65</v>
      </c>
      <c r="AC80" s="348">
        <f t="shared" si="71"/>
        <v>72825.115349999993</v>
      </c>
      <c r="AD80" s="350">
        <f t="shared" si="72"/>
        <v>38800.266374999999</v>
      </c>
      <c r="AE80" s="319"/>
      <c r="AF80" s="297">
        <v>72</v>
      </c>
      <c r="AG80" s="348">
        <f t="shared" si="73"/>
        <v>42978.756600000001</v>
      </c>
      <c r="AH80" s="351">
        <f t="shared" si="74"/>
        <v>42978.756600000001</v>
      </c>
      <c r="AJ80" s="319"/>
      <c r="AK80" s="320">
        <f>AL86/$Z$25*10000</f>
        <v>15.223967647309742</v>
      </c>
      <c r="AL80" s="695">
        <f>SUM(AL76:AL79)</f>
        <v>60584</v>
      </c>
      <c r="AM80" s="699">
        <f>SUM(AM76:AM78)</f>
        <v>60647.80098</v>
      </c>
    </row>
    <row r="81" spans="1:42" ht="21.95" customHeight="1" outlineLevel="1" x14ac:dyDescent="0.25">
      <c r="A81" s="305">
        <f>D70*'Working Paper 3'!$D$15</f>
        <v>10793277.364599999</v>
      </c>
      <c r="B81" s="305"/>
      <c r="C81" s="291" t="s">
        <v>7</v>
      </c>
      <c r="D81" s="292">
        <v>601</v>
      </c>
      <c r="E81" s="458">
        <f t="shared" si="64"/>
        <v>10793277.364599999</v>
      </c>
      <c r="F81" s="448">
        <f t="shared" si="77"/>
        <v>10800487.124440003</v>
      </c>
      <c r="G81" s="449"/>
      <c r="H81" s="450">
        <v>65</v>
      </c>
      <c r="I81" s="448">
        <f t="shared" si="62"/>
        <v>154331.39576823387</v>
      </c>
      <c r="J81" s="455">
        <f t="shared" si="65"/>
        <v>70203.166308860018</v>
      </c>
      <c r="K81" s="449"/>
      <c r="L81" s="450">
        <v>55</v>
      </c>
      <c r="M81" s="448">
        <f t="shared" si="63"/>
        <v>59265.10939296944</v>
      </c>
      <c r="N81" s="715">
        <f t="shared" si="66"/>
        <v>59402.679184420012</v>
      </c>
      <c r="O81" s="449"/>
      <c r="P81" s="449"/>
      <c r="Q81" s="449"/>
      <c r="R81" s="449"/>
      <c r="S81" s="451"/>
      <c r="T81" s="449"/>
      <c r="U81" s="710"/>
      <c r="V81" s="672">
        <f>'TTV By Card'!$H$55</f>
        <v>5969271.75</v>
      </c>
      <c r="W81" s="291" t="str">
        <f t="shared" si="68"/>
        <v>Debit MC</v>
      </c>
      <c r="X81" s="369">
        <v>1500</v>
      </c>
      <c r="Y81" s="370">
        <f t="shared" si="69"/>
        <v>5969271.75</v>
      </c>
      <c r="Z81" s="349">
        <f t="shared" ref="Z81" si="82">Y70*$V$25</f>
        <v>5969271.75</v>
      </c>
      <c r="AA81" s="319"/>
      <c r="AB81" s="430">
        <v>65</v>
      </c>
      <c r="AC81" s="348">
        <f t="shared" si="71"/>
        <v>72825.115349999993</v>
      </c>
      <c r="AD81" s="350">
        <f t="shared" si="72"/>
        <v>38800.266374999999</v>
      </c>
      <c r="AE81" s="319"/>
      <c r="AF81" s="297">
        <v>72</v>
      </c>
      <c r="AG81" s="348">
        <f t="shared" si="73"/>
        <v>42978.756600000001</v>
      </c>
      <c r="AH81" s="351">
        <f t="shared" si="74"/>
        <v>42978.756600000001</v>
      </c>
      <c r="AJ81" s="319"/>
      <c r="AK81" s="319"/>
      <c r="AL81" s="319"/>
      <c r="AM81" s="319"/>
    </row>
    <row r="82" spans="1:42" ht="21.95" customHeight="1" outlineLevel="1" x14ac:dyDescent="0.25">
      <c r="A82" s="305">
        <f>D71*'Working Paper 3'!$D$15</f>
        <v>4451948.2681000009</v>
      </c>
      <c r="B82" s="305"/>
      <c r="C82" s="291" t="s">
        <v>132</v>
      </c>
      <c r="D82" s="292">
        <v>248</v>
      </c>
      <c r="E82" s="458">
        <f t="shared" si="64"/>
        <v>4451948.2681000009</v>
      </c>
      <c r="F82" s="448">
        <f t="shared" si="77"/>
        <v>4456773.3891200004</v>
      </c>
      <c r="G82" s="449"/>
      <c r="H82" s="450">
        <v>295</v>
      </c>
      <c r="I82" s="448">
        <f t="shared" si="62"/>
        <v>64756.682015925537</v>
      </c>
      <c r="J82" s="455">
        <f t="shared" si="65"/>
        <v>131474.81497904001</v>
      </c>
      <c r="K82" s="449"/>
      <c r="L82" s="450">
        <v>260</v>
      </c>
      <c r="M82" s="448">
        <f t="shared" si="63"/>
        <v>130272.53126574784</v>
      </c>
      <c r="N82" s="715">
        <f t="shared" si="66"/>
        <v>115876.10811712001</v>
      </c>
      <c r="O82" s="449"/>
      <c r="P82" s="449"/>
      <c r="R82" s="372">
        <v>155141</v>
      </c>
      <c r="S82" s="451"/>
      <c r="T82" s="449"/>
      <c r="U82" s="710"/>
      <c r="W82" s="317"/>
      <c r="X82" s="660"/>
      <c r="Y82" s="667"/>
      <c r="Z82" s="668"/>
      <c r="AA82" s="319"/>
      <c r="AB82" s="320"/>
      <c r="AC82" s="668"/>
      <c r="AD82" s="668"/>
      <c r="AE82" s="319"/>
      <c r="AF82" s="320"/>
      <c r="AG82" s="668"/>
      <c r="AH82" s="669"/>
      <c r="AJ82" s="319"/>
      <c r="AK82" s="386">
        <v>100</v>
      </c>
      <c r="AL82" s="385">
        <f>AL70*1</f>
        <v>1</v>
      </c>
      <c r="AM82" s="246"/>
    </row>
    <row r="83" spans="1:42" ht="21.95" customHeight="1" outlineLevel="1" x14ac:dyDescent="0.25">
      <c r="A83" s="305">
        <f>D72*'Working Paper 3'!$D$15</f>
        <v>4187015.3468000004</v>
      </c>
      <c r="B83" s="305"/>
      <c r="C83" s="291" t="s">
        <v>133</v>
      </c>
      <c r="D83" s="292">
        <v>233</v>
      </c>
      <c r="E83" s="458">
        <f t="shared" si="64"/>
        <v>4187015.3468000004</v>
      </c>
      <c r="F83" s="448">
        <f t="shared" si="77"/>
        <v>4187210.482520001</v>
      </c>
      <c r="G83" s="449"/>
      <c r="H83" s="450">
        <v>295</v>
      </c>
      <c r="I83" s="448">
        <f t="shared" si="62"/>
        <v>58441.352359711338</v>
      </c>
      <c r="J83" s="455">
        <f t="shared" si="65"/>
        <v>123522.70923434003</v>
      </c>
      <c r="K83" s="449"/>
      <c r="L83" s="450">
        <v>260</v>
      </c>
      <c r="M83" s="448">
        <f t="shared" si="63"/>
        <v>119459.93491701665</v>
      </c>
      <c r="N83" s="715">
        <f t="shared" si="66"/>
        <v>108867.47254552002</v>
      </c>
      <c r="O83" s="449"/>
      <c r="P83" s="449"/>
      <c r="R83" s="372">
        <v>45390</v>
      </c>
      <c r="S83" s="451"/>
      <c r="T83" s="449"/>
      <c r="U83" s="710"/>
      <c r="W83" s="317"/>
      <c r="X83" s="660"/>
      <c r="Y83" s="667"/>
      <c r="Z83" s="668"/>
      <c r="AA83" s="319"/>
      <c r="AB83" s="320"/>
      <c r="AC83" s="668"/>
      <c r="AD83" s="668"/>
      <c r="AE83" s="319"/>
      <c r="AF83" s="320"/>
      <c r="AG83" s="668"/>
      <c r="AH83" s="669"/>
      <c r="AJ83" s="319"/>
      <c r="AK83" s="319"/>
      <c r="AL83" s="372">
        <v>18929</v>
      </c>
      <c r="AM83" s="246"/>
    </row>
    <row r="84" spans="1:42" ht="21.95" customHeight="1" outlineLevel="1" x14ac:dyDescent="0.25">
      <c r="D84" s="278"/>
      <c r="E84" s="278"/>
      <c r="F84" s="278"/>
      <c r="G84" s="449"/>
      <c r="H84" s="450"/>
      <c r="I84" s="278"/>
      <c r="J84" s="278"/>
      <c r="K84" s="449"/>
      <c r="L84" s="278"/>
      <c r="M84" s="278"/>
      <c r="N84" s="716"/>
      <c r="O84" s="449"/>
      <c r="P84" s="449"/>
      <c r="R84" s="372">
        <v>73040</v>
      </c>
      <c r="S84" s="449"/>
      <c r="T84" s="449"/>
      <c r="U84" s="710"/>
      <c r="W84"/>
      <c r="X84" s="291"/>
      <c r="AA84" s="319"/>
      <c r="AE84" s="319"/>
      <c r="AJ84" s="319"/>
      <c r="AK84" s="319"/>
      <c r="AL84" s="372">
        <v>3891</v>
      </c>
      <c r="AM84" s="319"/>
    </row>
    <row r="85" spans="1:42" ht="21.95" customHeight="1" outlineLevel="1" x14ac:dyDescent="0.25">
      <c r="A85" s="429">
        <f>SUM(A76:A84)</f>
        <v>179708604.40000004</v>
      </c>
      <c r="B85" s="429"/>
      <c r="C85" s="98"/>
      <c r="D85" s="463">
        <f>SUM(D76:D84)</f>
        <v>10001</v>
      </c>
      <c r="E85" s="452">
        <f>SUM(E76:E83)</f>
        <v>179708604.40000004</v>
      </c>
      <c r="F85" s="452">
        <f>SUM(F76:F83)</f>
        <v>179726575.26044008</v>
      </c>
      <c r="G85" s="453"/>
      <c r="H85" s="454">
        <f>J85/E85*10000</f>
        <v>111.33650000000002</v>
      </c>
      <c r="I85" s="452">
        <f>SUM(I76:I84)</f>
        <v>2607524.6385163465</v>
      </c>
      <c r="J85" s="452">
        <f>SUM(J76:J84)</f>
        <v>2000812.7033780606</v>
      </c>
      <c r="K85" s="453"/>
      <c r="L85" s="454">
        <f>N85/E85*10000</f>
        <v>68.110699999999994</v>
      </c>
      <c r="M85" s="452">
        <f>SUM(M76:M84)</f>
        <v>1400759.8363022131</v>
      </c>
      <c r="N85" s="719">
        <f>SUM(N76:N84)</f>
        <v>1224007.8841707082</v>
      </c>
      <c r="O85" s="454"/>
      <c r="P85" s="454"/>
      <c r="Q85" s="345">
        <f>R85/A85*10000</f>
        <v>15.223032915612578</v>
      </c>
      <c r="R85" s="377">
        <f>SUM(R82:R84)</f>
        <v>273571</v>
      </c>
      <c r="S85" s="456"/>
      <c r="T85" s="706"/>
      <c r="U85" s="320"/>
      <c r="V85" s="672">
        <f>SUM(V76:V84)</f>
        <v>39795145</v>
      </c>
      <c r="W85" s="343"/>
      <c r="X85" s="344">
        <f>SUM(X76:X84)</f>
        <v>10001</v>
      </c>
      <c r="Y85" s="681">
        <f>SUM(Y76:Y83)</f>
        <v>39795145</v>
      </c>
      <c r="Z85" s="685">
        <f>SUM(Z76:Z83)</f>
        <v>39799124.5145</v>
      </c>
      <c r="AA85" s="319"/>
      <c r="AB85" s="320">
        <f>AC85/Y85*10000</f>
        <v>124.77799999999998</v>
      </c>
      <c r="AC85" s="681">
        <f>SUM(AC76:AC84)</f>
        <v>496555.86028099991</v>
      </c>
      <c r="AD85" s="342">
        <f>SUM(AD76:AD84)</f>
        <v>385977.09086950001</v>
      </c>
      <c r="AE85" s="343"/>
      <c r="AF85" s="320">
        <f>AG85/Z85*10000</f>
        <v>57.810218978102185</v>
      </c>
      <c r="AG85" s="672">
        <f>SUM(AG76:AG84)</f>
        <v>230079.61033199998</v>
      </c>
      <c r="AH85" s="697">
        <f>SUM(AH76:AH84)</f>
        <v>198756.85170249999</v>
      </c>
      <c r="AJ85" s="345"/>
      <c r="AK85" s="319"/>
      <c r="AL85" s="372">
        <v>37764</v>
      </c>
      <c r="AM85" s="319"/>
    </row>
    <row r="86" spans="1:42" ht="21.95" customHeight="1" outlineLevel="1" x14ac:dyDescent="0.25">
      <c r="M86" s="149">
        <f>J85-N85</f>
        <v>776804.81920735235</v>
      </c>
      <c r="V86" s="695"/>
      <c r="AJ86" s="319"/>
      <c r="AK86" s="319"/>
      <c r="AL86" s="377">
        <f>SUM(AL83:AL85)</f>
        <v>60584</v>
      </c>
      <c r="AM86" s="319"/>
    </row>
    <row r="87" spans="1:42" ht="3.75" customHeight="1" outlineLevel="1" x14ac:dyDescent="0.25">
      <c r="B87" s="710"/>
      <c r="C87" s="710"/>
      <c r="D87" s="710"/>
      <c r="E87" s="710"/>
      <c r="F87" s="710"/>
      <c r="G87" s="710"/>
      <c r="H87" s="710"/>
      <c r="I87" s="710"/>
      <c r="J87" s="710"/>
      <c r="K87" s="710"/>
      <c r="L87" s="710"/>
      <c r="M87" s="710"/>
      <c r="N87" s="710"/>
      <c r="O87" s="710"/>
      <c r="P87" s="710"/>
      <c r="Q87" s="710"/>
      <c r="R87" s="710"/>
      <c r="S87" s="710"/>
      <c r="T87" s="710"/>
      <c r="U87" s="710"/>
      <c r="V87" s="710"/>
      <c r="W87" s="710"/>
      <c r="X87" s="710"/>
      <c r="Y87" s="710"/>
      <c r="Z87" s="710"/>
      <c r="AA87" s="710"/>
      <c r="AB87" s="710"/>
      <c r="AC87" s="710"/>
      <c r="AD87" s="710"/>
      <c r="AE87" s="710"/>
      <c r="AF87" s="710"/>
      <c r="AG87" s="710"/>
      <c r="AH87" s="710"/>
      <c r="AI87" s="710"/>
      <c r="AJ87" s="710"/>
      <c r="AK87" s="710"/>
      <c r="AL87" s="710"/>
      <c r="AM87" s="710"/>
      <c r="AN87" s="710"/>
      <c r="AO87" s="710"/>
    </row>
    <row r="88" spans="1:42" ht="21.95" customHeight="1" outlineLevel="1" x14ac:dyDescent="0.25"/>
    <row r="90" spans="1:42" ht="21.95" customHeight="1" outlineLevel="1" x14ac:dyDescent="0.25"/>
    <row r="91" spans="1:42" ht="21.95" customHeight="1" outlineLevel="1" x14ac:dyDescent="0.35">
      <c r="D91" s="465" t="s">
        <v>142</v>
      </c>
      <c r="F91" s="465" t="s">
        <v>135</v>
      </c>
      <c r="G91" s="466"/>
      <c r="H91" s="465"/>
      <c r="I91" s="465"/>
      <c r="J91" s="465"/>
      <c r="K91" s="327"/>
      <c r="L91" s="280"/>
    </row>
    <row r="92" spans="1:42" ht="21.95" customHeight="1" outlineLevel="1" thickBot="1" x14ac:dyDescent="0.3">
      <c r="A92" s="291"/>
      <c r="B92" s="291"/>
      <c r="C92" s="291"/>
      <c r="D92" s="291"/>
      <c r="E92" s="291"/>
      <c r="F92" s="291"/>
      <c r="G92" s="317"/>
      <c r="H92" s="882" t="s">
        <v>102</v>
      </c>
      <c r="I92" s="882"/>
      <c r="J92" s="882"/>
      <c r="K92" s="317"/>
      <c r="L92" s="291"/>
      <c r="M92" s="291"/>
      <c r="N92" s="291"/>
      <c r="O92" s="317"/>
      <c r="P92" s="317"/>
      <c r="Q92" s="317"/>
      <c r="R92" s="317"/>
      <c r="S92" s="317"/>
      <c r="T92" s="317"/>
      <c r="U92" s="317"/>
      <c r="V92" s="317"/>
      <c r="W92" s="317"/>
      <c r="X92" s="291"/>
      <c r="Y92" s="291"/>
      <c r="Z92" s="291"/>
      <c r="AA92" s="291"/>
      <c r="AB92" s="882" t="s">
        <v>103</v>
      </c>
      <c r="AC92" s="882"/>
      <c r="AD92" s="882"/>
      <c r="AE92" s="291"/>
      <c r="AF92" s="291"/>
      <c r="AG92" s="291"/>
      <c r="AH92" s="291"/>
      <c r="AI92" s="291"/>
      <c r="AJ92" s="291"/>
      <c r="AK92" s="291"/>
      <c r="AL92" s="291"/>
      <c r="AM92" s="291"/>
      <c r="AN92" s="291"/>
      <c r="AO92" s="291"/>
      <c r="AP92" s="291"/>
    </row>
    <row r="93" spans="1:42" ht="21.95" customHeight="1" outlineLevel="1" thickBot="1" x14ac:dyDescent="0.3">
      <c r="A93" s="291"/>
      <c r="B93" s="291"/>
      <c r="C93" s="291"/>
      <c r="D93" s="883" t="s">
        <v>104</v>
      </c>
      <c r="E93" s="884"/>
      <c r="F93" s="885"/>
      <c r="G93" s="323"/>
      <c r="H93" s="873" t="s">
        <v>105</v>
      </c>
      <c r="I93" s="874"/>
      <c r="J93" s="875"/>
      <c r="K93" s="323"/>
      <c r="L93" s="876" t="s">
        <v>106</v>
      </c>
      <c r="M93" s="877"/>
      <c r="N93" s="878"/>
      <c r="O93" s="323"/>
      <c r="P93" s="323"/>
      <c r="Q93" s="879" t="s">
        <v>107</v>
      </c>
      <c r="R93" s="880"/>
      <c r="S93" s="881"/>
      <c r="T93" s="323"/>
      <c r="U93" s="707"/>
      <c r="V93" s="323"/>
      <c r="W93" s="321"/>
      <c r="X93" s="439"/>
      <c r="Y93" s="439"/>
      <c r="Z93" s="439"/>
      <c r="AA93" s="440"/>
      <c r="AB93" s="440"/>
      <c r="AC93" s="441"/>
      <c r="AD93" s="440"/>
      <c r="AE93" s="440"/>
      <c r="AF93" s="441"/>
      <c r="AG93" s="440"/>
      <c r="AH93" s="440"/>
      <c r="AI93" s="441"/>
      <c r="AJ93" s="440"/>
      <c r="AK93" s="440"/>
      <c r="AL93" s="441"/>
      <c r="AM93" s="440"/>
      <c r="AN93" s="440"/>
      <c r="AO93" s="441"/>
      <c r="AP93" s="291"/>
    </row>
    <row r="94" spans="1:42" ht="21.95" customHeight="1" outlineLevel="1" thickBot="1" x14ac:dyDescent="0.3">
      <c r="A94" s="291"/>
      <c r="B94" s="291"/>
      <c r="C94" s="291"/>
      <c r="D94" s="325" t="s">
        <v>113</v>
      </c>
      <c r="E94" s="883" t="s">
        <v>114</v>
      </c>
      <c r="F94" s="890"/>
      <c r="G94" s="322"/>
      <c r="H94" s="302" t="s">
        <v>113</v>
      </c>
      <c r="I94" s="873" t="s">
        <v>115</v>
      </c>
      <c r="J94" s="891"/>
      <c r="K94" s="322"/>
      <c r="L94" s="302" t="s">
        <v>113</v>
      </c>
      <c r="M94" s="876" t="s">
        <v>115</v>
      </c>
      <c r="N94" s="886"/>
      <c r="O94" s="322"/>
      <c r="P94" s="322"/>
      <c r="Q94" s="328" t="s">
        <v>113</v>
      </c>
      <c r="R94" s="871" t="s">
        <v>115</v>
      </c>
      <c r="S94" s="872"/>
      <c r="T94" s="322"/>
      <c r="U94" s="708"/>
      <c r="V94" s="322"/>
      <c r="W94" s="322"/>
      <c r="X94" s="442"/>
      <c r="Y94" s="442"/>
      <c r="Z94" s="442"/>
      <c r="AA94" s="442"/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2"/>
      <c r="AP94" s="291"/>
    </row>
    <row r="95" spans="1:42" ht="54.95" customHeight="1" outlineLevel="1" thickBot="1" x14ac:dyDescent="0.3">
      <c r="A95" s="291"/>
      <c r="B95" s="291"/>
      <c r="C95" s="301" t="s">
        <v>130</v>
      </c>
      <c r="D95" s="309">
        <f>'Working Paper 3'!$C$6</f>
        <v>5.0504809882102659E-2</v>
      </c>
      <c r="E95" s="295">
        <f t="shared" ref="E95:E102" si="83">D106/10000</f>
        <v>5.3400000000000003E-2</v>
      </c>
      <c r="F95" s="293"/>
      <c r="G95" s="324"/>
      <c r="H95" s="298">
        <f>'Working Paper 3'!$E$6</f>
        <v>154.93914051185246</v>
      </c>
      <c r="I95" s="299">
        <f>H106</f>
        <v>155</v>
      </c>
      <c r="J95" s="294"/>
      <c r="K95" s="317"/>
      <c r="L95" s="298">
        <f>'Working Paper 3'!$G$6</f>
        <v>169.71789116032431</v>
      </c>
      <c r="M95" s="300">
        <f>L106</f>
        <v>170</v>
      </c>
      <c r="N95" s="294"/>
      <c r="O95" s="317"/>
      <c r="P95" s="329" t="s">
        <v>116</v>
      </c>
      <c r="Q95" s="334">
        <v>9.99</v>
      </c>
      <c r="R95" s="352">
        <f>Q106/100</f>
        <v>9.99</v>
      </c>
      <c r="S95" s="330"/>
      <c r="T95" s="317"/>
      <c r="U95" s="709"/>
      <c r="V95" s="317"/>
      <c r="W95" s="443"/>
      <c r="X95" s="426"/>
      <c r="Y95" s="444"/>
      <c r="Z95" s="444"/>
      <c r="AA95" s="426"/>
      <c r="AB95" s="444"/>
      <c r="AC95" s="444"/>
      <c r="AD95" s="426"/>
      <c r="AE95" s="444"/>
      <c r="AF95" s="444"/>
      <c r="AG95" s="423"/>
      <c r="AH95" s="423"/>
      <c r="AI95" s="423"/>
      <c r="AJ95" s="426"/>
      <c r="AK95" s="444"/>
      <c r="AL95" s="444"/>
      <c r="AM95" s="426"/>
      <c r="AN95" s="444"/>
      <c r="AO95" s="444"/>
      <c r="AP95" s="291"/>
    </row>
    <row r="96" spans="1:42" ht="54.95" customHeight="1" outlineLevel="1" thickBot="1" x14ac:dyDescent="0.3">
      <c r="A96" s="291"/>
      <c r="B96" s="291"/>
      <c r="C96" s="301" t="s">
        <v>3</v>
      </c>
      <c r="D96" s="309">
        <f>'Working Paper 3'!$C$7</f>
        <v>0.3206982301443993</v>
      </c>
      <c r="E96" s="295">
        <f t="shared" si="83"/>
        <v>0.31890000000000002</v>
      </c>
      <c r="F96" s="294"/>
      <c r="G96" s="317"/>
      <c r="H96" s="298">
        <f>'Working Paper 3'!$E$7</f>
        <v>142.99254815956868</v>
      </c>
      <c r="I96" s="299">
        <f t="shared" ref="I96:I102" si="84">H107</f>
        <v>143</v>
      </c>
      <c r="J96" s="294"/>
      <c r="K96" s="317"/>
      <c r="L96" s="298">
        <f>'Working Paper 3'!$G$7</f>
        <v>28.660658557912612</v>
      </c>
      <c r="M96" s="300">
        <f t="shared" ref="M96:M102" si="85">L107</f>
        <v>28</v>
      </c>
      <c r="N96" s="294"/>
      <c r="O96" s="317"/>
      <c r="P96" s="329" t="s">
        <v>118</v>
      </c>
      <c r="Q96" s="334">
        <v>2.89</v>
      </c>
      <c r="R96" s="352">
        <f>Q107/100</f>
        <v>2.89</v>
      </c>
      <c r="S96" s="330"/>
      <c r="T96" s="317"/>
      <c r="U96" s="709"/>
      <c r="V96" s="317"/>
      <c r="W96" s="445"/>
      <c r="X96" s="444"/>
      <c r="Y96" s="444"/>
      <c r="Z96" s="444"/>
      <c r="AA96" s="444"/>
      <c r="AB96" s="444"/>
      <c r="AC96" s="444"/>
      <c r="AD96" s="444"/>
      <c r="AE96" s="444"/>
      <c r="AF96" s="444"/>
      <c r="AG96" s="423"/>
      <c r="AH96" s="423"/>
      <c r="AI96" s="423"/>
      <c r="AJ96" s="444"/>
      <c r="AK96" s="444"/>
      <c r="AL96" s="444"/>
      <c r="AM96" s="444"/>
      <c r="AN96" s="444"/>
      <c r="AO96" s="444"/>
      <c r="AP96" s="291"/>
    </row>
    <row r="97" spans="1:42" ht="54.95" customHeight="1" outlineLevel="1" thickBot="1" x14ac:dyDescent="0.3">
      <c r="A97" s="291"/>
      <c r="B97" s="291"/>
      <c r="C97" s="301" t="s">
        <v>4</v>
      </c>
      <c r="D97" s="309">
        <f>'Working Paper 3'!$C$8</f>
        <v>4.0553505985047866E-2</v>
      </c>
      <c r="E97" s="295">
        <f t="shared" si="83"/>
        <v>4.0300000000000002E-2</v>
      </c>
      <c r="F97" s="326"/>
      <c r="G97" s="317"/>
      <c r="H97" s="298">
        <f>'Working Paper 3'!$E$8</f>
        <v>143.45851781578313</v>
      </c>
      <c r="I97" s="299">
        <f t="shared" si="84"/>
        <v>143</v>
      </c>
      <c r="J97" s="294"/>
      <c r="K97" s="317"/>
      <c r="L97" s="298">
        <f>'Working Paper 3'!$G$8</f>
        <v>60.236068170372583</v>
      </c>
      <c r="M97" s="300">
        <f t="shared" si="85"/>
        <v>60</v>
      </c>
      <c r="N97" s="294"/>
      <c r="O97" s="317"/>
      <c r="P97" s="331" t="s">
        <v>119</v>
      </c>
      <c r="Q97" s="334">
        <v>4.6900000000000004</v>
      </c>
      <c r="R97" s="352">
        <f>Q108/100</f>
        <v>4.6900000000000004</v>
      </c>
      <c r="S97" s="330"/>
      <c r="T97" s="317"/>
      <c r="U97" s="709"/>
      <c r="V97" s="317"/>
      <c r="W97" s="446"/>
      <c r="X97" s="438"/>
      <c r="Y97" s="444"/>
      <c r="Z97" s="444"/>
      <c r="AA97" s="438"/>
      <c r="AB97" s="444"/>
      <c r="AC97" s="444"/>
      <c r="AD97" s="438"/>
      <c r="AE97" s="444"/>
      <c r="AF97" s="444"/>
      <c r="AG97" s="437"/>
      <c r="AH97" s="423"/>
      <c r="AI97" s="423"/>
      <c r="AJ97" s="438"/>
      <c r="AK97" s="444"/>
      <c r="AL97" s="444"/>
      <c r="AM97" s="438"/>
      <c r="AN97" s="444"/>
      <c r="AO97" s="444"/>
      <c r="AP97" s="291"/>
    </row>
    <row r="98" spans="1:42" ht="54.95" customHeight="1" outlineLevel="1" thickBot="1" x14ac:dyDescent="0.3">
      <c r="A98" s="291"/>
      <c r="B98" s="291"/>
      <c r="C98" s="301" t="s">
        <v>5</v>
      </c>
      <c r="D98" s="309">
        <f>'Working Paper 3'!$C$9</f>
        <v>0.22558468242770457</v>
      </c>
      <c r="E98" s="295">
        <f t="shared" si="83"/>
        <v>0.22470000000000001</v>
      </c>
      <c r="F98" s="294"/>
      <c r="G98" s="317"/>
      <c r="H98" s="298">
        <f>'Working Paper 3'!$E$9</f>
        <v>143.21774507854948</v>
      </c>
      <c r="I98" s="299">
        <f t="shared" si="84"/>
        <v>143</v>
      </c>
      <c r="J98" s="294"/>
      <c r="K98" s="317"/>
      <c r="L98" s="298">
        <f>'Working Paper 3'!$G$9</f>
        <v>65.927949272184037</v>
      </c>
      <c r="M98" s="300">
        <f t="shared" si="85"/>
        <v>66</v>
      </c>
      <c r="N98" s="294"/>
      <c r="O98" s="317"/>
      <c r="P98" s="340"/>
      <c r="Q98" s="332">
        <f>R115/A115*10000</f>
        <v>14.236624432424785</v>
      </c>
      <c r="R98" s="339">
        <f>S115/A115*10000</f>
        <v>14.240895419754516</v>
      </c>
      <c r="S98" s="336"/>
      <c r="T98" s="317"/>
      <c r="U98" s="709"/>
      <c r="V98" s="317"/>
      <c r="W98" s="447"/>
      <c r="X98" s="444"/>
      <c r="Y98" s="444"/>
      <c r="Z98" s="444"/>
      <c r="AA98" s="444"/>
      <c r="AB98" s="444"/>
      <c r="AC98" s="444"/>
      <c r="AD98" s="444"/>
      <c r="AE98" s="444"/>
      <c r="AF98" s="444"/>
      <c r="AG98" s="423"/>
      <c r="AH98" s="423"/>
      <c r="AI98" s="423"/>
      <c r="AJ98" s="444"/>
      <c r="AK98" s="444"/>
      <c r="AL98" s="444"/>
      <c r="AM98" s="444"/>
      <c r="AN98" s="444"/>
      <c r="AO98" s="444"/>
      <c r="AP98" s="291"/>
    </row>
    <row r="99" spans="1:42" ht="54.95" customHeight="1" outlineLevel="1" thickBot="1" x14ac:dyDescent="0.3">
      <c r="A99" s="291"/>
      <c r="B99" s="291"/>
      <c r="C99" s="301" t="s">
        <v>131</v>
      </c>
      <c r="D99" s="309">
        <f>'Working Paper 3'!$C$10</f>
        <v>0.25452682626864803</v>
      </c>
      <c r="E99" s="295">
        <f t="shared" si="83"/>
        <v>0.25480000000000003</v>
      </c>
      <c r="F99" s="294"/>
      <c r="G99" s="317"/>
      <c r="H99" s="298">
        <f>'Working Paper 3'!$E$10</f>
        <v>148.69146331982427</v>
      </c>
      <c r="I99" s="299">
        <f t="shared" si="84"/>
        <v>149</v>
      </c>
      <c r="J99" s="294"/>
      <c r="K99" s="317"/>
      <c r="L99" s="298">
        <f>'Working Paper 3'!$G$10</f>
        <v>100.86833162399658</v>
      </c>
      <c r="M99" s="300">
        <f t="shared" si="85"/>
        <v>70</v>
      </c>
      <c r="N99" s="294"/>
      <c r="O99" s="317"/>
      <c r="P99" s="340"/>
      <c r="S99" s="336"/>
      <c r="T99" s="317"/>
      <c r="U99" s="709"/>
      <c r="V99" s="317"/>
      <c r="W99" s="387"/>
      <c r="X99" s="426"/>
      <c r="Y99" s="426"/>
      <c r="Z99" s="426"/>
      <c r="AA99" s="426"/>
      <c r="AB99" s="426"/>
      <c r="AC99" s="426"/>
      <c r="AD99" s="426"/>
      <c r="AE99" s="426"/>
      <c r="AF99" s="426"/>
      <c r="AG99" s="423"/>
      <c r="AH99" s="423"/>
      <c r="AI99" s="423"/>
      <c r="AJ99" s="426"/>
      <c r="AK99" s="444"/>
      <c r="AL99" s="444"/>
      <c r="AM99" s="426"/>
      <c r="AN99" s="444"/>
      <c r="AO99" s="444"/>
      <c r="AP99" s="291"/>
    </row>
    <row r="100" spans="1:42" ht="54.95" customHeight="1" outlineLevel="1" thickBot="1" x14ac:dyDescent="0.3">
      <c r="A100" s="291"/>
      <c r="B100" s="291"/>
      <c r="C100" s="301" t="s">
        <v>7</v>
      </c>
      <c r="D100" s="309">
        <f>'Working Paper 3'!$C$11</f>
        <v>6.0059880831170691E-2</v>
      </c>
      <c r="E100" s="295">
        <f t="shared" si="83"/>
        <v>5.9200000000000003E-2</v>
      </c>
      <c r="F100" s="294"/>
      <c r="G100" s="317"/>
      <c r="H100" s="298">
        <f>'Working Paper 3'!$E$11</f>
        <v>142.98844600659757</v>
      </c>
      <c r="I100" s="299">
        <f t="shared" si="84"/>
        <v>143</v>
      </c>
      <c r="J100" s="294"/>
      <c r="K100" s="317"/>
      <c r="L100" s="298">
        <f>'Working Paper 3'!$G$11</f>
        <v>54.90928046317822</v>
      </c>
      <c r="M100" s="300">
        <f t="shared" si="85"/>
        <v>55</v>
      </c>
      <c r="N100" s="294"/>
      <c r="O100" s="317"/>
      <c r="P100" s="340"/>
      <c r="Q100" s="887" t="s">
        <v>123</v>
      </c>
      <c r="R100" s="888"/>
      <c r="S100" s="889"/>
      <c r="T100" s="701"/>
      <c r="U100" s="709"/>
      <c r="V100" s="317"/>
      <c r="W100" s="387"/>
      <c r="X100" s="426"/>
      <c r="Y100" s="426"/>
      <c r="Z100" s="426"/>
      <c r="AA100" s="426"/>
      <c r="AB100" s="426"/>
      <c r="AC100" s="426"/>
      <c r="AD100" s="426"/>
      <c r="AE100" s="426"/>
      <c r="AF100" s="426"/>
      <c r="AG100" s="423"/>
      <c r="AH100" s="423"/>
      <c r="AI100" s="423"/>
      <c r="AJ100" s="444"/>
      <c r="AK100" s="444"/>
      <c r="AL100" s="444"/>
      <c r="AM100" s="444"/>
      <c r="AN100" s="444"/>
      <c r="AO100" s="444"/>
      <c r="AP100" s="291"/>
    </row>
    <row r="101" spans="1:42" ht="54.95" customHeight="1" outlineLevel="1" thickBot="1" x14ac:dyDescent="0.3">
      <c r="A101" s="291"/>
      <c r="B101" s="291"/>
      <c r="C101" s="301" t="s">
        <v>132</v>
      </c>
      <c r="D101" s="309">
        <f>'Working Paper 3'!$C$12</f>
        <v>2.4773150306096305E-2</v>
      </c>
      <c r="E101" s="295">
        <f t="shared" si="83"/>
        <v>2.4899999999999999E-2</v>
      </c>
      <c r="F101" s="294"/>
      <c r="G101" s="317"/>
      <c r="H101" s="298">
        <f>'Working Paper 3'!$E$12</f>
        <v>145.45695079148425</v>
      </c>
      <c r="I101" s="299">
        <f t="shared" si="84"/>
        <v>145</v>
      </c>
      <c r="J101" s="294"/>
      <c r="K101" s="317"/>
      <c r="L101" s="298">
        <f>'Working Paper 3'!$G$12</f>
        <v>292.619148787516</v>
      </c>
      <c r="M101" s="300">
        <f t="shared" si="85"/>
        <v>322</v>
      </c>
      <c r="N101" s="294"/>
      <c r="O101" s="317"/>
      <c r="P101" s="340"/>
      <c r="Q101" s="384">
        <v>1</v>
      </c>
      <c r="R101" s="384">
        <f>Q104/100</f>
        <v>1</v>
      </c>
      <c r="S101" s="383"/>
      <c r="T101" s="317"/>
      <c r="U101" s="709"/>
      <c r="V101" s="317"/>
      <c r="W101" s="387"/>
      <c r="X101" s="423"/>
      <c r="Y101" s="423"/>
      <c r="Z101" s="423"/>
      <c r="AA101" s="423"/>
      <c r="AB101" s="423"/>
      <c r="AC101" s="423"/>
      <c r="AD101" s="423"/>
      <c r="AE101" s="423"/>
      <c r="AF101" s="423"/>
      <c r="AG101" s="423"/>
      <c r="AH101" s="423"/>
      <c r="AI101" s="423"/>
      <c r="AJ101" s="423"/>
      <c r="AK101" s="423"/>
      <c r="AL101" s="423"/>
      <c r="AM101" s="423"/>
      <c r="AN101" s="423"/>
      <c r="AO101" s="423"/>
      <c r="AP101" s="291"/>
    </row>
    <row r="102" spans="1:42" ht="54.95" customHeight="1" outlineLevel="1" thickBot="1" x14ac:dyDescent="0.3">
      <c r="A102" s="291"/>
      <c r="B102" s="291"/>
      <c r="C102" s="301" t="s">
        <v>133</v>
      </c>
      <c r="D102" s="309">
        <f>'Working Paper 3'!$C$13</f>
        <v>2.3298914154830527E-2</v>
      </c>
      <c r="E102" s="295">
        <f t="shared" si="83"/>
        <v>2.41E-2</v>
      </c>
      <c r="F102" s="294"/>
      <c r="G102" s="317"/>
      <c r="H102" s="298">
        <f>'Working Paper 3'!$E$13</f>
        <v>139.5775929132339</v>
      </c>
      <c r="I102" s="299">
        <f t="shared" si="84"/>
        <v>139</v>
      </c>
      <c r="J102" s="294"/>
      <c r="K102" s="317"/>
      <c r="L102" s="298">
        <f>'Working Paper 3'!$G$13</f>
        <v>285.31047780447233</v>
      </c>
      <c r="M102" s="300">
        <f t="shared" si="85"/>
        <v>285</v>
      </c>
      <c r="N102" s="294"/>
      <c r="O102" s="317"/>
      <c r="P102" s="341"/>
      <c r="Q102" s="337"/>
      <c r="R102" s="318"/>
      <c r="S102" s="338"/>
      <c r="T102" s="317"/>
      <c r="U102" s="709"/>
      <c r="V102" s="317"/>
      <c r="W102" s="387"/>
      <c r="X102" s="423"/>
      <c r="Y102" s="423"/>
      <c r="Z102" s="423"/>
      <c r="AA102" s="423"/>
      <c r="AB102" s="423"/>
      <c r="AC102" s="423"/>
      <c r="AD102" s="423"/>
      <c r="AE102" s="423"/>
      <c r="AF102" s="423"/>
      <c r="AG102" s="423"/>
      <c r="AH102" s="423"/>
      <c r="AI102" s="423"/>
      <c r="AJ102" s="423"/>
      <c r="AK102" s="423"/>
      <c r="AL102" s="423"/>
      <c r="AM102" s="423"/>
      <c r="AN102" s="423"/>
      <c r="AO102" s="423"/>
      <c r="AP102" s="291"/>
    </row>
    <row r="103" spans="1:42" ht="21.95" customHeight="1" outlineLevel="1" thickBot="1" x14ac:dyDescent="0.3">
      <c r="A103" s="291"/>
      <c r="B103" s="291"/>
      <c r="C103" s="291"/>
      <c r="D103" s="291"/>
      <c r="E103" s="291"/>
      <c r="F103" s="291"/>
      <c r="G103" s="317"/>
      <c r="H103" s="291"/>
      <c r="I103" s="291"/>
      <c r="J103" s="291"/>
      <c r="K103" s="317"/>
      <c r="L103" s="291"/>
      <c r="M103" s="291"/>
      <c r="N103" s="291"/>
      <c r="O103" s="317"/>
      <c r="P103" s="317"/>
      <c r="Q103" s="317"/>
      <c r="R103" s="317"/>
      <c r="S103" s="317"/>
      <c r="T103" s="317"/>
      <c r="U103" s="709"/>
      <c r="V103" s="317"/>
      <c r="X103" s="319"/>
      <c r="Y103" s="319"/>
      <c r="Z103" s="319"/>
      <c r="AA103" s="319"/>
      <c r="AB103" s="319"/>
      <c r="AC103" s="319"/>
      <c r="AD103" s="319"/>
      <c r="AE103" s="319"/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291"/>
    </row>
    <row r="104" spans="1:42" ht="21.95" customHeight="1" outlineLevel="1" thickBot="1" x14ac:dyDescent="0.3">
      <c r="A104" s="291"/>
      <c r="B104" s="291"/>
      <c r="C104" s="291"/>
      <c r="D104" s="315">
        <f>SUM(D95:D103)</f>
        <v>0.99999999999999978</v>
      </c>
      <c r="E104" s="316">
        <f>SUM(E95:E103)</f>
        <v>1.0003</v>
      </c>
      <c r="F104" s="291"/>
      <c r="G104" s="317"/>
      <c r="H104" s="313">
        <f>I115/A115*10000</f>
        <v>145.09737289553766</v>
      </c>
      <c r="I104" s="314">
        <f>H115</f>
        <v>145.12236329101268</v>
      </c>
      <c r="J104" s="291"/>
      <c r="K104" s="317"/>
      <c r="L104" s="311">
        <f>M115/A115*10000</f>
        <v>77.946175197285811</v>
      </c>
      <c r="M104" s="312">
        <f>L115</f>
        <v>71.212336299110248</v>
      </c>
      <c r="N104" s="291"/>
      <c r="O104" s="317"/>
      <c r="P104" s="291"/>
      <c r="Q104" s="410">
        <v>100</v>
      </c>
      <c r="R104" s="411">
        <f>R101*1</f>
        <v>1</v>
      </c>
      <c r="S104" s="410"/>
      <c r="T104" s="703"/>
      <c r="U104" s="709"/>
      <c r="V104" s="317"/>
      <c r="AP104" s="291"/>
    </row>
    <row r="105" spans="1:42" ht="21.95" customHeight="1" outlineLevel="1" collapsed="1" thickBot="1" x14ac:dyDescent="0.3">
      <c r="A105" s="291"/>
      <c r="B105" s="291"/>
      <c r="C105" s="291"/>
      <c r="D105" s="291"/>
      <c r="E105" s="291"/>
      <c r="G105" s="317"/>
      <c r="H105" s="291"/>
      <c r="I105" s="291"/>
      <c r="J105" s="291"/>
      <c r="K105" s="317"/>
      <c r="L105" s="291"/>
      <c r="M105" s="291"/>
      <c r="N105" s="291"/>
      <c r="O105" s="317"/>
      <c r="P105" s="317"/>
      <c r="Q105" s="317"/>
      <c r="R105" s="317"/>
      <c r="S105" s="317"/>
      <c r="T105" s="317"/>
      <c r="U105" s="709"/>
      <c r="V105" s="317"/>
      <c r="AP105" s="291"/>
    </row>
    <row r="106" spans="1:42" ht="21.95" customHeight="1" outlineLevel="1" thickBot="1" x14ac:dyDescent="0.3">
      <c r="A106" s="305">
        <f>D95*'Working Paper 3'!$D$15</f>
        <v>9076148.8993999995</v>
      </c>
      <c r="B106" s="305"/>
      <c r="C106" s="291" t="s">
        <v>130</v>
      </c>
      <c r="D106" s="292">
        <v>534</v>
      </c>
      <c r="E106" s="305">
        <f>E95*$A$25</f>
        <v>7775805.6171600027</v>
      </c>
      <c r="F106" s="291"/>
      <c r="G106" s="317"/>
      <c r="H106" s="296">
        <v>155</v>
      </c>
      <c r="I106" s="448">
        <f t="shared" ref="I106:I113" si="86">H95*A106/10000</f>
        <v>140625.07096306313</v>
      </c>
      <c r="J106" s="306">
        <f t="shared" ref="J106:J113" si="87">I95*E106/10000</f>
        <v>120524.98706598005</v>
      </c>
      <c r="K106" s="317"/>
      <c r="L106" s="296">
        <v>170</v>
      </c>
      <c r="M106" s="448">
        <f t="shared" ref="M106:M113" si="88">L95*A106/10000</f>
        <v>154038.48510632664</v>
      </c>
      <c r="N106" s="351">
        <f t="shared" ref="N106:N113" si="89">M95*E106/10000</f>
        <v>132188.69549172005</v>
      </c>
      <c r="O106" s="317"/>
      <c r="P106" s="460" t="s">
        <v>116</v>
      </c>
      <c r="Q106" s="359">
        <v>999</v>
      </c>
      <c r="R106" s="461">
        <f>Q95*$A$25/10000</f>
        <v>145468.72306260004</v>
      </c>
      <c r="S106" s="362">
        <f>Q106*E115/1000000</f>
        <v>145512.36367951886</v>
      </c>
      <c r="T106" s="705"/>
      <c r="U106" s="709"/>
      <c r="V106" s="317"/>
      <c r="AP106" s="291"/>
    </row>
    <row r="107" spans="1:42" ht="21.95" customHeight="1" outlineLevel="1" thickBot="1" x14ac:dyDescent="0.3">
      <c r="A107" s="305">
        <f>D96*'Working Paper 3'!$D$15</f>
        <v>57632231.372800022</v>
      </c>
      <c r="B107" s="305"/>
      <c r="C107" s="291" t="s">
        <v>3</v>
      </c>
      <c r="D107" s="292">
        <v>3189</v>
      </c>
      <c r="E107" s="305">
        <f t="shared" ref="E107:E113" si="90">E96*$A$25</f>
        <v>46436412.196860015</v>
      </c>
      <c r="H107" s="297">
        <v>143</v>
      </c>
      <c r="I107" s="448">
        <f t="shared" si="86"/>
        <v>824097.96201185125</v>
      </c>
      <c r="J107" s="306">
        <f t="shared" si="87"/>
        <v>664040.69441509817</v>
      </c>
      <c r="L107" s="297">
        <v>28</v>
      </c>
      <c r="M107" s="448">
        <f t="shared" si="88"/>
        <v>165177.77053064405</v>
      </c>
      <c r="N107" s="351">
        <f t="shared" si="89"/>
        <v>130021.95415120805</v>
      </c>
      <c r="P107" s="460" t="s">
        <v>118</v>
      </c>
      <c r="Q107" s="359">
        <v>289</v>
      </c>
      <c r="R107" s="461">
        <f t="shared" ref="R107:R108" si="91">Q96*$A$25/10000</f>
        <v>42082.543508600014</v>
      </c>
      <c r="S107" s="362">
        <f>Q107*E115/1000000</f>
        <v>42095.168271652597</v>
      </c>
      <c r="T107" s="705"/>
      <c r="U107" s="710"/>
    </row>
    <row r="108" spans="1:42" ht="21.95" customHeight="1" outlineLevel="1" thickBot="1" x14ac:dyDescent="0.3">
      <c r="A108" s="305">
        <f>D97*'Working Paper 3'!$D$15</f>
        <v>7287813.9641000004</v>
      </c>
      <c r="B108" s="305"/>
      <c r="C108" s="291" t="s">
        <v>4</v>
      </c>
      <c r="D108" s="292">
        <v>403</v>
      </c>
      <c r="E108" s="305">
        <f t="shared" si="90"/>
        <v>5868257.7972200019</v>
      </c>
      <c r="H108" s="297">
        <v>143</v>
      </c>
      <c r="I108" s="448">
        <f t="shared" si="86"/>
        <v>104549.8989406953</v>
      </c>
      <c r="J108" s="306">
        <f t="shared" si="87"/>
        <v>83916.08650024602</v>
      </c>
      <c r="L108" s="297">
        <v>60</v>
      </c>
      <c r="M108" s="448">
        <f t="shared" si="88"/>
        <v>43898.925875452092</v>
      </c>
      <c r="N108" s="351">
        <f t="shared" si="89"/>
        <v>35209.546783320009</v>
      </c>
      <c r="P108" s="462" t="s">
        <v>119</v>
      </c>
      <c r="Q108" s="359">
        <v>469</v>
      </c>
      <c r="R108" s="461">
        <f t="shared" si="91"/>
        <v>68293.124240600024</v>
      </c>
      <c r="S108" s="362">
        <f>Q108*E115/1000000</f>
        <v>68313.612177872201</v>
      </c>
      <c r="T108" s="705"/>
      <c r="U108" s="710"/>
    </row>
    <row r="109" spans="1:42" ht="21.95" customHeight="1" outlineLevel="1" x14ac:dyDescent="0.25">
      <c r="A109" s="305">
        <f>D98*'Working Paper 3'!$D$15</f>
        <v>40539508.453100003</v>
      </c>
      <c r="B109" s="305"/>
      <c r="C109" s="291" t="s">
        <v>5</v>
      </c>
      <c r="D109" s="292">
        <v>2247</v>
      </c>
      <c r="E109" s="305">
        <f t="shared" si="90"/>
        <v>32719541.61378001</v>
      </c>
      <c r="H109" s="297">
        <v>143</v>
      </c>
      <c r="I109" s="448">
        <f t="shared" si="86"/>
        <v>580597.69872457779</v>
      </c>
      <c r="J109" s="306">
        <f t="shared" si="87"/>
        <v>467889.44507705414</v>
      </c>
      <c r="L109" s="297">
        <v>66</v>
      </c>
      <c r="M109" s="448">
        <f t="shared" si="88"/>
        <v>267268.66568152525</v>
      </c>
      <c r="N109" s="351">
        <f t="shared" si="89"/>
        <v>215948.97465094805</v>
      </c>
      <c r="P109" s="449"/>
      <c r="Q109" s="449"/>
      <c r="R109" s="449"/>
      <c r="S109" s="451"/>
      <c r="T109" s="449"/>
      <c r="U109" s="710"/>
    </row>
    <row r="110" spans="1:42" ht="21.95" customHeight="1" outlineLevel="1" x14ac:dyDescent="0.25">
      <c r="A110" s="305">
        <f>D99*'Working Paper 3'!$D$15</f>
        <v>45740660.731100008</v>
      </c>
      <c r="B110" s="305"/>
      <c r="C110" s="291" t="s">
        <v>131</v>
      </c>
      <c r="D110" s="292">
        <v>2548</v>
      </c>
      <c r="E110" s="305">
        <f t="shared" si="90"/>
        <v>37102533.169520013</v>
      </c>
      <c r="H110" s="297">
        <v>149</v>
      </c>
      <c r="I110" s="448">
        <f t="shared" si="86"/>
        <v>680124.57773228828</v>
      </c>
      <c r="J110" s="306">
        <f t="shared" si="87"/>
        <v>552827.74422584823</v>
      </c>
      <c r="L110" s="297">
        <v>70</v>
      </c>
      <c r="M110" s="448">
        <f t="shared" si="88"/>
        <v>461378.41353253135</v>
      </c>
      <c r="N110" s="351">
        <f t="shared" si="89"/>
        <v>259717.73218664006</v>
      </c>
      <c r="P110" s="449"/>
      <c r="Q110" s="449"/>
      <c r="R110" s="449"/>
      <c r="S110" s="451"/>
      <c r="T110" s="449"/>
      <c r="U110" s="710"/>
    </row>
    <row r="111" spans="1:42" ht="21.95" customHeight="1" outlineLevel="1" x14ac:dyDescent="0.25">
      <c r="A111" s="305">
        <f>D100*'Working Paper 3'!$D$15</f>
        <v>10793277.364599999</v>
      </c>
      <c r="B111" s="305"/>
      <c r="C111" s="291" t="s">
        <v>7</v>
      </c>
      <c r="D111" s="292">
        <v>592</v>
      </c>
      <c r="E111" s="305">
        <f t="shared" si="90"/>
        <v>8620368.7740800027</v>
      </c>
      <c r="H111" s="297">
        <v>143</v>
      </c>
      <c r="I111" s="448">
        <f t="shared" si="86"/>
        <v>154331.39576823387</v>
      </c>
      <c r="J111" s="306">
        <f t="shared" si="87"/>
        <v>123271.27346934404</v>
      </c>
      <c r="L111" s="297">
        <v>55</v>
      </c>
      <c r="M111" s="448">
        <f t="shared" si="88"/>
        <v>59265.10939296944</v>
      </c>
      <c r="N111" s="351">
        <f t="shared" si="89"/>
        <v>47412.028257440012</v>
      </c>
      <c r="P111" s="449"/>
      <c r="Q111" s="449"/>
      <c r="R111" s="449"/>
      <c r="S111" s="451"/>
      <c r="T111" s="449"/>
      <c r="U111" s="710"/>
      <c r="W111" s="320"/>
      <c r="X111" s="297"/>
      <c r="Y111" s="297"/>
      <c r="Z111" s="297"/>
    </row>
    <row r="112" spans="1:42" ht="21.95" customHeight="1" outlineLevel="1" x14ac:dyDescent="0.25">
      <c r="A112" s="305">
        <f>D101*'Working Paper 3'!$D$15</f>
        <v>4451948.2681000009</v>
      </c>
      <c r="B112" s="305"/>
      <c r="C112" s="291" t="s">
        <v>132</v>
      </c>
      <c r="D112" s="292">
        <v>249</v>
      </c>
      <c r="E112" s="305">
        <f t="shared" si="90"/>
        <v>3625797.0012600007</v>
      </c>
      <c r="H112" s="297">
        <v>145</v>
      </c>
      <c r="I112" s="448">
        <f t="shared" si="86"/>
        <v>64756.682015925537</v>
      </c>
      <c r="J112" s="306">
        <f t="shared" si="87"/>
        <v>52574.056518270008</v>
      </c>
      <c r="L112" s="297">
        <v>322</v>
      </c>
      <c r="M112" s="448">
        <f t="shared" si="88"/>
        <v>130272.53126574784</v>
      </c>
      <c r="N112" s="351">
        <f t="shared" si="89"/>
        <v>116750.66344057203</v>
      </c>
      <c r="P112" s="449"/>
      <c r="Q112" s="449"/>
      <c r="R112" s="449"/>
      <c r="S112" s="451"/>
      <c r="T112" s="449"/>
      <c r="U112" s="710"/>
    </row>
    <row r="113" spans="1:62" ht="21.95" customHeight="1" outlineLevel="1" x14ac:dyDescent="0.25">
      <c r="A113" s="305">
        <f>D102*'Working Paper 3'!$D$15</f>
        <v>4187015.3468000004</v>
      </c>
      <c r="B113" s="305"/>
      <c r="C113" s="291" t="s">
        <v>133</v>
      </c>
      <c r="D113" s="292">
        <v>241</v>
      </c>
      <c r="E113" s="305">
        <f t="shared" si="90"/>
        <v>3509305.5313400007</v>
      </c>
      <c r="H113" s="297">
        <v>139</v>
      </c>
      <c r="I113" s="448">
        <f t="shared" si="86"/>
        <v>58441.352359711338</v>
      </c>
      <c r="J113" s="306">
        <f t="shared" si="87"/>
        <v>48779.346885626015</v>
      </c>
      <c r="L113" s="297">
        <v>285</v>
      </c>
      <c r="M113" s="448">
        <f t="shared" si="88"/>
        <v>119459.93491701665</v>
      </c>
      <c r="N113" s="351">
        <f t="shared" si="89"/>
        <v>100015.20764319002</v>
      </c>
      <c r="P113" s="449"/>
      <c r="Q113" s="449"/>
      <c r="R113" s="449"/>
      <c r="S113" s="451"/>
      <c r="T113" s="449"/>
      <c r="U113" s="710"/>
    </row>
    <row r="114" spans="1:62" ht="21.95" customHeight="1" outlineLevel="1" x14ac:dyDescent="0.25">
      <c r="D114" s="291"/>
      <c r="H114" s="297"/>
      <c r="N114" s="103"/>
      <c r="P114" s="449"/>
      <c r="Q114" s="449"/>
      <c r="R114" s="449"/>
      <c r="S114" s="449"/>
      <c r="T114" s="449"/>
      <c r="U114" s="710"/>
    </row>
    <row r="115" spans="1:62" ht="21.95" customHeight="1" outlineLevel="1" x14ac:dyDescent="0.25">
      <c r="A115" s="71">
        <f>SUM(A106:A114)</f>
        <v>179708604.40000004</v>
      </c>
      <c r="B115" s="71"/>
      <c r="D115" s="308">
        <f>SUM(D106:D114)</f>
        <v>10003</v>
      </c>
      <c r="E115" s="71">
        <f>SUM(E106:E113)</f>
        <v>145658021.70122007</v>
      </c>
      <c r="H115" s="297">
        <f>J115/E115*10000</f>
        <v>145.12236329101268</v>
      </c>
      <c r="I115" s="71">
        <f>SUM(I106:I114)</f>
        <v>2607524.6385163465</v>
      </c>
      <c r="J115" s="71">
        <f>SUM(J106:J114)</f>
        <v>2113823.6341574667</v>
      </c>
      <c r="K115" s="681"/>
      <c r="L115" s="71">
        <f>N115/E115*10000</f>
        <v>71.212336299110248</v>
      </c>
      <c r="M115" s="71">
        <f>SUM(M106:M114)</f>
        <v>1400759.8363022131</v>
      </c>
      <c r="N115" s="717">
        <f>SUM(N106:N114)</f>
        <v>1037264.8026050382</v>
      </c>
      <c r="O115" s="320"/>
      <c r="P115" s="454"/>
      <c r="Q115" s="454">
        <f>R115/A115*10000</f>
        <v>14.236624432424785</v>
      </c>
      <c r="R115" s="456">
        <f>SUM(R106:R114)</f>
        <v>255844.39081180008</v>
      </c>
      <c r="S115" s="456">
        <f>SUM(S106:S113)</f>
        <v>255921.14412904368</v>
      </c>
      <c r="T115" s="706"/>
      <c r="U115" s="320"/>
      <c r="V115" s="320"/>
    </row>
    <row r="116" spans="1:62" ht="21.95" customHeight="1" outlineLevel="1" x14ac:dyDescent="0.25">
      <c r="I116" s="71"/>
      <c r="J116" s="71"/>
      <c r="K116" s="681"/>
      <c r="L116" s="71"/>
      <c r="M116" s="71"/>
      <c r="N116" s="71">
        <f>J115-N115</f>
        <v>1076558.8315524287</v>
      </c>
    </row>
    <row r="117" spans="1:62" ht="3.75" customHeight="1" outlineLevel="1" x14ac:dyDescent="0.25">
      <c r="B117" s="710"/>
      <c r="C117" s="710"/>
      <c r="D117" s="710"/>
      <c r="E117" s="710"/>
      <c r="F117" s="710"/>
      <c r="G117" s="710"/>
      <c r="H117" s="710"/>
      <c r="I117" s="710"/>
      <c r="J117" s="710"/>
      <c r="K117" s="710"/>
      <c r="L117" s="710"/>
      <c r="M117" s="710"/>
      <c r="N117" s="710"/>
      <c r="O117" s="710"/>
      <c r="P117" s="710"/>
      <c r="Q117" s="710"/>
      <c r="R117" s="710"/>
      <c r="S117" s="710"/>
      <c r="T117" s="710"/>
      <c r="U117" s="710"/>
      <c r="V117" s="710"/>
      <c r="W117" s="710"/>
      <c r="X117" s="710"/>
      <c r="Y117" s="710"/>
      <c r="Z117" s="710"/>
      <c r="AA117" s="710"/>
      <c r="AB117" s="710"/>
      <c r="AC117" s="710"/>
      <c r="AD117" s="710"/>
      <c r="AE117" s="710"/>
      <c r="AF117" s="710"/>
      <c r="AG117" s="710"/>
      <c r="AH117" s="710"/>
      <c r="AI117" s="710"/>
      <c r="AJ117" s="710"/>
      <c r="AK117" s="710"/>
      <c r="AL117" s="710"/>
      <c r="AM117" s="710"/>
      <c r="AN117" s="710"/>
      <c r="AO117" s="710"/>
    </row>
    <row r="121" spans="1:62" ht="21.95" customHeight="1" outlineLevel="1" x14ac:dyDescent="0.35">
      <c r="D121" s="465" t="s">
        <v>143</v>
      </c>
      <c r="F121" s="467" t="s">
        <v>144</v>
      </c>
      <c r="G121" s="466"/>
      <c r="H121" s="465"/>
      <c r="I121" s="465"/>
      <c r="J121" s="280"/>
      <c r="K121" s="327"/>
      <c r="L121" s="280"/>
      <c r="X121" s="465" t="s">
        <v>143</v>
      </c>
    </row>
    <row r="122" spans="1:62" ht="21.95" customHeight="1" outlineLevel="1" thickBot="1" x14ac:dyDescent="0.3">
      <c r="A122" s="291"/>
      <c r="B122" s="291"/>
      <c r="C122" s="291"/>
      <c r="D122" s="291"/>
      <c r="E122" s="291"/>
      <c r="F122" s="291"/>
      <c r="G122" s="317"/>
      <c r="H122" s="882" t="s">
        <v>102</v>
      </c>
      <c r="I122" s="882"/>
      <c r="J122" s="882"/>
      <c r="K122" s="317"/>
      <c r="L122" s="291"/>
      <c r="M122" s="291"/>
      <c r="N122" s="291"/>
      <c r="O122" s="317"/>
      <c r="P122" s="317"/>
      <c r="Q122" s="317"/>
      <c r="R122" s="317"/>
      <c r="S122" s="317"/>
      <c r="T122" s="317"/>
      <c r="U122" s="317"/>
      <c r="V122" s="317"/>
      <c r="W122" s="317"/>
      <c r="X122" s="291"/>
      <c r="Y122" s="291"/>
      <c r="Z122" s="291"/>
      <c r="AA122" s="291"/>
      <c r="AB122" s="882" t="s">
        <v>103</v>
      </c>
      <c r="AC122" s="882"/>
      <c r="AD122" s="882"/>
    </row>
    <row r="123" spans="1:62" ht="21.95" customHeight="1" outlineLevel="1" thickBot="1" x14ac:dyDescent="0.3">
      <c r="A123" s="291"/>
      <c r="B123" s="291"/>
      <c r="C123" s="291"/>
      <c r="D123" s="883" t="s">
        <v>104</v>
      </c>
      <c r="E123" s="884"/>
      <c r="F123" s="885"/>
      <c r="G123" s="323"/>
      <c r="H123" s="873" t="s">
        <v>105</v>
      </c>
      <c r="I123" s="874"/>
      <c r="J123" s="875"/>
      <c r="K123" s="323"/>
      <c r="L123" s="876" t="s">
        <v>106</v>
      </c>
      <c r="M123" s="877"/>
      <c r="N123" s="878"/>
      <c r="O123" s="323"/>
      <c r="P123" s="323"/>
      <c r="Q123" s="879" t="s">
        <v>107</v>
      </c>
      <c r="R123" s="880"/>
      <c r="S123" s="881"/>
      <c r="T123" s="323"/>
      <c r="U123" s="710"/>
      <c r="V123" s="323"/>
      <c r="W123" s="291"/>
      <c r="X123" s="883" t="s">
        <v>104</v>
      </c>
      <c r="Y123" s="884"/>
      <c r="Z123" s="885"/>
      <c r="AA123" s="323"/>
      <c r="AB123" s="873" t="s">
        <v>105</v>
      </c>
      <c r="AC123" s="874"/>
      <c r="AD123" s="875"/>
      <c r="AE123" s="323"/>
      <c r="AF123" s="876" t="s">
        <v>106</v>
      </c>
      <c r="AG123" s="877"/>
      <c r="AH123" s="878"/>
      <c r="AI123" s="291"/>
      <c r="AJ123" s="323"/>
      <c r="AK123" s="879" t="s">
        <v>107</v>
      </c>
      <c r="AL123" s="880"/>
      <c r="AM123" s="881"/>
      <c r="AP123" s="291"/>
      <c r="AR123" s="321"/>
      <c r="AS123" s="845" t="s">
        <v>108</v>
      </c>
      <c r="AT123" s="846"/>
      <c r="AU123" s="847"/>
      <c r="AV123" s="851" t="s">
        <v>1</v>
      </c>
      <c r="AW123" s="851"/>
      <c r="AX123" s="852"/>
      <c r="AY123" s="853" t="s">
        <v>140</v>
      </c>
      <c r="AZ123" s="851"/>
      <c r="BA123" s="852"/>
      <c r="BB123" s="853" t="s">
        <v>110</v>
      </c>
      <c r="BC123" s="851"/>
      <c r="BD123" s="855"/>
      <c r="BE123" s="857" t="s">
        <v>111</v>
      </c>
      <c r="BF123" s="857"/>
      <c r="BG123" s="858"/>
      <c r="BH123" s="860" t="s">
        <v>112</v>
      </c>
      <c r="BI123" s="861"/>
      <c r="BJ123" s="862"/>
    </row>
    <row r="124" spans="1:62" ht="21.95" customHeight="1" outlineLevel="1" thickBot="1" x14ac:dyDescent="0.3">
      <c r="A124" s="291"/>
      <c r="B124" s="291"/>
      <c r="C124" s="291"/>
      <c r="D124" s="325" t="s">
        <v>113</v>
      </c>
      <c r="E124" s="883" t="s">
        <v>114</v>
      </c>
      <c r="F124" s="890"/>
      <c r="G124" s="322"/>
      <c r="H124" s="302" t="s">
        <v>113</v>
      </c>
      <c r="I124" s="873" t="s">
        <v>115</v>
      </c>
      <c r="J124" s="891"/>
      <c r="K124" s="322"/>
      <c r="L124" s="302" t="s">
        <v>113</v>
      </c>
      <c r="M124" s="876" t="s">
        <v>115</v>
      </c>
      <c r="N124" s="886"/>
      <c r="O124" s="322"/>
      <c r="P124" s="322"/>
      <c r="Q124" s="328" t="s">
        <v>113</v>
      </c>
      <c r="R124" s="871" t="s">
        <v>115</v>
      </c>
      <c r="S124" s="872"/>
      <c r="T124" s="322"/>
      <c r="U124" s="710"/>
      <c r="V124" s="322"/>
      <c r="W124" s="291"/>
      <c r="X124" s="664" t="s">
        <v>113</v>
      </c>
      <c r="Y124" s="865" t="s">
        <v>114</v>
      </c>
      <c r="Z124" s="866"/>
      <c r="AA124" s="322"/>
      <c r="AB124" s="328" t="s">
        <v>113</v>
      </c>
      <c r="AC124" s="867" t="s">
        <v>115</v>
      </c>
      <c r="AD124" s="868"/>
      <c r="AE124" s="322"/>
      <c r="AF124" s="328" t="s">
        <v>113</v>
      </c>
      <c r="AG124" s="869" t="s">
        <v>115</v>
      </c>
      <c r="AH124" s="870"/>
      <c r="AI124" s="291"/>
      <c r="AJ124" s="322"/>
      <c r="AK124" s="328" t="s">
        <v>113</v>
      </c>
      <c r="AL124" s="871" t="s">
        <v>115</v>
      </c>
      <c r="AM124" s="872"/>
      <c r="AP124" s="291"/>
      <c r="AR124" s="322"/>
      <c r="AS124" s="848"/>
      <c r="AT124" s="849"/>
      <c r="AU124" s="850"/>
      <c r="AV124" s="849"/>
      <c r="AW124" s="849"/>
      <c r="AX124" s="849"/>
      <c r="AY124" s="854"/>
      <c r="AZ124" s="849"/>
      <c r="BA124" s="849"/>
      <c r="BB124" s="854"/>
      <c r="BC124" s="849"/>
      <c r="BD124" s="856"/>
      <c r="BE124" s="859"/>
      <c r="BF124" s="859"/>
      <c r="BG124" s="859"/>
      <c r="BH124" s="863"/>
      <c r="BI124" s="864"/>
      <c r="BJ124" s="864"/>
    </row>
    <row r="125" spans="1:62" ht="54.95" customHeight="1" outlineLevel="1" thickBot="1" x14ac:dyDescent="0.3">
      <c r="A125" s="291"/>
      <c r="B125" s="291"/>
      <c r="C125" s="301" t="s">
        <v>130</v>
      </c>
      <c r="D125" s="309">
        <f>'Working Paper 3'!$C$6</f>
        <v>5.0504809882102659E-2</v>
      </c>
      <c r="E125" s="295">
        <f t="shared" ref="E125:E132" si="92">D136/10000</f>
        <v>0.05</v>
      </c>
      <c r="F125" s="293"/>
      <c r="G125" s="324"/>
      <c r="H125" s="298">
        <f>'Working Paper 3'!$E$6</f>
        <v>154.93914051185246</v>
      </c>
      <c r="I125" s="299">
        <f>H136</f>
        <v>179</v>
      </c>
      <c r="J125" s="294"/>
      <c r="K125" s="317"/>
      <c r="L125" s="298">
        <f>'Working Paper 3'!$G$6</f>
        <v>169.71789116032431</v>
      </c>
      <c r="M125" s="300">
        <f>L136</f>
        <v>170</v>
      </c>
      <c r="N125" s="294"/>
      <c r="O125" s="317"/>
      <c r="P125" s="329" t="s">
        <v>116</v>
      </c>
      <c r="Q125" s="334">
        <v>10.65</v>
      </c>
      <c r="R125" s="352">
        <f>Q136/100</f>
        <v>10.66</v>
      </c>
      <c r="S125" s="330"/>
      <c r="T125" s="317"/>
      <c r="U125" s="710"/>
      <c r="V125" s="317"/>
      <c r="W125" s="301" t="str">
        <f>'Working Paper 3'!$B$6</f>
        <v>Amex</v>
      </c>
      <c r="X125" s="309">
        <f>V136/$V$145</f>
        <v>1.4E-2</v>
      </c>
      <c r="Y125" s="295">
        <f t="shared" ref="Y125:Y130" si="93">X136/10000</f>
        <v>1.4E-2</v>
      </c>
      <c r="Z125" s="293"/>
      <c r="AA125" s="665"/>
      <c r="AB125" s="298">
        <v>133</v>
      </c>
      <c r="AC125" s="299">
        <f>AB136</f>
        <v>150</v>
      </c>
      <c r="AD125" s="294"/>
      <c r="AE125" s="666"/>
      <c r="AF125" s="298">
        <v>160</v>
      </c>
      <c r="AG125" s="300">
        <f>AF136</f>
        <v>160</v>
      </c>
      <c r="AH125" s="294"/>
      <c r="AI125" s="291"/>
      <c r="AJ125" s="329" t="s">
        <v>116</v>
      </c>
      <c r="AK125" s="334">
        <f>AL143/$Z$25*10000</f>
        <v>4.756610385513107</v>
      </c>
      <c r="AL125" s="352">
        <f>AK136/100</f>
        <v>4.76</v>
      </c>
      <c r="AM125" s="330"/>
      <c r="AP125" s="291"/>
      <c r="AR125" s="825" t="s">
        <v>113</v>
      </c>
      <c r="AS125" s="827">
        <f>+I145+AC145</f>
        <v>3104080.4987973464</v>
      </c>
      <c r="AT125" s="828"/>
      <c r="AU125" s="829"/>
      <c r="AV125" s="830">
        <f>AG145+M145</f>
        <v>1630839.4466342132</v>
      </c>
      <c r="AW125" s="828"/>
      <c r="AX125" s="829"/>
      <c r="AY125" s="830">
        <f>AS125-AV125</f>
        <v>1473241.0521631332</v>
      </c>
      <c r="AZ125" s="828"/>
      <c r="BA125" s="829"/>
      <c r="BB125" s="831">
        <f>'Working Paper 3'!$J$15/'Working Paper 3'!$F$15</f>
        <v>0.46280092022477287</v>
      </c>
      <c r="BC125" s="828"/>
      <c r="BD125" s="832"/>
      <c r="BE125" s="827">
        <f>AL140+R145</f>
        <v>398256.46766760008</v>
      </c>
      <c r="BF125" s="828"/>
      <c r="BG125" s="828"/>
      <c r="BH125" s="833">
        <f>AY125-BE125</f>
        <v>1074984.584495533</v>
      </c>
      <c r="BI125" s="828"/>
      <c r="BJ125" s="832"/>
    </row>
    <row r="126" spans="1:62" ht="54.95" customHeight="1" outlineLevel="1" thickBot="1" x14ac:dyDescent="0.3">
      <c r="A126" s="291"/>
      <c r="B126" s="291"/>
      <c r="C126" s="301" t="s">
        <v>3</v>
      </c>
      <c r="D126" s="309">
        <f>'Working Paper 3'!$C$7</f>
        <v>0.3206982301443993</v>
      </c>
      <c r="E126" s="295">
        <f t="shared" si="92"/>
        <v>0.4</v>
      </c>
      <c r="F126" s="294"/>
      <c r="G126" s="317"/>
      <c r="H126" s="298">
        <f>'Working Paper 3'!$E$7</f>
        <v>142.99254815956868</v>
      </c>
      <c r="I126" s="299">
        <f t="shared" ref="I126:I132" si="94">H137</f>
        <v>65</v>
      </c>
      <c r="J126" s="294"/>
      <c r="K126" s="317"/>
      <c r="L126" s="298">
        <f>'Working Paper 3'!$G$7</f>
        <v>28.660658557912612</v>
      </c>
      <c r="M126" s="300">
        <f t="shared" ref="M126:M132" si="95">L137</f>
        <v>28</v>
      </c>
      <c r="N126" s="294"/>
      <c r="O126" s="317"/>
      <c r="P126" s="329" t="s">
        <v>118</v>
      </c>
      <c r="Q126" s="334">
        <v>3.12</v>
      </c>
      <c r="R126" s="352">
        <f>Q137/100</f>
        <v>3.12</v>
      </c>
      <c r="S126" s="330"/>
      <c r="T126" s="317"/>
      <c r="U126" s="710"/>
      <c r="V126" s="317"/>
      <c r="W126" s="301" t="str">
        <f>'Working Paper 3'!$B$7</f>
        <v>EFTPOS</v>
      </c>
      <c r="X126" s="309">
        <f t="shared" ref="X126:X130" si="96">V137/$V$145</f>
        <v>0.32800000000000001</v>
      </c>
      <c r="Y126" s="295">
        <f t="shared" si="93"/>
        <v>0.4</v>
      </c>
      <c r="Z126" s="294"/>
      <c r="AA126" s="317"/>
      <c r="AB126" s="298">
        <v>130</v>
      </c>
      <c r="AC126" s="299">
        <f t="shared" ref="AC126:AC130" si="97">AB137</f>
        <v>65</v>
      </c>
      <c r="AD126" s="294"/>
      <c r="AE126" s="317"/>
      <c r="AF126" s="298">
        <v>25</v>
      </c>
      <c r="AG126" s="300">
        <f t="shared" ref="AG126:AG130" si="98">AF137</f>
        <v>25</v>
      </c>
      <c r="AH126" s="294"/>
      <c r="AI126" s="291"/>
      <c r="AJ126" s="329" t="s">
        <v>118</v>
      </c>
      <c r="AK126" s="334">
        <f t="shared" ref="AK126:AK127" si="99">AL144/$Z$25*10000</f>
        <v>0.97775746262515195</v>
      </c>
      <c r="AL126" s="352">
        <f>AK137/100</f>
        <v>0.99</v>
      </c>
      <c r="AM126" s="330"/>
      <c r="AP126" s="291"/>
      <c r="AR126" s="826"/>
      <c r="AS126" s="834">
        <f>AS125/(Y145+A145)*10000</f>
        <v>141.41355249202618</v>
      </c>
      <c r="AT126" s="835"/>
      <c r="AU126" s="836"/>
      <c r="AV126" s="837">
        <f>AV125/(Y145+A145)*10000</f>
        <v>74.296655573857493</v>
      </c>
      <c r="AW126" s="835"/>
      <c r="AX126" s="836"/>
      <c r="AY126" s="837">
        <f>AS126-AV126</f>
        <v>67.116896918168692</v>
      </c>
      <c r="AZ126" s="838"/>
      <c r="BA126" s="839"/>
      <c r="BB126" s="840"/>
      <c r="BC126" s="841"/>
      <c r="BD126" s="842"/>
      <c r="BE126" s="843">
        <f>Q128</f>
        <v>18.79</v>
      </c>
      <c r="BF126" s="835"/>
      <c r="BG126" s="836"/>
      <c r="BH126" s="837">
        <f>AY126-BE126</f>
        <v>48.326896918168693</v>
      </c>
      <c r="BI126" s="835"/>
      <c r="BJ126" s="844"/>
    </row>
    <row r="127" spans="1:62" ht="54.95" customHeight="1" outlineLevel="1" thickBot="1" x14ac:dyDescent="0.3">
      <c r="A127" s="291"/>
      <c r="B127" s="291"/>
      <c r="C127" s="301" t="s">
        <v>4</v>
      </c>
      <c r="D127" s="309">
        <f>'Working Paper 3'!$C$8</f>
        <v>4.0553505985047866E-2</v>
      </c>
      <c r="E127" s="295">
        <f t="shared" si="92"/>
        <v>0.04</v>
      </c>
      <c r="F127" s="326"/>
      <c r="G127" s="317"/>
      <c r="H127" s="298">
        <f>'Working Paper 3'!$E$8</f>
        <v>143.45851781578313</v>
      </c>
      <c r="I127" s="299">
        <f t="shared" si="94"/>
        <v>165</v>
      </c>
      <c r="J127" s="294"/>
      <c r="K127" s="317"/>
      <c r="L127" s="298">
        <f>'Working Paper 3'!$G$8</f>
        <v>60.236068170372583</v>
      </c>
      <c r="M127" s="300">
        <f t="shared" si="95"/>
        <v>50</v>
      </c>
      <c r="N127" s="294"/>
      <c r="O127" s="317"/>
      <c r="P127" s="331" t="s">
        <v>119</v>
      </c>
      <c r="Q127" s="334">
        <v>5.0199999999999996</v>
      </c>
      <c r="R127" s="352">
        <f>Q138/100</f>
        <v>5.0199999999999996</v>
      </c>
      <c r="S127" s="330"/>
      <c r="T127" s="317"/>
      <c r="U127" s="710"/>
      <c r="V127" s="317"/>
      <c r="W127" s="301" t="s">
        <v>120</v>
      </c>
      <c r="X127" s="309">
        <f t="shared" si="96"/>
        <v>0.18</v>
      </c>
      <c r="Y127" s="295">
        <f t="shared" si="93"/>
        <v>0.1</v>
      </c>
      <c r="Z127" s="294"/>
      <c r="AA127" s="317"/>
      <c r="AB127" s="298">
        <v>122</v>
      </c>
      <c r="AC127" s="299">
        <f t="shared" si="97"/>
        <v>150</v>
      </c>
      <c r="AD127" s="294"/>
      <c r="AE127" s="317"/>
      <c r="AF127" s="298">
        <v>72</v>
      </c>
      <c r="AG127" s="300">
        <f t="shared" si="98"/>
        <v>50</v>
      </c>
      <c r="AH127" s="294"/>
      <c r="AI127" s="291"/>
      <c r="AJ127" s="331" t="s">
        <v>119</v>
      </c>
      <c r="AK127" s="334">
        <f t="shared" si="99"/>
        <v>9.4895997991714811</v>
      </c>
      <c r="AL127" s="352">
        <f>AK138/100</f>
        <v>9.51</v>
      </c>
      <c r="AM127" s="330"/>
      <c r="AP127" s="291"/>
      <c r="AR127" s="810" t="s">
        <v>141</v>
      </c>
      <c r="AS127" s="812">
        <f>+J145+AD145</f>
        <v>2109169.8116710004</v>
      </c>
      <c r="AT127" s="788"/>
      <c r="AU127" s="789"/>
      <c r="AV127" s="813">
        <f>AH145+N145</f>
        <v>1330002.6188280003</v>
      </c>
      <c r="AW127" s="788"/>
      <c r="AX127" s="789"/>
      <c r="AY127" s="813">
        <f>AS127-AV127</f>
        <v>779167.19284300017</v>
      </c>
      <c r="AZ127" s="788"/>
      <c r="BA127" s="789"/>
      <c r="BB127" s="814">
        <f>AY127/J145</f>
        <v>0.43839490180850182</v>
      </c>
      <c r="BC127" s="788"/>
      <c r="BD127" s="797"/>
      <c r="BE127" s="812">
        <f>AM140+S145</f>
        <v>398579.56754200009</v>
      </c>
      <c r="BF127" s="788"/>
      <c r="BG127" s="788"/>
      <c r="BH127" s="815">
        <f>AY127-BE127</f>
        <v>380587.62530100008</v>
      </c>
      <c r="BI127" s="788"/>
      <c r="BJ127" s="797"/>
    </row>
    <row r="128" spans="1:62" ht="54.95" customHeight="1" outlineLevel="1" thickBot="1" x14ac:dyDescent="0.3">
      <c r="A128" s="291"/>
      <c r="B128" s="291"/>
      <c r="C128" s="301" t="s">
        <v>5</v>
      </c>
      <c r="D128" s="309">
        <f>'Working Paper 3'!$C$9</f>
        <v>0.22558468242770457</v>
      </c>
      <c r="E128" s="295">
        <f t="shared" si="92"/>
        <v>0.25</v>
      </c>
      <c r="F128" s="294"/>
      <c r="G128" s="317"/>
      <c r="H128" s="298">
        <f>'Working Paper 3'!$E$9</f>
        <v>143.21774507854948</v>
      </c>
      <c r="I128" s="299">
        <f t="shared" si="94"/>
        <v>65</v>
      </c>
      <c r="J128" s="294"/>
      <c r="K128" s="317"/>
      <c r="L128" s="298">
        <f>'Working Paper 3'!$G$9</f>
        <v>65.927949272184037</v>
      </c>
      <c r="M128" s="300">
        <f t="shared" si="95"/>
        <v>66</v>
      </c>
      <c r="N128" s="294"/>
      <c r="O128" s="317"/>
      <c r="P128" s="340"/>
      <c r="Q128" s="332">
        <f>R145/A145*10000</f>
        <v>18.79</v>
      </c>
      <c r="R128" s="339">
        <f>S145/A145*10000</f>
        <v>18.8</v>
      </c>
      <c r="S128" s="336"/>
      <c r="T128" s="317"/>
      <c r="U128" s="710"/>
      <c r="V128" s="317"/>
      <c r="W128" s="301" t="s">
        <v>122</v>
      </c>
      <c r="X128" s="309">
        <f t="shared" si="96"/>
        <v>0.17799999999999999</v>
      </c>
      <c r="Y128" s="295">
        <f t="shared" si="93"/>
        <v>0.1</v>
      </c>
      <c r="Z128" s="294"/>
      <c r="AA128" s="317"/>
      <c r="AB128" s="298">
        <v>122</v>
      </c>
      <c r="AC128" s="299">
        <f t="shared" si="97"/>
        <v>152</v>
      </c>
      <c r="AD128" s="294"/>
      <c r="AE128" s="317"/>
      <c r="AF128" s="298">
        <v>72</v>
      </c>
      <c r="AG128" s="300">
        <f t="shared" si="98"/>
        <v>50</v>
      </c>
      <c r="AH128" s="294"/>
      <c r="AI128" s="291"/>
      <c r="AJ128" s="340"/>
      <c r="AK128" s="335"/>
      <c r="AL128" s="317"/>
      <c r="AM128" s="336"/>
      <c r="AP128" s="291"/>
      <c r="AR128" s="811"/>
      <c r="AS128" s="816">
        <f>AS127/(Y145+A145)*10000</f>
        <v>96.088099517037222</v>
      </c>
      <c r="AT128" s="817"/>
      <c r="AU128" s="818"/>
      <c r="AV128" s="819">
        <f>AV127/(Y145+A145)*10000</f>
        <v>60.591339440145347</v>
      </c>
      <c r="AW128" s="817"/>
      <c r="AX128" s="818"/>
      <c r="AY128" s="819">
        <f>AS128-AV128</f>
        <v>35.496760076891874</v>
      </c>
      <c r="AZ128" s="817"/>
      <c r="BA128" s="817"/>
      <c r="BB128" s="820"/>
      <c r="BC128" s="821"/>
      <c r="BD128" s="822"/>
      <c r="BE128" s="823">
        <f>R128*R131</f>
        <v>18.8</v>
      </c>
      <c r="BF128" s="817"/>
      <c r="BG128" s="817"/>
      <c r="BH128" s="819">
        <f>AY128-BE128</f>
        <v>16.696760076891874</v>
      </c>
      <c r="BI128" s="817"/>
      <c r="BJ128" s="824"/>
    </row>
    <row r="129" spans="1:62" ht="54.95" customHeight="1" outlineLevel="1" thickBot="1" x14ac:dyDescent="0.3">
      <c r="A129" s="291"/>
      <c r="B129" s="291"/>
      <c r="C129" s="301" t="s">
        <v>131</v>
      </c>
      <c r="D129" s="309">
        <f>'Working Paper 3'!$C$10</f>
        <v>0.25452682626864803</v>
      </c>
      <c r="E129" s="295">
        <f t="shared" si="92"/>
        <v>0.15</v>
      </c>
      <c r="F129" s="294"/>
      <c r="G129" s="317"/>
      <c r="H129" s="298">
        <f>'Working Paper 3'!$E$10</f>
        <v>148.69146331982427</v>
      </c>
      <c r="I129" s="299">
        <f t="shared" si="94"/>
        <v>165</v>
      </c>
      <c r="J129" s="294"/>
      <c r="K129" s="317"/>
      <c r="L129" s="298">
        <f>'Working Paper 3'!$G$10</f>
        <v>100.86833162399658</v>
      </c>
      <c r="M129" s="300">
        <f t="shared" si="95"/>
        <v>70</v>
      </c>
      <c r="N129" s="294"/>
      <c r="O129" s="317"/>
      <c r="P129" s="340"/>
      <c r="S129" s="336"/>
      <c r="T129" s="317"/>
      <c r="U129" s="710"/>
      <c r="V129" s="317"/>
      <c r="W129" s="301" t="s">
        <v>50</v>
      </c>
      <c r="X129" s="309">
        <f t="shared" si="96"/>
        <v>0.15</v>
      </c>
      <c r="Y129" s="295">
        <f t="shared" si="93"/>
        <v>0.19</v>
      </c>
      <c r="Z129" s="294"/>
      <c r="AA129" s="317"/>
      <c r="AB129" s="298">
        <v>122</v>
      </c>
      <c r="AC129" s="299">
        <f t="shared" si="97"/>
        <v>65</v>
      </c>
      <c r="AD129" s="294"/>
      <c r="AE129" s="317"/>
      <c r="AF129" s="298">
        <v>72</v>
      </c>
      <c r="AG129" s="300">
        <f t="shared" si="98"/>
        <v>72</v>
      </c>
      <c r="AH129" s="294"/>
      <c r="AI129" s="291"/>
      <c r="AJ129" s="340"/>
      <c r="AK129" s="887" t="s">
        <v>123</v>
      </c>
      <c r="AL129" s="888"/>
      <c r="AM129" s="889"/>
      <c r="AP129" s="291"/>
      <c r="AR129" s="424" t="s">
        <v>124</v>
      </c>
      <c r="AS129" s="787">
        <f t="shared" ref="AS129:AS130" si="100">AS125-AS127</f>
        <v>994910.68712634593</v>
      </c>
      <c r="AT129" s="788"/>
      <c r="AU129" s="789"/>
      <c r="AV129" s="790">
        <f t="shared" ref="AV129:AV130" si="101">AV125-AV127</f>
        <v>300836.82780621294</v>
      </c>
      <c r="AW129" s="791"/>
      <c r="AX129" s="792"/>
      <c r="AY129" s="793">
        <f t="shared" ref="AY129:AY130" si="102">AY125-AY127</f>
        <v>694073.85932013299</v>
      </c>
      <c r="AZ129" s="788"/>
      <c r="BA129" s="788"/>
      <c r="BB129" s="794"/>
      <c r="BC129" s="788"/>
      <c r="BD129" s="789"/>
      <c r="BE129" s="795">
        <f t="shared" ref="BE129:BE130" si="103">BE125-BE127</f>
        <v>-323.09987440000987</v>
      </c>
      <c r="BF129" s="788"/>
      <c r="BG129" s="789"/>
      <c r="BH129" s="796">
        <f t="shared" ref="BH129:BH130" si="104">BH125-BH127</f>
        <v>694396.95919453294</v>
      </c>
      <c r="BI129" s="788"/>
      <c r="BJ129" s="797"/>
    </row>
    <row r="130" spans="1:62" ht="54.95" customHeight="1" outlineLevel="1" thickBot="1" x14ac:dyDescent="0.3">
      <c r="A130" s="291"/>
      <c r="B130" s="291"/>
      <c r="C130" s="301" t="s">
        <v>7</v>
      </c>
      <c r="D130" s="309">
        <f>'Working Paper 3'!$C$11</f>
        <v>6.0059880831170691E-2</v>
      </c>
      <c r="E130" s="295">
        <f t="shared" si="92"/>
        <v>7.0000000000000007E-2</v>
      </c>
      <c r="F130" s="294"/>
      <c r="G130" s="317"/>
      <c r="H130" s="298">
        <f>'Working Paper 3'!$E$11</f>
        <v>142.98844600659757</v>
      </c>
      <c r="I130" s="299">
        <f t="shared" si="94"/>
        <v>65</v>
      </c>
      <c r="J130" s="294"/>
      <c r="K130" s="317"/>
      <c r="L130" s="298">
        <f>'Working Paper 3'!$G$11</f>
        <v>54.90928046317822</v>
      </c>
      <c r="M130" s="300">
        <f t="shared" si="95"/>
        <v>55</v>
      </c>
      <c r="N130" s="294"/>
      <c r="O130" s="317"/>
      <c r="P130" s="340"/>
      <c r="Q130" s="887" t="s">
        <v>123</v>
      </c>
      <c r="R130" s="888"/>
      <c r="S130" s="889"/>
      <c r="T130" s="701"/>
      <c r="U130" s="710"/>
      <c r="V130" s="317"/>
      <c r="W130" s="301" t="s">
        <v>125</v>
      </c>
      <c r="X130" s="309">
        <f t="shared" si="96"/>
        <v>0.15</v>
      </c>
      <c r="Y130" s="295">
        <f t="shared" si="93"/>
        <v>0.19600000000000001</v>
      </c>
      <c r="Z130" s="294"/>
      <c r="AA130" s="318"/>
      <c r="AB130" s="298">
        <v>122</v>
      </c>
      <c r="AC130" s="299">
        <f t="shared" si="97"/>
        <v>65</v>
      </c>
      <c r="AD130" s="294"/>
      <c r="AE130" s="318"/>
      <c r="AF130" s="298">
        <v>72</v>
      </c>
      <c r="AG130" s="300">
        <f t="shared" si="98"/>
        <v>72</v>
      </c>
      <c r="AH130" s="294"/>
      <c r="AI130" s="291"/>
      <c r="AJ130" s="340"/>
      <c r="AK130" s="384">
        <v>1</v>
      </c>
      <c r="AL130" s="384">
        <f>AK142/100</f>
        <v>1</v>
      </c>
      <c r="AM130" s="383"/>
      <c r="AP130" s="291"/>
      <c r="AR130" s="425" t="s">
        <v>126</v>
      </c>
      <c r="AS130" s="798">
        <f t="shared" si="100"/>
        <v>45.325452974988963</v>
      </c>
      <c r="AT130" s="799"/>
      <c r="AU130" s="800"/>
      <c r="AV130" s="801">
        <f t="shared" si="101"/>
        <v>13.705316133712145</v>
      </c>
      <c r="AW130" s="799"/>
      <c r="AX130" s="800"/>
      <c r="AY130" s="801">
        <f t="shared" si="102"/>
        <v>31.620136841276818</v>
      </c>
      <c r="AZ130" s="799"/>
      <c r="BA130" s="799"/>
      <c r="BB130" s="802"/>
      <c r="BC130" s="803"/>
      <c r="BD130" s="804"/>
      <c r="BE130" s="805">
        <f t="shared" si="103"/>
        <v>-1.0000000000001563E-2</v>
      </c>
      <c r="BF130" s="806"/>
      <c r="BG130" s="807"/>
      <c r="BH130" s="808">
        <f t="shared" si="104"/>
        <v>31.630136841276819</v>
      </c>
      <c r="BI130" s="806"/>
      <c r="BJ130" s="809"/>
    </row>
    <row r="131" spans="1:62" ht="54.95" customHeight="1" outlineLevel="1" thickBot="1" x14ac:dyDescent="0.3">
      <c r="A131" s="291"/>
      <c r="B131" s="291"/>
      <c r="C131" s="301" t="s">
        <v>132</v>
      </c>
      <c r="D131" s="309">
        <f>'Working Paper 3'!$C$12</f>
        <v>2.4773150306096305E-2</v>
      </c>
      <c r="E131" s="295">
        <f t="shared" si="92"/>
        <v>0.02</v>
      </c>
      <c r="F131" s="294"/>
      <c r="G131" s="317"/>
      <c r="H131" s="298">
        <f>'Working Paper 3'!$E$12</f>
        <v>145.45695079148425</v>
      </c>
      <c r="I131" s="299">
        <f t="shared" si="94"/>
        <v>295</v>
      </c>
      <c r="J131" s="294"/>
      <c r="K131" s="317"/>
      <c r="L131" s="298">
        <f>'Working Paper 3'!$G$12</f>
        <v>292.619148787516</v>
      </c>
      <c r="M131" s="300">
        <f t="shared" si="95"/>
        <v>260</v>
      </c>
      <c r="N131" s="294"/>
      <c r="O131" s="317"/>
      <c r="P131" s="340"/>
      <c r="Q131" s="384">
        <v>1</v>
      </c>
      <c r="R131" s="384">
        <f>Q134/100</f>
        <v>1</v>
      </c>
      <c r="S131" s="383"/>
      <c r="T131" s="317"/>
      <c r="U131" s="710"/>
      <c r="V131" s="317"/>
      <c r="W131" s="323"/>
      <c r="X131" s="661"/>
      <c r="Y131" s="662"/>
      <c r="Z131" s="317"/>
      <c r="AA131" s="317"/>
      <c r="AB131" s="663"/>
      <c r="AC131" s="663"/>
      <c r="AD131" s="317"/>
      <c r="AE131" s="317"/>
      <c r="AF131" s="663"/>
      <c r="AG131" s="663"/>
      <c r="AH131" s="317"/>
      <c r="AI131" s="423"/>
      <c r="AJ131" s="340"/>
      <c r="AK131" s="335"/>
      <c r="AL131" s="317"/>
      <c r="AM131" s="336"/>
      <c r="AN131" s="423"/>
      <c r="AO131" s="423"/>
      <c r="AP131" s="291"/>
    </row>
    <row r="132" spans="1:62" ht="54.95" customHeight="1" outlineLevel="1" thickBot="1" x14ac:dyDescent="0.3">
      <c r="A132" s="291"/>
      <c r="B132" s="291"/>
      <c r="C132" s="301" t="s">
        <v>133</v>
      </c>
      <c r="D132" s="309">
        <f>'Working Paper 3'!$C$13</f>
        <v>2.3298914154830527E-2</v>
      </c>
      <c r="E132" s="295">
        <f t="shared" si="92"/>
        <v>0.02</v>
      </c>
      <c r="F132" s="294"/>
      <c r="G132" s="317"/>
      <c r="H132" s="298">
        <f>'Working Paper 3'!$E$13</f>
        <v>139.5775929132339</v>
      </c>
      <c r="I132" s="299">
        <f t="shared" si="94"/>
        <v>295</v>
      </c>
      <c r="J132" s="294"/>
      <c r="K132" s="317"/>
      <c r="L132" s="298">
        <f>'Working Paper 3'!$G$13</f>
        <v>285.31047780447233</v>
      </c>
      <c r="M132" s="300">
        <f t="shared" si="95"/>
        <v>260</v>
      </c>
      <c r="N132" s="294"/>
      <c r="O132" s="317"/>
      <c r="P132" s="341"/>
      <c r="Q132" s="337"/>
      <c r="R132" s="318"/>
      <c r="S132" s="338"/>
      <c r="T132" s="317"/>
      <c r="U132" s="710"/>
      <c r="V132" s="317"/>
      <c r="W132" s="323"/>
      <c r="X132" s="661"/>
      <c r="Y132" s="662"/>
      <c r="Z132" s="317"/>
      <c r="AA132" s="317"/>
      <c r="AB132" s="663"/>
      <c r="AD132" s="317"/>
      <c r="AE132" s="317"/>
      <c r="AF132" s="663"/>
      <c r="AG132" s="663"/>
      <c r="AH132" s="317"/>
      <c r="AI132" s="423"/>
      <c r="AJ132" s="341"/>
      <c r="AK132" s="337"/>
      <c r="AL132" s="318"/>
      <c r="AM132" s="338"/>
      <c r="AN132" s="423"/>
      <c r="AO132" s="423"/>
      <c r="AP132" s="291"/>
    </row>
    <row r="133" spans="1:62" ht="21.95" customHeight="1" outlineLevel="1" thickBot="1" x14ac:dyDescent="0.3">
      <c r="A133" s="291"/>
      <c r="B133" s="291"/>
      <c r="C133" s="291"/>
      <c r="D133" s="291"/>
      <c r="E133" s="291"/>
      <c r="F133" s="291"/>
      <c r="G133" s="317"/>
      <c r="H133" s="291"/>
      <c r="I133" s="291"/>
      <c r="J133" s="291"/>
      <c r="K133" s="317"/>
      <c r="L133" s="291"/>
      <c r="M133" s="291"/>
      <c r="N133" s="291"/>
      <c r="O133" s="317"/>
      <c r="P133" s="317"/>
      <c r="Q133" s="317"/>
      <c r="R133" s="317"/>
      <c r="S133" s="317"/>
      <c r="T133" s="317"/>
      <c r="U133" s="710"/>
      <c r="V133" s="317"/>
      <c r="W133" s="291"/>
      <c r="X133" s="291"/>
      <c r="Y133" s="291"/>
      <c r="Z133" s="291"/>
      <c r="AA133" s="317"/>
      <c r="AB133" s="291"/>
      <c r="AC133" s="291"/>
      <c r="AD133" s="291"/>
      <c r="AE133" s="317"/>
      <c r="AF133" s="291"/>
      <c r="AG133" s="291"/>
      <c r="AH133" s="291"/>
      <c r="AJ133" s="317"/>
      <c r="AK133" s="317"/>
      <c r="AL133" s="317"/>
      <c r="AM133" s="317"/>
      <c r="AP133" s="291"/>
    </row>
    <row r="134" spans="1:62" ht="21.95" customHeight="1" outlineLevel="1" thickBot="1" x14ac:dyDescent="0.3">
      <c r="A134" s="291"/>
      <c r="B134" s="291"/>
      <c r="C134" s="291"/>
      <c r="D134" s="315">
        <f>SUM(D125:D133)</f>
        <v>0.99999999999999978</v>
      </c>
      <c r="E134" s="316">
        <f>SUM(E125:E133)</f>
        <v>1</v>
      </c>
      <c r="F134" s="291"/>
      <c r="G134" s="317"/>
      <c r="H134" s="313">
        <f>I145/A145*10000</f>
        <v>145.09737289553766</v>
      </c>
      <c r="I134" s="314">
        <f>H145</f>
        <v>98.899999999999991</v>
      </c>
      <c r="J134" s="291"/>
      <c r="K134" s="317"/>
      <c r="L134" s="311">
        <f>M145/A145*10000</f>
        <v>77.946175197285811</v>
      </c>
      <c r="M134" s="312">
        <f>L145</f>
        <v>62.95</v>
      </c>
      <c r="N134" s="291"/>
      <c r="O134" s="317"/>
      <c r="P134" s="291"/>
      <c r="Q134" s="410">
        <v>100</v>
      </c>
      <c r="R134" s="411">
        <f>R131*1</f>
        <v>1</v>
      </c>
      <c r="S134" s="410"/>
      <c r="T134" s="703"/>
      <c r="U134" s="710"/>
      <c r="V134" s="317"/>
      <c r="W134" s="291"/>
      <c r="X134" s="315">
        <f>SUM(X125:X133)</f>
        <v>1</v>
      </c>
      <c r="Y134" s="316">
        <f>SUM(Y125:Y133)</f>
        <v>1</v>
      </c>
      <c r="Z134" s="291"/>
      <c r="AA134" s="317"/>
      <c r="AB134" s="686">
        <f>AC145/V145*10000</f>
        <v>124.77799999999998</v>
      </c>
      <c r="AC134" s="357">
        <f>AD145/V145*10000</f>
        <v>83.389999999999986</v>
      </c>
      <c r="AD134" s="291"/>
      <c r="AE134" s="317"/>
      <c r="AF134" s="698">
        <f>AF145</f>
        <v>57.815999999999995</v>
      </c>
      <c r="AG134" s="312">
        <f>AH145/Z145*10000</f>
        <v>49.940000000000005</v>
      </c>
      <c r="AH134" s="291"/>
      <c r="AJ134" s="291"/>
      <c r="AK134" s="332">
        <f>AL140/Z145*10000</f>
        <v>15.223967647309742</v>
      </c>
      <c r="AL134" s="413">
        <f>AM140/Z145*10000</f>
        <v>15.259999999999998</v>
      </c>
      <c r="AM134" s="291"/>
      <c r="AP134" s="291"/>
    </row>
    <row r="135" spans="1:62" ht="21.95" customHeight="1" outlineLevel="1" thickBot="1" x14ac:dyDescent="0.3">
      <c r="A135" s="291"/>
      <c r="B135" s="291"/>
      <c r="C135" s="291"/>
      <c r="D135" s="291"/>
      <c r="E135" s="291"/>
      <c r="F135" s="291"/>
      <c r="G135" s="317"/>
      <c r="H135" s="291"/>
      <c r="I135" s="291"/>
      <c r="J135" s="291"/>
      <c r="K135" s="317"/>
      <c r="L135" s="291"/>
      <c r="M135" s="291"/>
      <c r="N135" s="291"/>
      <c r="O135" s="317"/>
      <c r="P135" s="317"/>
      <c r="Q135" s="317"/>
      <c r="R135" s="317"/>
      <c r="S135" s="317"/>
      <c r="T135" s="317"/>
      <c r="U135" s="710"/>
      <c r="V135" s="670" t="s">
        <v>103</v>
      </c>
      <c r="W135" s="291"/>
      <c r="X135" s="291"/>
      <c r="Y135" s="291"/>
      <c r="Z135" s="291"/>
      <c r="AA135" s="317"/>
      <c r="AB135" s="291"/>
      <c r="AC135" s="291"/>
      <c r="AD135" s="291"/>
      <c r="AE135" s="317"/>
      <c r="AF135" s="291"/>
      <c r="AG135" s="291"/>
      <c r="AH135" s="291"/>
      <c r="AJ135" s="317"/>
      <c r="AK135" s="317"/>
      <c r="AL135" s="414"/>
      <c r="AM135" s="317"/>
      <c r="AP135" s="291"/>
    </row>
    <row r="136" spans="1:62" ht="21.95" customHeight="1" outlineLevel="1" thickBot="1" x14ac:dyDescent="0.3">
      <c r="A136" s="305">
        <f>D125*'Working Paper 3'!$D$15</f>
        <v>9076148.8993999995</v>
      </c>
      <c r="B136" s="305"/>
      <c r="C136" s="291" t="s">
        <v>130</v>
      </c>
      <c r="D136" s="292">
        <v>500</v>
      </c>
      <c r="E136" s="305">
        <f>D125*$A$145</f>
        <v>9076148.8993999995</v>
      </c>
      <c r="F136" s="305">
        <f>E125*$A$145</f>
        <v>8985430.2200000025</v>
      </c>
      <c r="G136" s="317"/>
      <c r="H136" s="296">
        <v>179</v>
      </c>
      <c r="I136" s="448">
        <f t="shared" ref="I136:I143" si="105">H125*A136/10000</f>
        <v>140625.07096306313</v>
      </c>
      <c r="J136" s="306">
        <f>I125*F136/10000</f>
        <v>160839.20093800002</v>
      </c>
      <c r="K136" s="317"/>
      <c r="L136" s="296">
        <v>170</v>
      </c>
      <c r="M136" s="448">
        <f t="shared" ref="M136:M143" si="106">L125*A136/10000</f>
        <v>154038.48510632664</v>
      </c>
      <c r="N136" s="306">
        <f>M125*F136/10000</f>
        <v>152752.31374000004</v>
      </c>
      <c r="O136" s="317"/>
      <c r="P136" s="460" t="s">
        <v>116</v>
      </c>
      <c r="Q136" s="371">
        <v>1066</v>
      </c>
      <c r="R136" s="461">
        <f>Q125*$A$145/10000</f>
        <v>191389.66368600004</v>
      </c>
      <c r="S136" s="362">
        <f>Q136*E145/1000000</f>
        <v>191569.37229040003</v>
      </c>
      <c r="T136" s="705"/>
      <c r="U136" s="710"/>
      <c r="V136" s="671">
        <f>'TTV By Card'!$C$55</f>
        <v>557132.03</v>
      </c>
      <c r="W136" s="291" t="str">
        <f>W125</f>
        <v>Amex</v>
      </c>
      <c r="X136" s="369">
        <v>140</v>
      </c>
      <c r="Y136" s="370">
        <f t="shared" ref="Y136:Y141" si="107">X125*$V$145</f>
        <v>557132.03</v>
      </c>
      <c r="Z136" s="349">
        <f>Y125*$V$25</f>
        <v>557132.03</v>
      </c>
      <c r="AA136" s="317"/>
      <c r="AB136" s="700">
        <v>150</v>
      </c>
      <c r="AC136" s="348">
        <f>AB125*V136/10000</f>
        <v>7409.8559990000012</v>
      </c>
      <c r="AD136" s="350">
        <f>AC125*Z136/10000</f>
        <v>8356.9804499999991</v>
      </c>
      <c r="AE136" s="317"/>
      <c r="AF136" s="296">
        <v>160</v>
      </c>
      <c r="AG136" s="348">
        <f>AF125*V136/10000</f>
        <v>8914.1124800000016</v>
      </c>
      <c r="AH136" s="351">
        <f>AG125*Y136/10000</f>
        <v>8914.1124800000016</v>
      </c>
      <c r="AI136" s="291"/>
      <c r="AJ136" s="329" t="s">
        <v>116</v>
      </c>
      <c r="AK136" s="371">
        <v>476</v>
      </c>
      <c r="AL136" s="694">
        <f>AK125*$Z$25/10000</f>
        <v>18929</v>
      </c>
      <c r="AM136" s="373">
        <f>AL125*$Z$55/10000</f>
        <v>18942.489019999997</v>
      </c>
      <c r="AP136" s="291"/>
    </row>
    <row r="137" spans="1:62" ht="21.95" customHeight="1" outlineLevel="1" thickBot="1" x14ac:dyDescent="0.3">
      <c r="A137" s="305">
        <f>D126*'Working Paper 3'!$D$15</f>
        <v>57632231.372800022</v>
      </c>
      <c r="B137" s="305"/>
      <c r="C137" s="291" t="s">
        <v>3</v>
      </c>
      <c r="D137" s="292">
        <v>4000</v>
      </c>
      <c r="E137" s="305">
        <f t="shared" ref="E137:F143" si="108">D126*$A$145</f>
        <v>57632231.372800022</v>
      </c>
      <c r="F137" s="305">
        <f t="shared" si="108"/>
        <v>71883441.76000002</v>
      </c>
      <c r="H137" s="297">
        <v>65</v>
      </c>
      <c r="I137" s="448">
        <f t="shared" si="105"/>
        <v>824097.96201185125</v>
      </c>
      <c r="J137" s="306">
        <f t="shared" ref="J137:J143" si="109">I126*F137/10000</f>
        <v>467242.37144000013</v>
      </c>
      <c r="L137" s="297">
        <v>28</v>
      </c>
      <c r="M137" s="448">
        <f t="shared" si="106"/>
        <v>165177.77053064405</v>
      </c>
      <c r="N137" s="306">
        <f t="shared" ref="N137:N143" si="110">M126*F137/10000</f>
        <v>201273.63692800008</v>
      </c>
      <c r="P137" s="460" t="s">
        <v>118</v>
      </c>
      <c r="Q137" s="374">
        <v>312</v>
      </c>
      <c r="R137" s="461">
        <f t="shared" ref="R137:R138" si="111">Q126*$A$145/10000</f>
        <v>56069.084572800013</v>
      </c>
      <c r="S137" s="362">
        <f>Q137*E145/1000000</f>
        <v>56069.084572800013</v>
      </c>
      <c r="T137" s="705"/>
      <c r="U137" s="710"/>
      <c r="V137" s="672">
        <f>'TTV By Card'!$D$55</f>
        <v>13052807.560000001</v>
      </c>
      <c r="W137" s="291" t="str">
        <f t="shared" ref="W137:W141" si="112">W126</f>
        <v>EFTPOS</v>
      </c>
      <c r="X137" s="369">
        <v>4000</v>
      </c>
      <c r="Y137" s="370">
        <f t="shared" si="107"/>
        <v>13052807.560000001</v>
      </c>
      <c r="Z137" s="349">
        <f t="shared" ref="Z137:Z141" si="113">Y126*$V$25</f>
        <v>15918058</v>
      </c>
      <c r="AA137" s="319"/>
      <c r="AB137" s="430">
        <v>65</v>
      </c>
      <c r="AC137" s="348">
        <f t="shared" ref="AC137:AC141" si="114">AB126*V137/10000</f>
        <v>169686.49828</v>
      </c>
      <c r="AD137" s="350">
        <f t="shared" ref="AD137:AD141" si="115">AC126*Z137/10000</f>
        <v>103467.37699999999</v>
      </c>
      <c r="AE137" s="319"/>
      <c r="AF137" s="297">
        <v>25</v>
      </c>
      <c r="AG137" s="348">
        <f t="shared" ref="AG137:AG141" si="116">AF126*V137/10000</f>
        <v>32632.018899999999</v>
      </c>
      <c r="AH137" s="351">
        <f t="shared" ref="AH137:AH141" si="117">AG126*Y137/10000</f>
        <v>32632.018899999999</v>
      </c>
      <c r="AJ137" s="329" t="s">
        <v>118</v>
      </c>
      <c r="AK137" s="374">
        <v>99</v>
      </c>
      <c r="AL137" s="694">
        <f t="shared" ref="AL137:AL138" si="118">AK126*$Z$25/10000</f>
        <v>3891</v>
      </c>
      <c r="AM137" s="373">
        <f t="shared" ref="AM137:AM138" si="119">AL126*$Z$55/10000</f>
        <v>3939.7193549999997</v>
      </c>
    </row>
    <row r="138" spans="1:62" ht="21.95" customHeight="1" outlineLevel="1" thickBot="1" x14ac:dyDescent="0.3">
      <c r="A138" s="305">
        <f>D127*'Working Paper 3'!$D$15</f>
        <v>7287813.9641000004</v>
      </c>
      <c r="B138" s="305"/>
      <c r="C138" s="291" t="s">
        <v>4</v>
      </c>
      <c r="D138" s="292">
        <v>400</v>
      </c>
      <c r="E138" s="305">
        <f t="shared" si="108"/>
        <v>7287813.9641000004</v>
      </c>
      <c r="F138" s="305">
        <f t="shared" si="108"/>
        <v>7188344.1760000018</v>
      </c>
      <c r="H138" s="297">
        <v>165</v>
      </c>
      <c r="I138" s="448">
        <f t="shared" si="105"/>
        <v>104549.8989406953</v>
      </c>
      <c r="J138" s="306">
        <f t="shared" si="109"/>
        <v>118607.67890400001</v>
      </c>
      <c r="L138" s="297">
        <v>50</v>
      </c>
      <c r="M138" s="448">
        <f t="shared" si="106"/>
        <v>43898.925875452092</v>
      </c>
      <c r="N138" s="306">
        <f t="shared" si="110"/>
        <v>35941.720880000008</v>
      </c>
      <c r="P138" s="462" t="s">
        <v>119</v>
      </c>
      <c r="Q138" s="374">
        <v>502</v>
      </c>
      <c r="R138" s="461">
        <f t="shared" si="111"/>
        <v>90213.719408800011</v>
      </c>
      <c r="S138" s="362">
        <f>Q138*E145/1000000</f>
        <v>90213.719408800025</v>
      </c>
      <c r="T138" s="705"/>
      <c r="U138" s="710"/>
      <c r="V138" s="672">
        <f>'TTV By Card'!$E$55</f>
        <v>7163126.0999999996</v>
      </c>
      <c r="W138" s="291" t="str">
        <f t="shared" si="112"/>
        <v>Credit ViSa</v>
      </c>
      <c r="X138" s="369">
        <v>1000</v>
      </c>
      <c r="Y138" s="370">
        <f t="shared" si="107"/>
        <v>7163126.0999999996</v>
      </c>
      <c r="Z138" s="349">
        <f t="shared" si="113"/>
        <v>3979514.5</v>
      </c>
      <c r="AA138" s="319"/>
      <c r="AB138" s="430">
        <v>150</v>
      </c>
      <c r="AC138" s="348">
        <f t="shared" si="114"/>
        <v>87390.138419999988</v>
      </c>
      <c r="AD138" s="350">
        <f t="shared" si="115"/>
        <v>59692.717499999999</v>
      </c>
      <c r="AE138" s="319"/>
      <c r="AF138" s="297">
        <v>50</v>
      </c>
      <c r="AG138" s="348">
        <f t="shared" si="116"/>
        <v>51574.507919999996</v>
      </c>
      <c r="AH138" s="351">
        <f t="shared" si="117"/>
        <v>35815.630499999999</v>
      </c>
      <c r="AJ138" s="333" t="s">
        <v>119</v>
      </c>
      <c r="AK138" s="374">
        <v>951</v>
      </c>
      <c r="AL138" s="694">
        <f t="shared" si="118"/>
        <v>37764</v>
      </c>
      <c r="AM138" s="373">
        <f t="shared" si="119"/>
        <v>37845.182894999998</v>
      </c>
    </row>
    <row r="139" spans="1:62" ht="21.95" customHeight="1" outlineLevel="1" x14ac:dyDescent="0.25">
      <c r="A139" s="305">
        <f>D128*'Working Paper 3'!$D$15</f>
        <v>40539508.453100003</v>
      </c>
      <c r="B139" s="305"/>
      <c r="C139" s="291" t="s">
        <v>5</v>
      </c>
      <c r="D139" s="292">
        <v>2500</v>
      </c>
      <c r="E139" s="305">
        <f t="shared" si="108"/>
        <v>40539508.453100003</v>
      </c>
      <c r="F139" s="305">
        <f t="shared" si="108"/>
        <v>44927151.100000009</v>
      </c>
      <c r="H139" s="297">
        <v>65</v>
      </c>
      <c r="I139" s="448">
        <f t="shared" si="105"/>
        <v>580597.69872457779</v>
      </c>
      <c r="J139" s="306">
        <f t="shared" si="109"/>
        <v>292026.48215000005</v>
      </c>
      <c r="L139" s="297">
        <v>66</v>
      </c>
      <c r="M139" s="448">
        <f t="shared" si="106"/>
        <v>267268.66568152525</v>
      </c>
      <c r="N139" s="306">
        <f t="shared" si="110"/>
        <v>296519.19726000004</v>
      </c>
      <c r="P139" s="449"/>
      <c r="Q139" s="449"/>
      <c r="R139" s="449"/>
      <c r="S139" s="451"/>
      <c r="T139" s="449"/>
      <c r="U139" s="710"/>
      <c r="V139" s="672">
        <f>'TTV By Card'!$F$55</f>
        <v>7083535.8099999996</v>
      </c>
      <c r="W139" s="291" t="str">
        <f t="shared" si="112"/>
        <v>Credit MC</v>
      </c>
      <c r="X139" s="369">
        <v>1000</v>
      </c>
      <c r="Y139" s="370">
        <f t="shared" si="107"/>
        <v>7083535.8099999996</v>
      </c>
      <c r="Z139" s="349">
        <f t="shared" si="113"/>
        <v>3979514.5</v>
      </c>
      <c r="AA139" s="319"/>
      <c r="AB139" s="430">
        <v>152</v>
      </c>
      <c r="AC139" s="348">
        <f t="shared" si="114"/>
        <v>86419.136881999992</v>
      </c>
      <c r="AD139" s="350">
        <f t="shared" si="115"/>
        <v>60488.6204</v>
      </c>
      <c r="AE139" s="319"/>
      <c r="AF139" s="297">
        <v>50</v>
      </c>
      <c r="AG139" s="348">
        <f t="shared" si="116"/>
        <v>51001.457832</v>
      </c>
      <c r="AH139" s="351">
        <f t="shared" si="117"/>
        <v>35417.679049999999</v>
      </c>
      <c r="AJ139" s="319"/>
      <c r="AK139" s="319"/>
      <c r="AL139" s="319"/>
      <c r="AM139" s="246"/>
    </row>
    <row r="140" spans="1:62" ht="21.95" customHeight="1" outlineLevel="1" x14ac:dyDescent="0.25">
      <c r="A140" s="305">
        <f>D129*'Working Paper 3'!$D$15</f>
        <v>45740660.731100008</v>
      </c>
      <c r="B140" s="305"/>
      <c r="C140" s="291" t="s">
        <v>131</v>
      </c>
      <c r="D140" s="292">
        <v>1500</v>
      </c>
      <c r="E140" s="305">
        <f t="shared" si="108"/>
        <v>45740660.731100008</v>
      </c>
      <c r="F140" s="305">
        <f t="shared" si="108"/>
        <v>26956290.660000004</v>
      </c>
      <c r="H140" s="297">
        <v>165</v>
      </c>
      <c r="I140" s="448">
        <f t="shared" si="105"/>
        <v>680124.57773228828</v>
      </c>
      <c r="J140" s="306">
        <f t="shared" si="109"/>
        <v>444778.79589000007</v>
      </c>
      <c r="L140" s="297">
        <v>70</v>
      </c>
      <c r="M140" s="448">
        <f t="shared" si="106"/>
        <v>461378.41353253135</v>
      </c>
      <c r="N140" s="306">
        <f t="shared" si="110"/>
        <v>188694.03462000002</v>
      </c>
      <c r="P140" s="449"/>
      <c r="Q140" s="449"/>
      <c r="R140" s="449"/>
      <c r="S140" s="451"/>
      <c r="T140" s="449"/>
      <c r="U140" s="710"/>
      <c r="V140" s="672">
        <f>'TTV By Card'!$G$55</f>
        <v>5969271.75</v>
      </c>
      <c r="W140" s="291" t="str">
        <f t="shared" si="112"/>
        <v>Debit VISA</v>
      </c>
      <c r="X140" s="369">
        <v>1900</v>
      </c>
      <c r="Y140" s="370">
        <f t="shared" si="107"/>
        <v>5969271.75</v>
      </c>
      <c r="Z140" s="349">
        <f t="shared" si="113"/>
        <v>7561077.5499999998</v>
      </c>
      <c r="AA140" s="319"/>
      <c r="AB140" s="430">
        <v>65</v>
      </c>
      <c r="AC140" s="348">
        <f t="shared" si="114"/>
        <v>72825.115349999993</v>
      </c>
      <c r="AD140" s="350">
        <f t="shared" si="115"/>
        <v>49147.004074999997</v>
      </c>
      <c r="AE140" s="319"/>
      <c r="AF140" s="297">
        <v>72</v>
      </c>
      <c r="AG140" s="348">
        <f t="shared" si="116"/>
        <v>42978.756600000001</v>
      </c>
      <c r="AH140" s="351">
        <f t="shared" si="117"/>
        <v>42978.756600000001</v>
      </c>
      <c r="AJ140" s="319"/>
      <c r="AK140" s="320">
        <f>AL146/$Z$25*10000</f>
        <v>15.223967647309742</v>
      </c>
      <c r="AL140" s="695">
        <f>SUM(AL136:AL139)</f>
        <v>60584</v>
      </c>
      <c r="AM140" s="699">
        <f>SUM(AM136:AM138)</f>
        <v>60727.391269999993</v>
      </c>
    </row>
    <row r="141" spans="1:62" ht="21.95" customHeight="1" outlineLevel="1" x14ac:dyDescent="0.25">
      <c r="A141" s="305">
        <f>D130*'Working Paper 3'!$D$15</f>
        <v>10793277.364599999</v>
      </c>
      <c r="B141" s="305"/>
      <c r="C141" s="291" t="s">
        <v>7</v>
      </c>
      <c r="D141" s="292">
        <v>700</v>
      </c>
      <c r="E141" s="305">
        <f t="shared" si="108"/>
        <v>10793277.364599999</v>
      </c>
      <c r="F141" s="305">
        <f t="shared" si="108"/>
        <v>12579602.308000004</v>
      </c>
      <c r="H141" s="297">
        <v>65</v>
      </c>
      <c r="I141" s="448">
        <f t="shared" si="105"/>
        <v>154331.39576823387</v>
      </c>
      <c r="J141" s="306">
        <f t="shared" si="109"/>
        <v>81767.415002000023</v>
      </c>
      <c r="L141" s="297">
        <v>55</v>
      </c>
      <c r="M141" s="448">
        <f t="shared" si="106"/>
        <v>59265.10939296944</v>
      </c>
      <c r="N141" s="306">
        <f t="shared" si="110"/>
        <v>69187.812694000022</v>
      </c>
      <c r="P141" s="449"/>
      <c r="Q141" s="449"/>
      <c r="R141" s="449"/>
      <c r="S141" s="451"/>
      <c r="T141" s="449"/>
      <c r="U141" s="710"/>
      <c r="V141" s="672">
        <f>'TTV By Card'!$H$55</f>
        <v>5969271.75</v>
      </c>
      <c r="W141" s="291" t="str">
        <f t="shared" si="112"/>
        <v>Debit MC</v>
      </c>
      <c r="X141" s="369">
        <v>1960</v>
      </c>
      <c r="Y141" s="370">
        <f t="shared" si="107"/>
        <v>5969271.75</v>
      </c>
      <c r="Z141" s="349">
        <f t="shared" si="113"/>
        <v>7799848.4199999999</v>
      </c>
      <c r="AA141" s="319"/>
      <c r="AB141" s="430">
        <v>65</v>
      </c>
      <c r="AC141" s="348">
        <f t="shared" si="114"/>
        <v>72825.115349999993</v>
      </c>
      <c r="AD141" s="350">
        <f t="shared" si="115"/>
        <v>50699.014730000003</v>
      </c>
      <c r="AE141" s="319"/>
      <c r="AF141" s="297">
        <v>72</v>
      </c>
      <c r="AG141" s="348">
        <f t="shared" si="116"/>
        <v>42978.756600000001</v>
      </c>
      <c r="AH141" s="351">
        <f t="shared" si="117"/>
        <v>42978.756600000001</v>
      </c>
      <c r="AJ141" s="319"/>
      <c r="AK141" s="319"/>
      <c r="AL141" s="319"/>
      <c r="AM141" s="319"/>
    </row>
    <row r="142" spans="1:62" ht="21.95" customHeight="1" outlineLevel="1" x14ac:dyDescent="0.25">
      <c r="A142" s="305">
        <f>D131*'Working Paper 3'!$D$15</f>
        <v>4451948.2681000009</v>
      </c>
      <c r="B142" s="305"/>
      <c r="C142" s="291" t="s">
        <v>132</v>
      </c>
      <c r="D142" s="292">
        <v>200</v>
      </c>
      <c r="E142" s="305">
        <f t="shared" si="108"/>
        <v>4451948.2681000009</v>
      </c>
      <c r="F142" s="305">
        <f t="shared" si="108"/>
        <v>3594172.0880000009</v>
      </c>
      <c r="H142" s="297">
        <v>295</v>
      </c>
      <c r="I142" s="448">
        <f t="shared" si="105"/>
        <v>64756.682015925537</v>
      </c>
      <c r="J142" s="306">
        <f t="shared" si="109"/>
        <v>106028.07659600003</v>
      </c>
      <c r="L142" s="297">
        <v>260</v>
      </c>
      <c r="M142" s="448">
        <f t="shared" si="106"/>
        <v>130272.53126574784</v>
      </c>
      <c r="N142" s="306">
        <f t="shared" si="110"/>
        <v>93448.474288000027</v>
      </c>
      <c r="P142" s="449"/>
      <c r="Q142" s="449"/>
      <c r="R142" s="449"/>
      <c r="S142" s="451"/>
      <c r="T142" s="449"/>
      <c r="U142" s="710"/>
      <c r="W142" s="317"/>
      <c r="X142" s="660"/>
      <c r="Y142" s="667"/>
      <c r="Z142" s="668"/>
      <c r="AA142" s="319"/>
      <c r="AB142" s="320"/>
      <c r="AC142" s="668"/>
      <c r="AD142" s="668"/>
      <c r="AE142" s="319"/>
      <c r="AF142" s="320"/>
      <c r="AG142" s="668"/>
      <c r="AH142" s="669"/>
      <c r="AJ142" s="319"/>
      <c r="AK142" s="386">
        <v>100</v>
      </c>
      <c r="AL142" s="385">
        <f>AL130*1</f>
        <v>1</v>
      </c>
      <c r="AM142" s="246"/>
    </row>
    <row r="143" spans="1:62" ht="21.95" customHeight="1" outlineLevel="1" x14ac:dyDescent="0.25">
      <c r="A143" s="305">
        <f>D132*'Working Paper 3'!$D$15</f>
        <v>4187015.3468000004</v>
      </c>
      <c r="B143" s="305"/>
      <c r="C143" s="291" t="s">
        <v>133</v>
      </c>
      <c r="D143" s="292">
        <v>200</v>
      </c>
      <c r="E143" s="305">
        <f t="shared" si="108"/>
        <v>4187015.3468000004</v>
      </c>
      <c r="F143" s="305">
        <f t="shared" si="108"/>
        <v>3594172.0880000009</v>
      </c>
      <c r="H143" s="297">
        <v>295</v>
      </c>
      <c r="I143" s="448">
        <f t="shared" si="105"/>
        <v>58441.352359711338</v>
      </c>
      <c r="J143" s="306">
        <f t="shared" si="109"/>
        <v>106028.07659600003</v>
      </c>
      <c r="L143" s="297">
        <v>260</v>
      </c>
      <c r="M143" s="448">
        <f t="shared" si="106"/>
        <v>119459.93491701665</v>
      </c>
      <c r="N143" s="306">
        <f t="shared" si="110"/>
        <v>93448.474288000027</v>
      </c>
      <c r="P143" s="449"/>
      <c r="Q143" s="449"/>
      <c r="R143" s="449"/>
      <c r="S143" s="451"/>
      <c r="T143" s="449"/>
      <c r="U143" s="710"/>
      <c r="W143" s="317"/>
      <c r="X143" s="660"/>
      <c r="Y143" s="667"/>
      <c r="Z143" s="668"/>
      <c r="AA143" s="319"/>
      <c r="AB143" s="320"/>
      <c r="AC143" s="668"/>
      <c r="AD143" s="668"/>
      <c r="AE143" s="319"/>
      <c r="AF143" s="320"/>
      <c r="AG143" s="668"/>
      <c r="AH143" s="669"/>
      <c r="AJ143" s="319"/>
      <c r="AK143" s="319"/>
      <c r="AL143" s="372">
        <v>18929</v>
      </c>
      <c r="AM143" s="246"/>
    </row>
    <row r="144" spans="1:62" ht="21.95" customHeight="1" outlineLevel="1" x14ac:dyDescent="0.25">
      <c r="D144" s="291"/>
      <c r="H144" s="297"/>
      <c r="P144" s="449"/>
      <c r="Q144" s="449"/>
      <c r="R144" s="449"/>
      <c r="S144" s="449"/>
      <c r="T144" s="449"/>
      <c r="U144" s="710"/>
      <c r="W144"/>
      <c r="X144" s="291"/>
      <c r="AA144" s="319"/>
      <c r="AE144" s="319"/>
      <c r="AJ144" s="319"/>
      <c r="AK144" s="319"/>
      <c r="AL144" s="372">
        <v>3891</v>
      </c>
      <c r="AM144" s="319"/>
    </row>
    <row r="145" spans="1:62" ht="21.95" customHeight="1" outlineLevel="1" x14ac:dyDescent="0.25">
      <c r="A145" s="71">
        <f>SUM(A136:A144)</f>
        <v>179708604.40000004</v>
      </c>
      <c r="B145" s="71"/>
      <c r="D145" s="308">
        <f>SUM(D136:D144)</f>
        <v>10000</v>
      </c>
      <c r="E145" s="71">
        <f>SUM(E136:E143)</f>
        <v>179708604.40000004</v>
      </c>
      <c r="F145" s="71">
        <f>SUM(F136:F143)</f>
        <v>179708604.40000004</v>
      </c>
      <c r="H145" s="297">
        <f>J145/E145*10000</f>
        <v>98.899999999999991</v>
      </c>
      <c r="I145" s="71">
        <f>SUM(I136:I144)</f>
        <v>2607524.6385163465</v>
      </c>
      <c r="J145" s="71">
        <f>SUM(J136:J144)</f>
        <v>1777318.0975160003</v>
      </c>
      <c r="L145" s="297">
        <f>N145/E145*10000</f>
        <v>62.95</v>
      </c>
      <c r="M145" s="149">
        <f>SUM(M136:M144)</f>
        <v>1400759.8363022131</v>
      </c>
      <c r="N145" s="71">
        <f>SUM(N136:N144)</f>
        <v>1131265.6646980003</v>
      </c>
      <c r="O145" s="320"/>
      <c r="P145" s="454"/>
      <c r="Q145" s="454">
        <f>R145/A145*10000</f>
        <v>18.79</v>
      </c>
      <c r="R145" s="456">
        <f>SUM(R136:R144)</f>
        <v>337672.46766760008</v>
      </c>
      <c r="S145" s="456">
        <f>SUM(S136:S143)</f>
        <v>337852.17627200007</v>
      </c>
      <c r="T145" s="706"/>
      <c r="V145" s="672">
        <f>SUM(V136:V144)</f>
        <v>39795145</v>
      </c>
      <c r="W145" s="343"/>
      <c r="X145" s="344">
        <f>SUM(X136:X144)</f>
        <v>10000</v>
      </c>
      <c r="Y145" s="681">
        <f>SUM(Y136:Y143)</f>
        <v>39795145</v>
      </c>
      <c r="Z145" s="685">
        <f>SUM(Z136:Z143)</f>
        <v>39795145</v>
      </c>
      <c r="AA145" s="319"/>
      <c r="AB145" s="320">
        <f>AC145/Y145*10000</f>
        <v>124.77799999999998</v>
      </c>
      <c r="AC145" s="681">
        <f>SUM(AC136:AC144)</f>
        <v>496555.86028099991</v>
      </c>
      <c r="AD145" s="342">
        <f>SUM(AD136:AD144)</f>
        <v>331851.71415499999</v>
      </c>
      <c r="AE145" s="343"/>
      <c r="AF145" s="320">
        <f>AG145/Z145*10000</f>
        <v>57.815999999999995</v>
      </c>
      <c r="AG145" s="672">
        <f>SUM(AG136:AG144)</f>
        <v>230079.61033199998</v>
      </c>
      <c r="AH145" s="697">
        <f>SUM(AH136:AH144)</f>
        <v>198736.95413</v>
      </c>
      <c r="AJ145" s="345"/>
      <c r="AK145" s="319"/>
      <c r="AL145" s="372">
        <v>37764</v>
      </c>
      <c r="AM145" s="319"/>
    </row>
    <row r="146" spans="1:62" ht="21.95" customHeight="1" outlineLevel="1" collapsed="1" x14ac:dyDescent="0.25">
      <c r="N146" s="149">
        <f>J145-N145</f>
        <v>646052.43281799997</v>
      </c>
      <c r="V146" s="695"/>
      <c r="AJ146" s="319"/>
      <c r="AK146" s="319"/>
      <c r="AL146" s="377">
        <f>SUM(AL143:AL145)</f>
        <v>60584</v>
      </c>
      <c r="AM146" s="319"/>
    </row>
    <row r="147" spans="1:62" ht="21.95" customHeight="1" outlineLevel="1" x14ac:dyDescent="0.25"/>
    <row r="148" spans="1:62" ht="3" customHeight="1" outlineLevel="1" x14ac:dyDescent="0.25">
      <c r="B148" s="710"/>
      <c r="C148" s="710"/>
      <c r="D148" s="710"/>
      <c r="E148" s="710"/>
      <c r="F148" s="710"/>
      <c r="G148" s="710"/>
      <c r="H148" s="710"/>
      <c r="I148" s="710"/>
      <c r="J148" s="710"/>
      <c r="K148" s="710"/>
      <c r="L148" s="710"/>
      <c r="M148" s="710"/>
      <c r="N148" s="710"/>
      <c r="O148" s="710"/>
      <c r="P148" s="710"/>
      <c r="Q148" s="710"/>
      <c r="R148" s="710"/>
      <c r="S148" s="710"/>
      <c r="T148" s="710"/>
      <c r="U148" s="710"/>
      <c r="V148" s="710"/>
      <c r="W148" s="710"/>
      <c r="X148" s="710"/>
      <c r="Y148" s="710"/>
      <c r="Z148" s="710"/>
      <c r="AA148" s="710"/>
      <c r="AB148" s="710"/>
      <c r="AC148" s="710"/>
      <c r="AD148" s="710"/>
      <c r="AE148" s="710"/>
      <c r="AF148" s="710"/>
      <c r="AG148" s="710"/>
      <c r="AH148" s="710"/>
      <c r="AI148" s="710"/>
      <c r="AJ148" s="710"/>
      <c r="AK148" s="710"/>
      <c r="AL148" s="710"/>
      <c r="AM148" s="710"/>
    </row>
    <row r="151" spans="1:62" ht="21.95" customHeight="1" outlineLevel="1" x14ac:dyDescent="0.35">
      <c r="D151" s="465" t="s">
        <v>145</v>
      </c>
      <c r="F151" s="892" t="s">
        <v>146</v>
      </c>
      <c r="G151" s="893"/>
      <c r="H151" s="893"/>
      <c r="I151" s="893"/>
      <c r="J151" s="893"/>
      <c r="K151" s="893"/>
      <c r="L151" s="893"/>
      <c r="M151" s="893"/>
      <c r="N151" s="893"/>
      <c r="X151" s="465" t="s">
        <v>145</v>
      </c>
    </row>
    <row r="152" spans="1:62" ht="21.95" customHeight="1" outlineLevel="1" thickBot="1" x14ac:dyDescent="0.3">
      <c r="A152" s="291"/>
      <c r="B152" s="291"/>
      <c r="C152" s="291"/>
      <c r="D152" s="291"/>
      <c r="E152" s="291"/>
      <c r="F152" s="291"/>
      <c r="G152" s="317"/>
      <c r="H152" s="882" t="s">
        <v>102</v>
      </c>
      <c r="I152" s="882"/>
      <c r="J152" s="882"/>
      <c r="K152" s="317"/>
      <c r="L152" s="291"/>
      <c r="M152" s="291"/>
      <c r="N152" s="291"/>
      <c r="O152" s="317"/>
      <c r="P152" s="317"/>
      <c r="Q152" s="317"/>
      <c r="R152" s="317"/>
      <c r="S152" s="317"/>
      <c r="T152" s="317"/>
      <c r="U152" s="317"/>
      <c r="V152" s="317"/>
      <c r="W152" s="317"/>
      <c r="X152" s="291"/>
      <c r="Y152" s="291"/>
      <c r="Z152" s="291"/>
      <c r="AA152" s="291"/>
      <c r="AB152" s="882" t="s">
        <v>103</v>
      </c>
      <c r="AC152" s="882"/>
      <c r="AD152" s="882"/>
    </row>
    <row r="153" spans="1:62" ht="21.95" customHeight="1" outlineLevel="1" thickBot="1" x14ac:dyDescent="0.3">
      <c r="A153" s="291"/>
      <c r="B153" s="291"/>
      <c r="C153" s="291"/>
      <c r="D153" s="883" t="s">
        <v>104</v>
      </c>
      <c r="E153" s="884"/>
      <c r="F153" s="885"/>
      <c r="G153" s="323"/>
      <c r="H153" s="873" t="s">
        <v>105</v>
      </c>
      <c r="I153" s="874"/>
      <c r="J153" s="875"/>
      <c r="K153" s="323"/>
      <c r="L153" s="876" t="s">
        <v>106</v>
      </c>
      <c r="M153" s="877"/>
      <c r="N153" s="878"/>
      <c r="O153" s="323"/>
      <c r="P153" s="323"/>
      <c r="Q153" s="879" t="s">
        <v>107</v>
      </c>
      <c r="R153" s="880"/>
      <c r="S153" s="881"/>
      <c r="T153" s="323"/>
      <c r="V153" s="323"/>
      <c r="W153" s="291"/>
      <c r="X153" s="883" t="s">
        <v>104</v>
      </c>
      <c r="Y153" s="884"/>
      <c r="Z153" s="885"/>
      <c r="AA153" s="323"/>
      <c r="AB153" s="873" t="s">
        <v>105</v>
      </c>
      <c r="AC153" s="874"/>
      <c r="AD153" s="875"/>
      <c r="AE153" s="323"/>
      <c r="AF153" s="876" t="s">
        <v>106</v>
      </c>
      <c r="AG153" s="877"/>
      <c r="AH153" s="878"/>
      <c r="AI153" s="291"/>
      <c r="AJ153" s="323"/>
      <c r="AK153" s="879" t="s">
        <v>107</v>
      </c>
      <c r="AL153" s="880"/>
      <c r="AM153" s="881"/>
      <c r="AP153" s="291"/>
      <c r="AR153" s="321"/>
      <c r="AS153" s="845" t="s">
        <v>108</v>
      </c>
      <c r="AT153" s="846"/>
      <c r="AU153" s="847"/>
      <c r="AV153" s="851" t="s">
        <v>1</v>
      </c>
      <c r="AW153" s="851"/>
      <c r="AX153" s="852"/>
      <c r="AY153" s="853" t="s">
        <v>140</v>
      </c>
      <c r="AZ153" s="851"/>
      <c r="BA153" s="852"/>
      <c r="BB153" s="853" t="s">
        <v>110</v>
      </c>
      <c r="BC153" s="851"/>
      <c r="BD153" s="855"/>
      <c r="BE153" s="857" t="s">
        <v>111</v>
      </c>
      <c r="BF153" s="857"/>
      <c r="BG153" s="858"/>
      <c r="BH153" s="860" t="s">
        <v>112</v>
      </c>
      <c r="BI153" s="861"/>
      <c r="BJ153" s="862"/>
    </row>
    <row r="154" spans="1:62" ht="21.95" customHeight="1" outlineLevel="1" thickBot="1" x14ac:dyDescent="0.3">
      <c r="A154" s="291"/>
      <c r="B154" s="291"/>
      <c r="C154" s="291"/>
      <c r="D154" s="325" t="s">
        <v>113</v>
      </c>
      <c r="E154" s="883" t="s">
        <v>114</v>
      </c>
      <c r="F154" s="890"/>
      <c r="G154" s="322"/>
      <c r="H154" s="302" t="s">
        <v>113</v>
      </c>
      <c r="I154" s="873" t="s">
        <v>115</v>
      </c>
      <c r="J154" s="891"/>
      <c r="K154" s="322"/>
      <c r="L154" s="302" t="s">
        <v>113</v>
      </c>
      <c r="M154" s="876" t="s">
        <v>115</v>
      </c>
      <c r="N154" s="886"/>
      <c r="O154" s="322"/>
      <c r="P154" s="322"/>
      <c r="Q154" s="328" t="s">
        <v>113</v>
      </c>
      <c r="R154" s="871" t="s">
        <v>115</v>
      </c>
      <c r="S154" s="872"/>
      <c r="T154" s="322"/>
      <c r="V154" s="322"/>
      <c r="W154" s="291"/>
      <c r="X154" s="664" t="s">
        <v>113</v>
      </c>
      <c r="Y154" s="865" t="s">
        <v>114</v>
      </c>
      <c r="Z154" s="866"/>
      <c r="AA154" s="322"/>
      <c r="AB154" s="328" t="s">
        <v>113</v>
      </c>
      <c r="AC154" s="867" t="s">
        <v>115</v>
      </c>
      <c r="AD154" s="868"/>
      <c r="AE154" s="322"/>
      <c r="AF154" s="328" t="s">
        <v>113</v>
      </c>
      <c r="AG154" s="869" t="s">
        <v>115</v>
      </c>
      <c r="AH154" s="870"/>
      <c r="AI154" s="291"/>
      <c r="AJ154" s="322"/>
      <c r="AK154" s="328" t="s">
        <v>113</v>
      </c>
      <c r="AL154" s="871" t="s">
        <v>115</v>
      </c>
      <c r="AM154" s="872"/>
      <c r="AP154" s="291"/>
      <c r="AR154" s="322"/>
      <c r="AS154" s="848"/>
      <c r="AT154" s="849"/>
      <c r="AU154" s="850"/>
      <c r="AV154" s="849"/>
      <c r="AW154" s="849"/>
      <c r="AX154" s="849"/>
      <c r="AY154" s="854"/>
      <c r="AZ154" s="849"/>
      <c r="BA154" s="849"/>
      <c r="BB154" s="854"/>
      <c r="BC154" s="849"/>
      <c r="BD154" s="856"/>
      <c r="BE154" s="859"/>
      <c r="BF154" s="859"/>
      <c r="BG154" s="859"/>
      <c r="BH154" s="863"/>
      <c r="BI154" s="864"/>
      <c r="BJ154" s="864"/>
    </row>
    <row r="155" spans="1:62" ht="60.95" customHeight="1" outlineLevel="1" thickBot="1" x14ac:dyDescent="0.3">
      <c r="A155" s="291"/>
      <c r="B155" s="291"/>
      <c r="C155" s="301" t="s">
        <v>130</v>
      </c>
      <c r="D155" s="309">
        <f>'Working Paper 3'!$C$6</f>
        <v>5.0504809882102659E-2</v>
      </c>
      <c r="E155" s="295">
        <f t="shared" ref="E155:E162" si="120">D166/10000</f>
        <v>0.05</v>
      </c>
      <c r="F155" s="293"/>
      <c r="G155" s="324"/>
      <c r="H155" s="298">
        <f>'Working Paper 3'!$E$6</f>
        <v>154.93914051185246</v>
      </c>
      <c r="I155" s="299">
        <f>H166</f>
        <v>179</v>
      </c>
      <c r="J155" s="294"/>
      <c r="K155" s="317"/>
      <c r="L155" s="298">
        <f>'Working Paper 3'!$G$6</f>
        <v>169.71789116032431</v>
      </c>
      <c r="M155" s="300">
        <f>L166</f>
        <v>170</v>
      </c>
      <c r="N155" s="294"/>
      <c r="O155" s="317"/>
      <c r="P155" s="329" t="s">
        <v>116</v>
      </c>
      <c r="Q155" s="334">
        <v>10.65</v>
      </c>
      <c r="R155" s="352">
        <f>Q166/100</f>
        <v>10.66</v>
      </c>
      <c r="S155" s="330"/>
      <c r="T155" s="317"/>
      <c r="V155" s="317"/>
      <c r="W155" s="301" t="str">
        <f>'Working Paper 3'!$B$6</f>
        <v>Amex</v>
      </c>
      <c r="X155" s="309">
        <f>V166/$V$145</f>
        <v>1.4E-2</v>
      </c>
      <c r="Y155" s="295">
        <f t="shared" ref="Y155:Y160" si="121">X166/10000</f>
        <v>1.4E-2</v>
      </c>
      <c r="Z155" s="293"/>
      <c r="AA155" s="665"/>
      <c r="AB155" s="298">
        <v>133</v>
      </c>
      <c r="AC155" s="299">
        <f>AB166</f>
        <v>150</v>
      </c>
      <c r="AD155" s="294"/>
      <c r="AE155" s="666"/>
      <c r="AF155" s="298">
        <v>160</v>
      </c>
      <c r="AG155" s="300">
        <f>AF166</f>
        <v>163</v>
      </c>
      <c r="AH155" s="294"/>
      <c r="AI155" s="291"/>
      <c r="AJ155" s="329" t="s">
        <v>116</v>
      </c>
      <c r="AK155" s="334">
        <f>AL173/$Z$25*10000</f>
        <v>4.756610385513107</v>
      </c>
      <c r="AL155" s="352">
        <f>AK166/100</f>
        <v>4.76</v>
      </c>
      <c r="AM155" s="330"/>
      <c r="AP155" s="291"/>
      <c r="AR155" s="825" t="s">
        <v>113</v>
      </c>
      <c r="AS155" s="827">
        <f>+I175+AC175</f>
        <v>3104080.4987973464</v>
      </c>
      <c r="AT155" s="828"/>
      <c r="AU155" s="829"/>
      <c r="AV155" s="830">
        <f>AG175+M175</f>
        <v>1630839.4466342132</v>
      </c>
      <c r="AW155" s="828"/>
      <c r="AX155" s="829"/>
      <c r="AY155" s="830">
        <f>AS155-AV155</f>
        <v>1473241.0521631332</v>
      </c>
      <c r="AZ155" s="828"/>
      <c r="BA155" s="829"/>
      <c r="BB155" s="831">
        <f>'Working Paper 3'!$J$15/'Working Paper 3'!$F$15</f>
        <v>0.46280092022477287</v>
      </c>
      <c r="BC155" s="828"/>
      <c r="BD155" s="832"/>
      <c r="BE155" s="827">
        <f>AL170+R175</f>
        <v>398256.46766760008</v>
      </c>
      <c r="BF155" s="828"/>
      <c r="BG155" s="828"/>
      <c r="BH155" s="833">
        <f>AY155-BE155</f>
        <v>1074984.584495533</v>
      </c>
      <c r="BI155" s="828"/>
      <c r="BJ155" s="832"/>
    </row>
    <row r="156" spans="1:62" ht="60.95" customHeight="1" outlineLevel="1" thickBot="1" x14ac:dyDescent="0.3">
      <c r="A156" s="291"/>
      <c r="B156" s="291"/>
      <c r="C156" s="301" t="s">
        <v>3</v>
      </c>
      <c r="D156" s="309">
        <f>'Working Paper 3'!$C$7</f>
        <v>0.3206982301443993</v>
      </c>
      <c r="E156" s="295">
        <f t="shared" si="120"/>
        <v>0.4</v>
      </c>
      <c r="F156" s="294"/>
      <c r="G156" s="317"/>
      <c r="H156" s="298">
        <f>'Working Paper 3'!$E$7</f>
        <v>142.99254815956868</v>
      </c>
      <c r="I156" s="299">
        <f t="shared" ref="I156:I162" si="122">H167</f>
        <v>65</v>
      </c>
      <c r="J156" s="294"/>
      <c r="K156" s="317"/>
      <c r="L156" s="298">
        <f>'Working Paper 3'!$G$7</f>
        <v>28.660658557912612</v>
      </c>
      <c r="M156" s="300">
        <f t="shared" ref="M156:M162" si="123">L167</f>
        <v>28</v>
      </c>
      <c r="N156" s="294"/>
      <c r="O156" s="317"/>
      <c r="P156" s="329" t="s">
        <v>118</v>
      </c>
      <c r="Q156" s="334">
        <v>3.12</v>
      </c>
      <c r="R156" s="352">
        <f>Q167/100</f>
        <v>3.12</v>
      </c>
      <c r="S156" s="330"/>
      <c r="T156" s="317"/>
      <c r="V156" s="317"/>
      <c r="W156" s="301" t="str">
        <f>'Working Paper 3'!$B$7</f>
        <v>EFTPOS</v>
      </c>
      <c r="X156" s="309">
        <f t="shared" ref="X156:X160" si="124">V167/$V$145</f>
        <v>0.32800000000000001</v>
      </c>
      <c r="Y156" s="295">
        <f t="shared" si="121"/>
        <v>0.4</v>
      </c>
      <c r="Z156" s="294"/>
      <c r="AA156" s="317"/>
      <c r="AB156" s="298">
        <v>130</v>
      </c>
      <c r="AC156" s="299">
        <f t="shared" ref="AC156:AC160" si="125">AB167</f>
        <v>65</v>
      </c>
      <c r="AD156" s="294"/>
      <c r="AE156" s="317"/>
      <c r="AF156" s="298">
        <v>25</v>
      </c>
      <c r="AG156" s="300">
        <f t="shared" ref="AG156:AG160" si="126">AF167</f>
        <v>25</v>
      </c>
      <c r="AH156" s="294"/>
      <c r="AI156" s="291"/>
      <c r="AJ156" s="329" t="s">
        <v>118</v>
      </c>
      <c r="AK156" s="334">
        <f t="shared" ref="AK156:AK157" si="127">AL174/$Z$25*10000</f>
        <v>0.97775746262515195</v>
      </c>
      <c r="AL156" s="352">
        <f>AK167/100</f>
        <v>0.98</v>
      </c>
      <c r="AM156" s="330"/>
      <c r="AP156" s="291"/>
      <c r="AR156" s="826"/>
      <c r="AS156" s="834">
        <f>AS155/(Y175+A175)*10000</f>
        <v>141.41355249202618</v>
      </c>
      <c r="AT156" s="835"/>
      <c r="AU156" s="836"/>
      <c r="AV156" s="837">
        <f>AV155/(Y175+A175)*10000</f>
        <v>74.296655573857493</v>
      </c>
      <c r="AW156" s="835"/>
      <c r="AX156" s="836"/>
      <c r="AY156" s="837">
        <f>AS156-AV156</f>
        <v>67.116896918168692</v>
      </c>
      <c r="AZ156" s="838"/>
      <c r="BA156" s="839"/>
      <c r="BB156" s="840"/>
      <c r="BC156" s="841"/>
      <c r="BD156" s="842"/>
      <c r="BE156" s="843">
        <f>Q158</f>
        <v>18.79</v>
      </c>
      <c r="BF156" s="835"/>
      <c r="BG156" s="836"/>
      <c r="BH156" s="837">
        <f>AY156-BE156</f>
        <v>48.326896918168693</v>
      </c>
      <c r="BI156" s="835"/>
      <c r="BJ156" s="844"/>
    </row>
    <row r="157" spans="1:62" ht="60.95" customHeight="1" outlineLevel="1" thickBot="1" x14ac:dyDescent="0.3">
      <c r="A157" s="291"/>
      <c r="B157" s="291"/>
      <c r="C157" s="301" t="s">
        <v>4</v>
      </c>
      <c r="D157" s="309">
        <f>'Working Paper 3'!$C$8</f>
        <v>4.0553505985047866E-2</v>
      </c>
      <c r="E157" s="295">
        <f t="shared" si="120"/>
        <v>0.04</v>
      </c>
      <c r="F157" s="326"/>
      <c r="G157" s="317"/>
      <c r="H157" s="298">
        <f>'Working Paper 3'!$E$8</f>
        <v>143.45851781578313</v>
      </c>
      <c r="I157" s="299">
        <f t="shared" si="122"/>
        <v>165</v>
      </c>
      <c r="J157" s="294"/>
      <c r="K157" s="317"/>
      <c r="L157" s="298">
        <f>'Working Paper 3'!$G$8</f>
        <v>60.236068170372583</v>
      </c>
      <c r="M157" s="300">
        <f t="shared" si="123"/>
        <v>50</v>
      </c>
      <c r="N157" s="294"/>
      <c r="O157" s="317"/>
      <c r="P157" s="331" t="s">
        <v>119</v>
      </c>
      <c r="Q157" s="334">
        <v>5.0199999999999996</v>
      </c>
      <c r="R157" s="352">
        <f>Q168/100</f>
        <v>5.0199999999999996</v>
      </c>
      <c r="S157" s="330"/>
      <c r="T157" s="317"/>
      <c r="V157" s="317"/>
      <c r="W157" s="301" t="s">
        <v>120</v>
      </c>
      <c r="X157" s="309">
        <f t="shared" si="124"/>
        <v>0.18</v>
      </c>
      <c r="Y157" s="295">
        <f t="shared" si="121"/>
        <v>0.1</v>
      </c>
      <c r="Z157" s="294"/>
      <c r="AA157" s="317"/>
      <c r="AB157" s="298">
        <v>122</v>
      </c>
      <c r="AC157" s="299">
        <f t="shared" si="125"/>
        <v>150</v>
      </c>
      <c r="AD157" s="294"/>
      <c r="AE157" s="317"/>
      <c r="AF157" s="298">
        <v>72</v>
      </c>
      <c r="AG157" s="300">
        <f t="shared" si="126"/>
        <v>50</v>
      </c>
      <c r="AH157" s="294"/>
      <c r="AI157" s="291"/>
      <c r="AJ157" s="331" t="s">
        <v>119</v>
      </c>
      <c r="AK157" s="334">
        <f t="shared" si="127"/>
        <v>9.4895997991714811</v>
      </c>
      <c r="AL157" s="352">
        <f>AK168/100</f>
        <v>9.49</v>
      </c>
      <c r="AM157" s="330"/>
      <c r="AP157" s="291"/>
      <c r="AR157" s="810" t="s">
        <v>141</v>
      </c>
      <c r="AS157" s="812">
        <f>(J175+AD175)*R161</f>
        <v>1792794.3399203504</v>
      </c>
      <c r="AT157" s="788"/>
      <c r="AU157" s="789"/>
      <c r="AV157" s="813">
        <f>(AH175+N175)*R161</f>
        <v>1130644.29467145</v>
      </c>
      <c r="AW157" s="788"/>
      <c r="AX157" s="789"/>
      <c r="AY157" s="813">
        <f>AS157-AV157</f>
        <v>662150.04524890031</v>
      </c>
      <c r="AZ157" s="788"/>
      <c r="BA157" s="789"/>
      <c r="BB157" s="814">
        <f>AY157/J175</f>
        <v>0.37255573224305127</v>
      </c>
      <c r="BC157" s="788"/>
      <c r="BD157" s="797"/>
      <c r="BE157" s="812">
        <f>(AM170+S175)*R161</f>
        <v>338691.15479095007</v>
      </c>
      <c r="BF157" s="788"/>
      <c r="BG157" s="788"/>
      <c r="BH157" s="815">
        <f>AY157-BE157</f>
        <v>323458.89045795024</v>
      </c>
      <c r="BI157" s="788"/>
      <c r="BJ157" s="797"/>
    </row>
    <row r="158" spans="1:62" ht="60.95" customHeight="1" outlineLevel="1" thickBot="1" x14ac:dyDescent="0.3">
      <c r="A158" s="291"/>
      <c r="B158" s="291"/>
      <c r="C158" s="301" t="s">
        <v>5</v>
      </c>
      <c r="D158" s="309">
        <f>'Working Paper 3'!$C$9</f>
        <v>0.22558468242770457</v>
      </c>
      <c r="E158" s="295">
        <f t="shared" si="120"/>
        <v>0.25</v>
      </c>
      <c r="F158" s="294"/>
      <c r="G158" s="317"/>
      <c r="H158" s="298">
        <f>'Working Paper 3'!$E$9</f>
        <v>143.21774507854948</v>
      </c>
      <c r="I158" s="299">
        <f t="shared" si="122"/>
        <v>65</v>
      </c>
      <c r="J158" s="294"/>
      <c r="K158" s="317"/>
      <c r="L158" s="298">
        <f>'Working Paper 3'!$G$9</f>
        <v>65.927949272184037</v>
      </c>
      <c r="M158" s="300">
        <f t="shared" si="123"/>
        <v>66</v>
      </c>
      <c r="N158" s="294"/>
      <c r="O158" s="317"/>
      <c r="P158" s="340"/>
      <c r="Q158" s="332">
        <f>R175/A175*10000</f>
        <v>18.79</v>
      </c>
      <c r="R158" s="339">
        <f>S175/A175*10000</f>
        <v>18.8</v>
      </c>
      <c r="S158" s="336"/>
      <c r="T158" s="317"/>
      <c r="V158" s="317"/>
      <c r="W158" s="301" t="s">
        <v>122</v>
      </c>
      <c r="X158" s="309">
        <f t="shared" si="124"/>
        <v>0.17799999999999999</v>
      </c>
      <c r="Y158" s="295">
        <f t="shared" si="121"/>
        <v>0.1</v>
      </c>
      <c r="Z158" s="294"/>
      <c r="AA158" s="317"/>
      <c r="AB158" s="298">
        <v>122</v>
      </c>
      <c r="AC158" s="299">
        <f t="shared" si="125"/>
        <v>152</v>
      </c>
      <c r="AD158" s="294"/>
      <c r="AE158" s="317"/>
      <c r="AF158" s="298">
        <v>72</v>
      </c>
      <c r="AG158" s="300">
        <f t="shared" si="126"/>
        <v>50</v>
      </c>
      <c r="AH158" s="294"/>
      <c r="AI158" s="291"/>
      <c r="AJ158" s="340"/>
      <c r="AK158" s="335"/>
      <c r="AL158" s="317"/>
      <c r="AM158" s="336"/>
      <c r="AP158" s="291"/>
      <c r="AR158" s="811"/>
      <c r="AS158" s="816">
        <f>AS157/(Y175+A175)*10000</f>
        <v>81.67488458948165</v>
      </c>
      <c r="AT158" s="817"/>
      <c r="AU158" s="818"/>
      <c r="AV158" s="819">
        <f>AV157/(Y175+A175)*10000</f>
        <v>51.50911079022552</v>
      </c>
      <c r="AW158" s="817"/>
      <c r="AX158" s="818"/>
      <c r="AY158" s="819">
        <f>AS158-AV158</f>
        <v>30.165773799256129</v>
      </c>
      <c r="AZ158" s="817"/>
      <c r="BA158" s="817"/>
      <c r="BB158" s="820"/>
      <c r="BC158" s="821"/>
      <c r="BD158" s="822"/>
      <c r="BE158" s="823">
        <f>R158*R161</f>
        <v>15.98</v>
      </c>
      <c r="BF158" s="817"/>
      <c r="BG158" s="817"/>
      <c r="BH158" s="819">
        <f>AY158-BE158</f>
        <v>14.185773799256129</v>
      </c>
      <c r="BI158" s="817"/>
      <c r="BJ158" s="824"/>
    </row>
    <row r="159" spans="1:62" ht="60.95" customHeight="1" outlineLevel="1" thickBot="1" x14ac:dyDescent="0.3">
      <c r="A159" s="291"/>
      <c r="B159" s="291"/>
      <c r="C159" s="301" t="s">
        <v>131</v>
      </c>
      <c r="D159" s="309">
        <f>'Working Paper 3'!$C$10</f>
        <v>0.25452682626864803</v>
      </c>
      <c r="E159" s="295">
        <f t="shared" si="120"/>
        <v>0.15</v>
      </c>
      <c r="F159" s="294"/>
      <c r="G159" s="317"/>
      <c r="H159" s="298">
        <f>'Working Paper 3'!$E$10</f>
        <v>148.69146331982427</v>
      </c>
      <c r="I159" s="299">
        <f t="shared" si="122"/>
        <v>165</v>
      </c>
      <c r="J159" s="294"/>
      <c r="K159" s="317"/>
      <c r="L159" s="298">
        <f>'Working Paper 3'!$G$10</f>
        <v>100.86833162399658</v>
      </c>
      <c r="M159" s="300">
        <f t="shared" si="123"/>
        <v>70</v>
      </c>
      <c r="N159" s="294"/>
      <c r="O159" s="317"/>
      <c r="P159" s="340"/>
      <c r="S159" s="336"/>
      <c r="T159" s="317"/>
      <c r="V159" s="317"/>
      <c r="W159" s="301" t="s">
        <v>50</v>
      </c>
      <c r="X159" s="309">
        <f t="shared" si="124"/>
        <v>0.15</v>
      </c>
      <c r="Y159" s="295">
        <f t="shared" si="121"/>
        <v>0.19</v>
      </c>
      <c r="Z159" s="294"/>
      <c r="AA159" s="317"/>
      <c r="AB159" s="298">
        <v>122</v>
      </c>
      <c r="AC159" s="299">
        <f t="shared" si="125"/>
        <v>65</v>
      </c>
      <c r="AD159" s="294"/>
      <c r="AE159" s="317"/>
      <c r="AF159" s="298">
        <v>72</v>
      </c>
      <c r="AG159" s="300">
        <f t="shared" si="126"/>
        <v>72</v>
      </c>
      <c r="AH159" s="294"/>
      <c r="AI159" s="291"/>
      <c r="AJ159" s="340"/>
      <c r="AK159" s="887" t="s">
        <v>123</v>
      </c>
      <c r="AL159" s="888"/>
      <c r="AM159" s="889"/>
      <c r="AP159" s="291"/>
      <c r="AR159" s="424" t="s">
        <v>124</v>
      </c>
      <c r="AS159" s="787">
        <f t="shared" ref="AS159:AS160" si="128">AS155-AS157</f>
        <v>1311286.158876996</v>
      </c>
      <c r="AT159" s="788"/>
      <c r="AU159" s="789"/>
      <c r="AV159" s="790">
        <f t="shared" ref="AV159:AV160" si="129">AV155-AV157</f>
        <v>500195.15196276316</v>
      </c>
      <c r="AW159" s="791"/>
      <c r="AX159" s="792"/>
      <c r="AY159" s="793">
        <f t="shared" ref="AY159:AY160" si="130">AY155-AY157</f>
        <v>811091.00691423286</v>
      </c>
      <c r="AZ159" s="788"/>
      <c r="BA159" s="788"/>
      <c r="BB159" s="794"/>
      <c r="BC159" s="788"/>
      <c r="BD159" s="789"/>
      <c r="BE159" s="795">
        <f t="shared" ref="BE159:BE160" si="131">BE155-BE157</f>
        <v>59565.312876650016</v>
      </c>
      <c r="BF159" s="788"/>
      <c r="BG159" s="789"/>
      <c r="BH159" s="796">
        <f t="shared" ref="BH159:BH160" si="132">BH155-BH157</f>
        <v>751525.69403758273</v>
      </c>
      <c r="BI159" s="788"/>
      <c r="BJ159" s="797"/>
    </row>
    <row r="160" spans="1:62" ht="60.95" customHeight="1" outlineLevel="1" thickBot="1" x14ac:dyDescent="0.3">
      <c r="A160" s="291"/>
      <c r="B160" s="291"/>
      <c r="C160" s="301" t="s">
        <v>7</v>
      </c>
      <c r="D160" s="309">
        <f>'Working Paper 3'!$C$11</f>
        <v>6.0059880831170691E-2</v>
      </c>
      <c r="E160" s="295">
        <f t="shared" si="120"/>
        <v>7.0000000000000007E-2</v>
      </c>
      <c r="G160" s="317"/>
      <c r="H160" s="298">
        <f>'Working Paper 3'!$E$11</f>
        <v>142.98844600659757</v>
      </c>
      <c r="I160" s="299">
        <f t="shared" si="122"/>
        <v>65</v>
      </c>
      <c r="J160" s="294"/>
      <c r="K160" s="317"/>
      <c r="L160" s="298">
        <f>'Working Paper 3'!$G$11</f>
        <v>54.90928046317822</v>
      </c>
      <c r="M160" s="300">
        <f t="shared" si="123"/>
        <v>55</v>
      </c>
      <c r="N160" s="294"/>
      <c r="O160" s="317"/>
      <c r="P160" s="340"/>
      <c r="Q160" s="887" t="s">
        <v>123</v>
      </c>
      <c r="R160" s="888"/>
      <c r="S160" s="889"/>
      <c r="T160" s="701"/>
      <c r="V160" s="317"/>
      <c r="W160" s="301" t="s">
        <v>125</v>
      </c>
      <c r="X160" s="309">
        <f t="shared" si="124"/>
        <v>0.15</v>
      </c>
      <c r="Y160" s="295">
        <f t="shared" si="121"/>
        <v>0.19600000000000001</v>
      </c>
      <c r="Z160" s="294"/>
      <c r="AA160" s="318"/>
      <c r="AB160" s="298">
        <v>122</v>
      </c>
      <c r="AC160" s="299">
        <f t="shared" si="125"/>
        <v>65</v>
      </c>
      <c r="AD160" s="294"/>
      <c r="AE160" s="318"/>
      <c r="AF160" s="298">
        <v>72</v>
      </c>
      <c r="AG160" s="300">
        <f t="shared" si="126"/>
        <v>72</v>
      </c>
      <c r="AH160" s="294"/>
      <c r="AI160" s="291"/>
      <c r="AJ160" s="340"/>
      <c r="AK160" s="384">
        <v>1</v>
      </c>
      <c r="AL160" s="384">
        <f>AK172/100</f>
        <v>1</v>
      </c>
      <c r="AM160" s="383"/>
      <c r="AP160" s="291"/>
      <c r="AR160" s="425" t="s">
        <v>126</v>
      </c>
      <c r="AS160" s="798">
        <f t="shared" si="128"/>
        <v>59.738667902544535</v>
      </c>
      <c r="AT160" s="799"/>
      <c r="AU160" s="800"/>
      <c r="AV160" s="801">
        <f t="shared" si="129"/>
        <v>22.787544783631972</v>
      </c>
      <c r="AW160" s="799"/>
      <c r="AX160" s="800"/>
      <c r="AY160" s="801">
        <f t="shared" si="130"/>
        <v>36.951123118912562</v>
      </c>
      <c r="AZ160" s="799"/>
      <c r="BA160" s="799"/>
      <c r="BB160" s="802"/>
      <c r="BC160" s="803"/>
      <c r="BD160" s="804"/>
      <c r="BE160" s="805">
        <f t="shared" si="131"/>
        <v>2.8099999999999987</v>
      </c>
      <c r="BF160" s="806"/>
      <c r="BG160" s="807"/>
      <c r="BH160" s="808">
        <f t="shared" si="132"/>
        <v>34.14112311891256</v>
      </c>
      <c r="BI160" s="806"/>
      <c r="BJ160" s="809"/>
    </row>
    <row r="161" spans="1:42" ht="60.95" customHeight="1" outlineLevel="1" thickBot="1" x14ac:dyDescent="0.3">
      <c r="A161" s="291"/>
      <c r="B161" s="291"/>
      <c r="C161" s="301" t="s">
        <v>132</v>
      </c>
      <c r="D161" s="309">
        <f>'Working Paper 3'!$C$12</f>
        <v>2.4773150306096305E-2</v>
      </c>
      <c r="E161" s="295">
        <f t="shared" si="120"/>
        <v>0.02</v>
      </c>
      <c r="F161" s="294"/>
      <c r="G161" s="317"/>
      <c r="H161" s="298">
        <f>'Working Paper 3'!$E$12</f>
        <v>145.45695079148425</v>
      </c>
      <c r="I161" s="299">
        <f t="shared" si="122"/>
        <v>295</v>
      </c>
      <c r="J161" s="294"/>
      <c r="K161" s="317"/>
      <c r="L161" s="298">
        <f>'Working Paper 3'!$G$12</f>
        <v>292.619148787516</v>
      </c>
      <c r="M161" s="300">
        <f t="shared" si="123"/>
        <v>260</v>
      </c>
      <c r="N161" s="294"/>
      <c r="O161" s="317"/>
      <c r="P161" s="340"/>
      <c r="Q161" s="384">
        <v>1</v>
      </c>
      <c r="R161" s="384">
        <f>Q164/100</f>
        <v>0.85</v>
      </c>
      <c r="S161" s="383"/>
      <c r="T161" s="317"/>
      <c r="V161" s="317"/>
      <c r="W161" s="323"/>
      <c r="X161" s="661"/>
      <c r="Y161" s="662"/>
      <c r="Z161" s="317"/>
      <c r="AA161" s="317"/>
      <c r="AB161" s="663"/>
      <c r="AC161" s="663"/>
      <c r="AD161" s="317"/>
      <c r="AE161" s="317"/>
      <c r="AF161" s="663"/>
      <c r="AG161" s="663"/>
      <c r="AH161" s="317"/>
      <c r="AI161" s="423"/>
      <c r="AJ161" s="340"/>
      <c r="AK161" s="335"/>
      <c r="AL161" s="317"/>
      <c r="AM161" s="336"/>
      <c r="AN161" s="423"/>
      <c r="AO161" s="423"/>
      <c r="AP161" s="291"/>
    </row>
    <row r="162" spans="1:42" ht="60.95" customHeight="1" outlineLevel="1" thickBot="1" x14ac:dyDescent="0.3">
      <c r="A162" s="291"/>
      <c r="B162" s="291"/>
      <c r="C162" s="301" t="s">
        <v>133</v>
      </c>
      <c r="D162" s="309">
        <f>'Working Paper 3'!$C$13</f>
        <v>2.3298914154830527E-2</v>
      </c>
      <c r="E162" s="295">
        <f t="shared" si="120"/>
        <v>0.02</v>
      </c>
      <c r="F162" s="294"/>
      <c r="G162" s="317"/>
      <c r="H162" s="298">
        <f>'Working Paper 3'!$E$13</f>
        <v>139.5775929132339</v>
      </c>
      <c r="I162" s="299">
        <f t="shared" si="122"/>
        <v>295</v>
      </c>
      <c r="J162" s="294"/>
      <c r="K162" s="317"/>
      <c r="L162" s="298">
        <f>'Working Paper 3'!$G$13</f>
        <v>285.31047780447233</v>
      </c>
      <c r="M162" s="300">
        <f t="shared" si="123"/>
        <v>260</v>
      </c>
      <c r="N162" s="294"/>
      <c r="O162" s="317"/>
      <c r="P162" s="341"/>
      <c r="Q162" s="337"/>
      <c r="R162" s="318"/>
      <c r="S162" s="338"/>
      <c r="T162" s="317"/>
      <c r="V162" s="317"/>
      <c r="W162" s="323"/>
      <c r="X162" s="661"/>
      <c r="Y162" s="662"/>
      <c r="Z162" s="317"/>
      <c r="AA162" s="317"/>
      <c r="AB162" s="663"/>
      <c r="AD162" s="317"/>
      <c r="AE162" s="317"/>
      <c r="AF162" s="663"/>
      <c r="AG162" s="663"/>
      <c r="AH162" s="317"/>
      <c r="AI162" s="423"/>
      <c r="AJ162" s="341"/>
      <c r="AK162" s="337"/>
      <c r="AL162" s="318"/>
      <c r="AM162" s="338"/>
      <c r="AN162" s="423"/>
      <c r="AO162" s="423"/>
      <c r="AP162" s="291"/>
    </row>
    <row r="163" spans="1:42" ht="21.95" customHeight="1" outlineLevel="1" thickBot="1" x14ac:dyDescent="0.3">
      <c r="A163" s="291"/>
      <c r="B163" s="291"/>
      <c r="C163" s="291"/>
      <c r="D163" s="291"/>
      <c r="E163" s="291"/>
      <c r="F163" s="291"/>
      <c r="G163" s="317"/>
      <c r="H163" s="291"/>
      <c r="I163" s="291"/>
      <c r="J163" s="291"/>
      <c r="K163" s="317"/>
      <c r="L163" s="291"/>
      <c r="M163" s="291"/>
      <c r="N163" s="291"/>
      <c r="O163" s="317"/>
      <c r="P163" s="317"/>
      <c r="Q163" s="317"/>
      <c r="R163" s="317"/>
      <c r="S163" s="317"/>
      <c r="T163" s="317"/>
      <c r="V163" s="317"/>
      <c r="W163" s="291"/>
      <c r="X163" s="291"/>
      <c r="Y163" s="291"/>
      <c r="Z163" s="291"/>
      <c r="AA163" s="317"/>
      <c r="AB163" s="291"/>
      <c r="AC163" s="291"/>
      <c r="AD163" s="291"/>
      <c r="AE163" s="317"/>
      <c r="AF163" s="291"/>
      <c r="AG163" s="291"/>
      <c r="AH163" s="291"/>
      <c r="AJ163" s="317"/>
      <c r="AK163" s="317"/>
      <c r="AL163" s="317"/>
      <c r="AM163" s="317"/>
      <c r="AP163" s="291"/>
    </row>
    <row r="164" spans="1:42" ht="21.95" customHeight="1" outlineLevel="1" thickBot="1" x14ac:dyDescent="0.3">
      <c r="A164" s="291"/>
      <c r="B164" s="291"/>
      <c r="C164" s="291"/>
      <c r="D164" s="315">
        <f>SUM(D155:D163)</f>
        <v>0.99999999999999978</v>
      </c>
      <c r="E164" s="316">
        <f>SUM(E155:E163)</f>
        <v>1</v>
      </c>
      <c r="F164" s="291"/>
      <c r="G164" s="317"/>
      <c r="H164" s="313">
        <f>I175/A175*10000</f>
        <v>145.09737289553766</v>
      </c>
      <c r="I164" s="314">
        <f>H175</f>
        <v>98.899999999999991</v>
      </c>
      <c r="J164" s="291"/>
      <c r="K164" s="317"/>
      <c r="L164" s="311">
        <f>M175/A175*10000</f>
        <v>77.946175197285811</v>
      </c>
      <c r="M164" s="312">
        <f>L175</f>
        <v>62.95</v>
      </c>
      <c r="N164" s="291"/>
      <c r="O164" s="317"/>
      <c r="P164" s="291"/>
      <c r="Q164" s="410">
        <v>85</v>
      </c>
      <c r="R164" s="411">
        <f>R161*1</f>
        <v>0.85</v>
      </c>
      <c r="S164" s="410"/>
      <c r="T164" s="703"/>
      <c r="V164" s="317"/>
      <c r="W164" s="291"/>
      <c r="X164" s="315">
        <f>SUM(X155:X163)</f>
        <v>1</v>
      </c>
      <c r="Y164" s="316">
        <f>SUM(Y155:Y163)</f>
        <v>1</v>
      </c>
      <c r="Z164" s="291"/>
      <c r="AA164" s="317"/>
      <c r="AB164" s="686">
        <f>AC175/V175*10000</f>
        <v>124.77799999999998</v>
      </c>
      <c r="AC164" s="357">
        <f>AD175/V175*10000</f>
        <v>83.389999999999986</v>
      </c>
      <c r="AD164" s="291"/>
      <c r="AE164" s="317"/>
      <c r="AF164" s="698">
        <f>AF175</f>
        <v>57.815999999999995</v>
      </c>
      <c r="AG164" s="312">
        <f>AH175/Z175*10000</f>
        <v>49.981999999999992</v>
      </c>
      <c r="AH164" s="291"/>
      <c r="AJ164" s="291"/>
      <c r="AK164" s="332">
        <f>AL170/Z175*10000</f>
        <v>15.223967647309742</v>
      </c>
      <c r="AL164" s="413">
        <f>AM170/Z175*10000</f>
        <v>15.229999999999999</v>
      </c>
      <c r="AM164" s="291"/>
      <c r="AP164" s="291"/>
    </row>
    <row r="165" spans="1:42" ht="21.95" customHeight="1" outlineLevel="1" thickBot="1" x14ac:dyDescent="0.3">
      <c r="A165" s="291"/>
      <c r="B165" s="291"/>
      <c r="C165" s="291"/>
      <c r="D165" s="291"/>
      <c r="E165" s="291"/>
      <c r="F165" s="291"/>
      <c r="G165" s="317"/>
      <c r="H165" s="291"/>
      <c r="I165" s="291"/>
      <c r="J165" s="291"/>
      <c r="K165" s="317"/>
      <c r="L165" s="291"/>
      <c r="M165" s="291"/>
      <c r="N165" s="291"/>
      <c r="O165" s="317"/>
      <c r="P165" s="317"/>
      <c r="Q165" s="317"/>
      <c r="R165" s="317"/>
      <c r="S165" s="317"/>
      <c r="T165" s="317"/>
      <c r="V165" s="670" t="s">
        <v>103</v>
      </c>
      <c r="W165" s="291"/>
      <c r="X165" s="291"/>
      <c r="Y165" s="291"/>
      <c r="Z165" s="291"/>
      <c r="AA165" s="317"/>
      <c r="AB165" s="291"/>
      <c r="AC165" s="291"/>
      <c r="AD165" s="291"/>
      <c r="AE165" s="317"/>
      <c r="AF165" s="291"/>
      <c r="AG165" s="291"/>
      <c r="AH165" s="291"/>
      <c r="AJ165" s="317"/>
      <c r="AK165" s="317"/>
      <c r="AL165" s="414"/>
      <c r="AM165" s="317"/>
      <c r="AP165" s="291"/>
    </row>
    <row r="166" spans="1:42" ht="21.95" customHeight="1" outlineLevel="1" thickBot="1" x14ac:dyDescent="0.3">
      <c r="A166" s="305">
        <f>D155*'Working Paper 3'!$D$15</f>
        <v>9076148.8993999995</v>
      </c>
      <c r="B166" s="305"/>
      <c r="C166" s="291" t="s">
        <v>130</v>
      </c>
      <c r="D166" s="292">
        <v>500</v>
      </c>
      <c r="E166" s="305">
        <f>D155*$A$145</f>
        <v>9076148.8993999995</v>
      </c>
      <c r="F166" s="305">
        <f>E155*$A$145</f>
        <v>8985430.2200000025</v>
      </c>
      <c r="G166" s="317"/>
      <c r="H166" s="296">
        <v>179</v>
      </c>
      <c r="I166" s="448">
        <f t="shared" ref="I166:I173" si="133">H155*A166/10000</f>
        <v>140625.07096306313</v>
      </c>
      <c r="J166" s="718">
        <f>I155*F166/10000</f>
        <v>160839.20093800002</v>
      </c>
      <c r="K166" s="317"/>
      <c r="L166" s="296">
        <v>170</v>
      </c>
      <c r="M166" s="448">
        <f t="shared" ref="M166:M173" si="134">L155*A166/10000</f>
        <v>154038.48510632664</v>
      </c>
      <c r="N166" s="351">
        <f>M155*F166/10000</f>
        <v>152752.31374000004</v>
      </c>
      <c r="O166" s="317"/>
      <c r="P166" s="460" t="s">
        <v>116</v>
      </c>
      <c r="Q166" s="371">
        <v>1066</v>
      </c>
      <c r="R166" s="461">
        <f>Q155*$A$145/10000</f>
        <v>191389.66368600004</v>
      </c>
      <c r="S166" s="362">
        <f>Q166*E175/1000000</f>
        <v>191569.37229040003</v>
      </c>
      <c r="T166" s="705"/>
      <c r="V166" s="671">
        <f>'TTV By Card'!$C$55</f>
        <v>557132.03</v>
      </c>
      <c r="W166" s="291" t="str">
        <f>W155</f>
        <v>Amex</v>
      </c>
      <c r="X166" s="369">
        <v>140</v>
      </c>
      <c r="Y166" s="370">
        <f t="shared" ref="Y166:Y171" si="135">X155*$V$145</f>
        <v>557132.03</v>
      </c>
      <c r="Z166" s="349">
        <f>Y155*$V$25</f>
        <v>557132.03</v>
      </c>
      <c r="AA166" s="317"/>
      <c r="AB166" s="700">
        <v>150</v>
      </c>
      <c r="AC166" s="348">
        <f>AB155*V166/10000</f>
        <v>7409.8559990000012</v>
      </c>
      <c r="AD166" s="350">
        <f>AC155*Z166/10000</f>
        <v>8356.9804499999991</v>
      </c>
      <c r="AE166" s="317"/>
      <c r="AF166" s="296">
        <v>163</v>
      </c>
      <c r="AG166" s="348">
        <f>AF155*V166/10000</f>
        <v>8914.1124800000016</v>
      </c>
      <c r="AH166" s="351">
        <f>AG155*Y166/10000</f>
        <v>9081.2520889999996</v>
      </c>
      <c r="AI166" s="291"/>
      <c r="AJ166" s="329" t="s">
        <v>116</v>
      </c>
      <c r="AK166" s="371">
        <v>476</v>
      </c>
      <c r="AL166" s="694">
        <f>AK155*$Z$25/10000</f>
        <v>18929</v>
      </c>
      <c r="AM166" s="373">
        <f>AL155*$Z$55/10000</f>
        <v>18942.489019999997</v>
      </c>
      <c r="AP166" s="291"/>
    </row>
    <row r="167" spans="1:42" ht="21.95" customHeight="1" outlineLevel="1" thickBot="1" x14ac:dyDescent="0.3">
      <c r="A167" s="305">
        <f>D156*'Working Paper 3'!$D$15</f>
        <v>57632231.372800022</v>
      </c>
      <c r="B167" s="305"/>
      <c r="C167" s="291" t="s">
        <v>3</v>
      </c>
      <c r="D167" s="292">
        <v>4000</v>
      </c>
      <c r="E167" s="305">
        <f t="shared" ref="E167:F167" si="136">D156*$A$145</f>
        <v>57632231.372800022</v>
      </c>
      <c r="F167" s="305">
        <f t="shared" si="136"/>
        <v>71883441.76000002</v>
      </c>
      <c r="H167" s="297">
        <v>65</v>
      </c>
      <c r="I167" s="448">
        <f t="shared" si="133"/>
        <v>824097.96201185125</v>
      </c>
      <c r="J167" s="718">
        <f t="shared" ref="J167:J173" si="137">I156*F167/10000</f>
        <v>467242.37144000013</v>
      </c>
      <c r="L167" s="297">
        <v>28</v>
      </c>
      <c r="M167" s="448">
        <f t="shared" si="134"/>
        <v>165177.77053064405</v>
      </c>
      <c r="N167" s="351">
        <f t="shared" ref="N167:N173" si="138">M156*F167/10000</f>
        <v>201273.63692800008</v>
      </c>
      <c r="P167" s="460" t="s">
        <v>118</v>
      </c>
      <c r="Q167" s="374">
        <v>312</v>
      </c>
      <c r="R167" s="461">
        <f t="shared" ref="R167:R168" si="139">Q156*$A$145/10000</f>
        <v>56069.084572800013</v>
      </c>
      <c r="S167" s="362">
        <f>Q167*E175/1000000</f>
        <v>56069.084572800013</v>
      </c>
      <c r="T167" s="705"/>
      <c r="V167" s="672">
        <f>'TTV By Card'!$D$55</f>
        <v>13052807.560000001</v>
      </c>
      <c r="W167" s="291" t="str">
        <f t="shared" ref="W167:W171" si="140">W156</f>
        <v>EFTPOS</v>
      </c>
      <c r="X167" s="369">
        <v>4000</v>
      </c>
      <c r="Y167" s="370">
        <f t="shared" si="135"/>
        <v>13052807.560000001</v>
      </c>
      <c r="Z167" s="349">
        <f t="shared" ref="Z167:Z171" si="141">Y156*$V$25</f>
        <v>15918058</v>
      </c>
      <c r="AA167" s="319"/>
      <c r="AB167" s="430">
        <v>65</v>
      </c>
      <c r="AC167" s="348">
        <f t="shared" ref="AC167:AC171" si="142">AB156*V167/10000</f>
        <v>169686.49828</v>
      </c>
      <c r="AD167" s="350">
        <f t="shared" ref="AD167:AD171" si="143">AC156*Z167/10000</f>
        <v>103467.37699999999</v>
      </c>
      <c r="AE167" s="319"/>
      <c r="AF167" s="297">
        <v>25</v>
      </c>
      <c r="AG167" s="348">
        <f t="shared" ref="AG167:AG171" si="144">AF156*V167/10000</f>
        <v>32632.018899999999</v>
      </c>
      <c r="AH167" s="351">
        <f t="shared" ref="AH167:AH171" si="145">AG156*Y167/10000</f>
        <v>32632.018899999999</v>
      </c>
      <c r="AJ167" s="329" t="s">
        <v>118</v>
      </c>
      <c r="AK167" s="374">
        <v>98</v>
      </c>
      <c r="AL167" s="694">
        <f t="shared" ref="AL167:AL168" si="146">AK156*$Z$25/10000</f>
        <v>3891</v>
      </c>
      <c r="AM167" s="373">
        <f t="shared" ref="AM167:AM168" si="147">AL156*$Z$55/10000</f>
        <v>3899.9242100000001</v>
      </c>
    </row>
    <row r="168" spans="1:42" ht="21.95" customHeight="1" outlineLevel="1" thickBot="1" x14ac:dyDescent="0.3">
      <c r="A168" s="305">
        <f>D157*'Working Paper 3'!$D$15</f>
        <v>7287813.9641000004</v>
      </c>
      <c r="B168" s="305"/>
      <c r="C168" s="291" t="s">
        <v>4</v>
      </c>
      <c r="D168" s="292">
        <v>400</v>
      </c>
      <c r="E168" s="305">
        <f t="shared" ref="E168:F168" si="148">D157*$A$145</f>
        <v>7287813.9641000004</v>
      </c>
      <c r="F168" s="305">
        <f t="shared" si="148"/>
        <v>7188344.1760000018</v>
      </c>
      <c r="H168" s="297">
        <v>165</v>
      </c>
      <c r="I168" s="448">
        <f t="shared" si="133"/>
        <v>104549.8989406953</v>
      </c>
      <c r="J168" s="718">
        <f t="shared" si="137"/>
        <v>118607.67890400001</v>
      </c>
      <c r="L168" s="297">
        <v>50</v>
      </c>
      <c r="M168" s="448">
        <f t="shared" si="134"/>
        <v>43898.925875452092</v>
      </c>
      <c r="N168" s="351">
        <f t="shared" si="138"/>
        <v>35941.720880000008</v>
      </c>
      <c r="P168" s="462" t="s">
        <v>119</v>
      </c>
      <c r="Q168" s="374">
        <v>502</v>
      </c>
      <c r="R168" s="461">
        <f t="shared" si="139"/>
        <v>90213.719408800011</v>
      </c>
      <c r="S168" s="362">
        <f>Q168*E175/1000000</f>
        <v>90213.719408800025</v>
      </c>
      <c r="T168" s="705"/>
      <c r="V168" s="672">
        <f>'TTV By Card'!$E$55</f>
        <v>7163126.0999999996</v>
      </c>
      <c r="W168" s="291" t="str">
        <f t="shared" si="140"/>
        <v>Credit ViSa</v>
      </c>
      <c r="X168" s="369">
        <v>1000</v>
      </c>
      <c r="Y168" s="370">
        <f t="shared" si="135"/>
        <v>7163126.0999999996</v>
      </c>
      <c r="Z168" s="349">
        <f t="shared" si="141"/>
        <v>3979514.5</v>
      </c>
      <c r="AA168" s="319"/>
      <c r="AB168" s="430">
        <v>150</v>
      </c>
      <c r="AC168" s="348">
        <f t="shared" si="142"/>
        <v>87390.138419999988</v>
      </c>
      <c r="AD168" s="350">
        <f t="shared" si="143"/>
        <v>59692.717499999999</v>
      </c>
      <c r="AE168" s="319"/>
      <c r="AF168" s="297">
        <v>50</v>
      </c>
      <c r="AG168" s="348">
        <f t="shared" si="144"/>
        <v>51574.507919999996</v>
      </c>
      <c r="AH168" s="351">
        <f t="shared" si="145"/>
        <v>35815.630499999999</v>
      </c>
      <c r="AJ168" s="333" t="s">
        <v>119</v>
      </c>
      <c r="AK168" s="374">
        <v>949</v>
      </c>
      <c r="AL168" s="694">
        <f t="shared" si="146"/>
        <v>37764</v>
      </c>
      <c r="AM168" s="373">
        <f t="shared" si="147"/>
        <v>37765.592604999998</v>
      </c>
    </row>
    <row r="169" spans="1:42" ht="21.95" customHeight="1" outlineLevel="1" x14ac:dyDescent="0.25">
      <c r="A169" s="305">
        <f>D158*'Working Paper 3'!$D$15</f>
        <v>40539508.453100003</v>
      </c>
      <c r="B169" s="305"/>
      <c r="C169" s="291" t="s">
        <v>5</v>
      </c>
      <c r="D169" s="292">
        <v>2500</v>
      </c>
      <c r="E169" s="305">
        <f t="shared" ref="E169:F169" si="149">D158*$A$145</f>
        <v>40539508.453100003</v>
      </c>
      <c r="F169" s="305">
        <f t="shared" si="149"/>
        <v>44927151.100000009</v>
      </c>
      <c r="H169" s="297">
        <v>65</v>
      </c>
      <c r="I169" s="448">
        <f t="shared" si="133"/>
        <v>580597.69872457779</v>
      </c>
      <c r="J169" s="718">
        <f t="shared" si="137"/>
        <v>292026.48215000005</v>
      </c>
      <c r="L169" s="297">
        <v>66</v>
      </c>
      <c r="M169" s="448">
        <f t="shared" si="134"/>
        <v>267268.66568152525</v>
      </c>
      <c r="N169" s="351">
        <f t="shared" si="138"/>
        <v>296519.19726000004</v>
      </c>
      <c r="P169" s="449"/>
      <c r="Q169" s="449"/>
      <c r="R169" s="449"/>
      <c r="S169" s="451"/>
      <c r="T169" s="449"/>
      <c r="V169" s="672">
        <f>'TTV By Card'!$F$55</f>
        <v>7083535.8099999996</v>
      </c>
      <c r="W169" s="291" t="str">
        <f t="shared" si="140"/>
        <v>Credit MC</v>
      </c>
      <c r="X169" s="369">
        <v>1000</v>
      </c>
      <c r="Y169" s="370">
        <f t="shared" si="135"/>
        <v>7083535.8099999996</v>
      </c>
      <c r="Z169" s="349">
        <f t="shared" si="141"/>
        <v>3979514.5</v>
      </c>
      <c r="AA169" s="319"/>
      <c r="AB169" s="430">
        <v>152</v>
      </c>
      <c r="AC169" s="348">
        <f t="shared" si="142"/>
        <v>86419.136881999992</v>
      </c>
      <c r="AD169" s="350">
        <f t="shared" si="143"/>
        <v>60488.6204</v>
      </c>
      <c r="AE169" s="319"/>
      <c r="AF169" s="297">
        <v>50</v>
      </c>
      <c r="AG169" s="348">
        <f t="shared" si="144"/>
        <v>51001.457832</v>
      </c>
      <c r="AH169" s="351">
        <f t="shared" si="145"/>
        <v>35417.679049999999</v>
      </c>
      <c r="AJ169" s="319"/>
      <c r="AK169" s="319"/>
      <c r="AL169" s="319"/>
      <c r="AM169" s="246"/>
    </row>
    <row r="170" spans="1:42" ht="21.95" customHeight="1" outlineLevel="1" x14ac:dyDescent="0.25">
      <c r="A170" s="305">
        <f>D159*'Working Paper 3'!$D$15</f>
        <v>45740660.731100008</v>
      </c>
      <c r="B170" s="305"/>
      <c r="C170" s="291" t="s">
        <v>131</v>
      </c>
      <c r="D170" s="292">
        <v>1500</v>
      </c>
      <c r="E170" s="305">
        <f t="shared" ref="E170:F170" si="150">D159*$A$145</f>
        <v>45740660.731100008</v>
      </c>
      <c r="F170" s="305">
        <f t="shared" si="150"/>
        <v>26956290.660000004</v>
      </c>
      <c r="H170" s="297">
        <v>165</v>
      </c>
      <c r="I170" s="448">
        <f t="shared" si="133"/>
        <v>680124.57773228828</v>
      </c>
      <c r="J170" s="718">
        <f t="shared" si="137"/>
        <v>444778.79589000007</v>
      </c>
      <c r="L170" s="297">
        <v>70</v>
      </c>
      <c r="M170" s="448">
        <f t="shared" si="134"/>
        <v>461378.41353253135</v>
      </c>
      <c r="N170" s="351">
        <f t="shared" si="138"/>
        <v>188694.03462000002</v>
      </c>
      <c r="P170" s="449"/>
      <c r="Q170" s="449"/>
      <c r="R170" s="449"/>
      <c r="S170" s="451"/>
      <c r="T170" s="449"/>
      <c r="V170" s="672">
        <f>'TTV By Card'!$G$55</f>
        <v>5969271.75</v>
      </c>
      <c r="W170" s="291" t="str">
        <f t="shared" si="140"/>
        <v>Debit VISA</v>
      </c>
      <c r="X170" s="369">
        <v>1900</v>
      </c>
      <c r="Y170" s="370">
        <f t="shared" si="135"/>
        <v>5969271.75</v>
      </c>
      <c r="Z170" s="349">
        <f t="shared" si="141"/>
        <v>7561077.5499999998</v>
      </c>
      <c r="AA170" s="319"/>
      <c r="AB170" s="430">
        <v>65</v>
      </c>
      <c r="AC170" s="348">
        <f t="shared" si="142"/>
        <v>72825.115349999993</v>
      </c>
      <c r="AD170" s="350">
        <f t="shared" si="143"/>
        <v>49147.004074999997</v>
      </c>
      <c r="AE170" s="319"/>
      <c r="AF170" s="297">
        <v>72</v>
      </c>
      <c r="AG170" s="348">
        <f t="shared" si="144"/>
        <v>42978.756600000001</v>
      </c>
      <c r="AH170" s="351">
        <f t="shared" si="145"/>
        <v>42978.756600000001</v>
      </c>
      <c r="AJ170" s="319"/>
      <c r="AK170" s="320">
        <f>AL176/$Z$25*10000</f>
        <v>15.223967647309742</v>
      </c>
      <c r="AL170" s="695">
        <f>SUM(AL166:AL169)</f>
        <v>60584</v>
      </c>
      <c r="AM170" s="699">
        <f>SUM(AM166:AM168)</f>
        <v>60608.005834999996</v>
      </c>
    </row>
    <row r="171" spans="1:42" ht="21.95" customHeight="1" outlineLevel="1" x14ac:dyDescent="0.25">
      <c r="A171" s="305">
        <f>D160*'Working Paper 3'!$D$15</f>
        <v>10793277.364599999</v>
      </c>
      <c r="B171" s="305"/>
      <c r="C171" s="291" t="s">
        <v>7</v>
      </c>
      <c r="D171" s="292">
        <v>700</v>
      </c>
      <c r="E171" s="305">
        <f t="shared" ref="E171:F171" si="151">D160*$A$145</f>
        <v>10793277.364599999</v>
      </c>
      <c r="F171" s="305">
        <f t="shared" si="151"/>
        <v>12579602.308000004</v>
      </c>
      <c r="H171" s="297">
        <v>65</v>
      </c>
      <c r="I171" s="448">
        <f t="shared" si="133"/>
        <v>154331.39576823387</v>
      </c>
      <c r="J171" s="718">
        <f t="shared" si="137"/>
        <v>81767.415002000023</v>
      </c>
      <c r="L171" s="297">
        <v>55</v>
      </c>
      <c r="M171" s="448">
        <f t="shared" si="134"/>
        <v>59265.10939296944</v>
      </c>
      <c r="N171" s="351">
        <f t="shared" si="138"/>
        <v>69187.812694000022</v>
      </c>
      <c r="P171" s="449"/>
      <c r="Q171" s="449"/>
      <c r="R171" s="449"/>
      <c r="S171" s="451"/>
      <c r="T171" s="449"/>
      <c r="V171" s="672">
        <f>'TTV By Card'!$H$55</f>
        <v>5969271.75</v>
      </c>
      <c r="W171" s="291" t="str">
        <f t="shared" si="140"/>
        <v>Debit MC</v>
      </c>
      <c r="X171" s="369">
        <v>1960</v>
      </c>
      <c r="Y171" s="370">
        <f t="shared" si="135"/>
        <v>5969271.75</v>
      </c>
      <c r="Z171" s="349">
        <f t="shared" si="141"/>
        <v>7799848.4199999999</v>
      </c>
      <c r="AA171" s="319"/>
      <c r="AB171" s="430">
        <v>65</v>
      </c>
      <c r="AC171" s="348">
        <f t="shared" si="142"/>
        <v>72825.115349999993</v>
      </c>
      <c r="AD171" s="350">
        <f t="shared" si="143"/>
        <v>50699.014730000003</v>
      </c>
      <c r="AE171" s="319"/>
      <c r="AF171" s="297">
        <v>72</v>
      </c>
      <c r="AG171" s="348">
        <f t="shared" si="144"/>
        <v>42978.756600000001</v>
      </c>
      <c r="AH171" s="351">
        <f t="shared" si="145"/>
        <v>42978.756600000001</v>
      </c>
      <c r="AJ171" s="319"/>
      <c r="AK171" s="319"/>
      <c r="AL171" s="319"/>
      <c r="AM171" s="319"/>
    </row>
    <row r="172" spans="1:42" ht="21.95" customHeight="1" outlineLevel="1" x14ac:dyDescent="0.25">
      <c r="A172" s="305">
        <f>D161*'Working Paper 3'!$D$15</f>
        <v>4451948.2681000009</v>
      </c>
      <c r="B172" s="305"/>
      <c r="C172" s="291" t="s">
        <v>132</v>
      </c>
      <c r="D172" s="292">
        <v>200</v>
      </c>
      <c r="E172" s="305">
        <f t="shared" ref="E172:F172" si="152">D161*$A$145</f>
        <v>4451948.2681000009</v>
      </c>
      <c r="F172" s="305">
        <f t="shared" si="152"/>
        <v>3594172.0880000009</v>
      </c>
      <c r="H172" s="297">
        <v>295</v>
      </c>
      <c r="I172" s="448">
        <f t="shared" si="133"/>
        <v>64756.682015925537</v>
      </c>
      <c r="J172" s="718">
        <f t="shared" si="137"/>
        <v>106028.07659600003</v>
      </c>
      <c r="L172" s="297">
        <v>260</v>
      </c>
      <c r="M172" s="448">
        <f t="shared" si="134"/>
        <v>130272.53126574784</v>
      </c>
      <c r="N172" s="351">
        <f t="shared" si="138"/>
        <v>93448.474288000027</v>
      </c>
      <c r="P172" s="449"/>
      <c r="Q172" s="449"/>
      <c r="R172" s="449"/>
      <c r="S172" s="451"/>
      <c r="T172" s="449"/>
      <c r="W172" s="317"/>
      <c r="X172" s="660"/>
      <c r="Y172" s="667"/>
      <c r="Z172" s="668"/>
      <c r="AA172" s="319"/>
      <c r="AB172" s="320"/>
      <c r="AC172" s="668"/>
      <c r="AD172" s="668"/>
      <c r="AE172" s="319"/>
      <c r="AF172" s="320"/>
      <c r="AG172" s="668"/>
      <c r="AH172" s="669"/>
      <c r="AJ172" s="319"/>
      <c r="AK172" s="386">
        <v>100</v>
      </c>
      <c r="AL172" s="385">
        <f>AL160*1</f>
        <v>1</v>
      </c>
      <c r="AM172" s="246"/>
    </row>
    <row r="173" spans="1:42" ht="21.95" customHeight="1" outlineLevel="1" x14ac:dyDescent="0.25">
      <c r="A173" s="305">
        <f>D162*'Working Paper 3'!$D$15</f>
        <v>4187015.3468000004</v>
      </c>
      <c r="B173" s="305"/>
      <c r="C173" s="291" t="s">
        <v>133</v>
      </c>
      <c r="D173" s="292">
        <v>200</v>
      </c>
      <c r="E173" s="305">
        <f t="shared" ref="E173:F173" si="153">D162*$A$145</f>
        <v>4187015.3468000004</v>
      </c>
      <c r="F173" s="305">
        <f t="shared" si="153"/>
        <v>3594172.0880000009</v>
      </c>
      <c r="H173" s="297">
        <v>295</v>
      </c>
      <c r="I173" s="448">
        <f t="shared" si="133"/>
        <v>58441.352359711338</v>
      </c>
      <c r="J173" s="718">
        <f t="shared" si="137"/>
        <v>106028.07659600003</v>
      </c>
      <c r="L173" s="297">
        <v>260</v>
      </c>
      <c r="M173" s="448">
        <f t="shared" si="134"/>
        <v>119459.93491701665</v>
      </c>
      <c r="N173" s="351">
        <f t="shared" si="138"/>
        <v>93448.474288000027</v>
      </c>
      <c r="P173" s="449"/>
      <c r="Q173" s="449"/>
      <c r="R173" s="449"/>
      <c r="S173" s="451"/>
      <c r="T173" s="449"/>
      <c r="W173" s="317"/>
      <c r="X173" s="660"/>
      <c r="Y173" s="667"/>
      <c r="Z173" s="668"/>
      <c r="AA173" s="319"/>
      <c r="AB173" s="320"/>
      <c r="AC173" s="668"/>
      <c r="AD173" s="668"/>
      <c r="AE173" s="319"/>
      <c r="AF173" s="320"/>
      <c r="AG173" s="668"/>
      <c r="AH173" s="669"/>
      <c r="AJ173" s="319"/>
      <c r="AK173" s="319"/>
      <c r="AL173" s="372">
        <v>18929</v>
      </c>
      <c r="AM173" s="246"/>
    </row>
    <row r="174" spans="1:42" ht="21.95" customHeight="1" outlineLevel="1" x14ac:dyDescent="0.25">
      <c r="D174" s="291"/>
      <c r="H174" s="297"/>
      <c r="J174" s="98"/>
      <c r="N174" s="103"/>
      <c r="P174" s="449"/>
      <c r="Q174" s="449"/>
      <c r="R174" s="449"/>
      <c r="S174" s="449"/>
      <c r="T174" s="449"/>
      <c r="W174"/>
      <c r="X174" s="291"/>
      <c r="AA174" s="319"/>
      <c r="AE174" s="319"/>
      <c r="AJ174" s="319"/>
      <c r="AK174" s="319"/>
      <c r="AL174" s="372">
        <v>3891</v>
      </c>
      <c r="AM174" s="319"/>
    </row>
    <row r="175" spans="1:42" ht="21.95" customHeight="1" outlineLevel="1" x14ac:dyDescent="0.25">
      <c r="A175" s="71">
        <f>SUM(A166:A174)</f>
        <v>179708604.40000004</v>
      </c>
      <c r="B175" s="71"/>
      <c r="D175" s="308">
        <f>SUM(D166:D174)</f>
        <v>10000</v>
      </c>
      <c r="E175" s="71">
        <f>SUM(E166:E173)</f>
        <v>179708604.40000004</v>
      </c>
      <c r="F175" s="71">
        <f>SUM(F166:F173)</f>
        <v>179708604.40000004</v>
      </c>
      <c r="H175" s="297">
        <f>J175/E175*10000</f>
        <v>98.899999999999991</v>
      </c>
      <c r="I175" s="71">
        <f>SUM(I166:I174)</f>
        <v>2607524.6385163465</v>
      </c>
      <c r="J175" s="429">
        <f>SUM(J166:J174)</f>
        <v>1777318.0975160003</v>
      </c>
      <c r="L175" s="297">
        <f>N175/E175*10000</f>
        <v>62.95</v>
      </c>
      <c r="M175" s="149">
        <f>SUM(M166:M174)</f>
        <v>1400759.8363022131</v>
      </c>
      <c r="N175" s="717">
        <f>SUM(N166:N174)</f>
        <v>1131265.6646980003</v>
      </c>
      <c r="O175" s="320"/>
      <c r="P175" s="454"/>
      <c r="Q175" s="454">
        <f>R175/A175*10000</f>
        <v>18.79</v>
      </c>
      <c r="R175" s="456">
        <f>SUM(R166:R174)</f>
        <v>337672.46766760008</v>
      </c>
      <c r="S175" s="456">
        <f>SUM(S166:S173)</f>
        <v>337852.17627200007</v>
      </c>
      <c r="T175" s="706"/>
      <c r="V175" s="672">
        <f>SUM(V166:V174)</f>
        <v>39795145</v>
      </c>
      <c r="W175" s="343"/>
      <c r="X175" s="344">
        <f>SUM(X166:X174)</f>
        <v>10000</v>
      </c>
      <c r="Y175" s="681">
        <f>SUM(Y166:Y173)</f>
        <v>39795145</v>
      </c>
      <c r="Z175" s="685">
        <f>SUM(Z166:Z173)</f>
        <v>39795145</v>
      </c>
      <c r="AA175" s="319"/>
      <c r="AB175" s="320">
        <f>AC175/Y175*10000</f>
        <v>124.77799999999998</v>
      </c>
      <c r="AC175" s="681">
        <f>SUM(AC166:AC174)</f>
        <v>496555.86028099991</v>
      </c>
      <c r="AD175" s="342">
        <f>SUM(AD166:AD174)</f>
        <v>331851.71415499999</v>
      </c>
      <c r="AE175" s="343"/>
      <c r="AF175" s="320">
        <f>AG175/Z175*10000</f>
        <v>57.815999999999995</v>
      </c>
      <c r="AG175" s="672">
        <f>SUM(AG166:AG174)</f>
        <v>230079.61033199998</v>
      </c>
      <c r="AH175" s="697">
        <f>SUM(AH166:AH174)</f>
        <v>198904.09373899997</v>
      </c>
      <c r="AJ175" s="345"/>
      <c r="AK175" s="319"/>
      <c r="AL175" s="372">
        <v>37764</v>
      </c>
      <c r="AM175" s="319"/>
    </row>
    <row r="176" spans="1:42" ht="21.95" customHeight="1" outlineLevel="1" x14ac:dyDescent="0.25">
      <c r="N176" s="149">
        <f>J175-N175</f>
        <v>646052.43281799997</v>
      </c>
      <c r="V176" s="695"/>
      <c r="AJ176" s="319"/>
      <c r="AK176" s="319"/>
      <c r="AL176" s="377">
        <f>SUM(AL173:AL175)</f>
        <v>60584</v>
      </c>
      <c r="AM176" s="319"/>
    </row>
    <row r="180" spans="1:62" ht="21.95" customHeight="1" outlineLevel="1" x14ac:dyDescent="0.35">
      <c r="D180" s="465" t="s">
        <v>147</v>
      </c>
      <c r="F180" s="894" t="s">
        <v>148</v>
      </c>
      <c r="G180" s="893"/>
      <c r="H180" s="893"/>
      <c r="I180" s="893"/>
      <c r="J180" s="893"/>
      <c r="K180" s="893"/>
      <c r="L180" s="893"/>
      <c r="M180" s="893"/>
      <c r="N180" s="893"/>
      <c r="O180" s="893"/>
      <c r="P180" s="893"/>
      <c r="Q180" s="893"/>
      <c r="R180" s="893"/>
      <c r="X180" s="465" t="s">
        <v>147</v>
      </c>
    </row>
    <row r="181" spans="1:62" ht="21.95" customHeight="1" outlineLevel="1" thickBot="1" x14ac:dyDescent="0.3">
      <c r="H181" s="882" t="s">
        <v>102</v>
      </c>
      <c r="I181" s="882"/>
      <c r="J181" s="882"/>
      <c r="K181" s="317"/>
      <c r="L181" s="291"/>
      <c r="M181" s="291"/>
      <c r="N181" s="291"/>
      <c r="O181" s="317"/>
      <c r="P181" s="317"/>
      <c r="Q181" s="317"/>
      <c r="R181" s="317"/>
      <c r="S181" s="317"/>
      <c r="T181" s="317"/>
      <c r="U181" s="317"/>
      <c r="V181" s="317"/>
      <c r="W181" s="317"/>
      <c r="X181" s="291"/>
      <c r="Y181" s="291"/>
      <c r="Z181" s="291"/>
      <c r="AA181" s="291"/>
      <c r="AB181" s="882" t="s">
        <v>103</v>
      </c>
      <c r="AC181" s="882"/>
      <c r="AD181" s="882"/>
    </row>
    <row r="182" spans="1:62" ht="21.95" customHeight="1" outlineLevel="1" thickBot="1" x14ac:dyDescent="0.3">
      <c r="A182" s="291"/>
      <c r="B182" s="291"/>
      <c r="C182" s="291"/>
      <c r="D182" s="883" t="s">
        <v>104</v>
      </c>
      <c r="E182" s="884"/>
      <c r="F182" s="885"/>
      <c r="G182" s="323"/>
      <c r="H182" s="873" t="s">
        <v>105</v>
      </c>
      <c r="I182" s="874"/>
      <c r="J182" s="875"/>
      <c r="K182" s="323"/>
      <c r="L182" s="876" t="s">
        <v>106</v>
      </c>
      <c r="M182" s="877"/>
      <c r="N182" s="878"/>
      <c r="O182" s="323"/>
      <c r="P182" s="323"/>
      <c r="Q182" s="879" t="s">
        <v>107</v>
      </c>
      <c r="R182" s="880"/>
      <c r="S182" s="881"/>
      <c r="T182" s="323"/>
      <c r="U182" s="707"/>
      <c r="V182" s="323"/>
      <c r="W182" s="291"/>
      <c r="X182" s="883" t="s">
        <v>104</v>
      </c>
      <c r="Y182" s="884"/>
      <c r="Z182" s="885"/>
      <c r="AA182" s="323"/>
      <c r="AB182" s="873" t="s">
        <v>105</v>
      </c>
      <c r="AC182" s="874"/>
      <c r="AD182" s="875"/>
      <c r="AE182" s="323"/>
      <c r="AF182" s="876" t="s">
        <v>106</v>
      </c>
      <c r="AG182" s="877"/>
      <c r="AH182" s="878"/>
      <c r="AI182" s="291"/>
      <c r="AJ182" s="323"/>
      <c r="AK182" s="879" t="s">
        <v>107</v>
      </c>
      <c r="AL182" s="880"/>
      <c r="AM182" s="881"/>
      <c r="AP182" s="291"/>
      <c r="AR182" s="321"/>
      <c r="AS182" s="845" t="s">
        <v>108</v>
      </c>
      <c r="AT182" s="846"/>
      <c r="AU182" s="847"/>
      <c r="AV182" s="851" t="s">
        <v>1</v>
      </c>
      <c r="AW182" s="851"/>
      <c r="AX182" s="852"/>
      <c r="AY182" s="853" t="s">
        <v>140</v>
      </c>
      <c r="AZ182" s="851"/>
      <c r="BA182" s="852"/>
      <c r="BB182" s="853" t="s">
        <v>110</v>
      </c>
      <c r="BC182" s="851"/>
      <c r="BD182" s="855"/>
      <c r="BE182" s="857" t="s">
        <v>111</v>
      </c>
      <c r="BF182" s="857"/>
      <c r="BG182" s="858"/>
      <c r="BH182" s="860" t="s">
        <v>112</v>
      </c>
      <c r="BI182" s="861"/>
      <c r="BJ182" s="862"/>
    </row>
    <row r="183" spans="1:62" ht="21.95" customHeight="1" outlineLevel="1" thickBot="1" x14ac:dyDescent="0.3">
      <c r="A183" s="291"/>
      <c r="B183" s="291"/>
      <c r="C183" s="291"/>
      <c r="D183" s="325" t="s">
        <v>113</v>
      </c>
      <c r="E183" s="883" t="s">
        <v>114</v>
      </c>
      <c r="F183" s="890"/>
      <c r="G183" s="322"/>
      <c r="H183" s="302" t="s">
        <v>113</v>
      </c>
      <c r="I183" s="873" t="s">
        <v>115</v>
      </c>
      <c r="J183" s="891"/>
      <c r="K183" s="322"/>
      <c r="L183" s="302" t="s">
        <v>113</v>
      </c>
      <c r="M183" s="876" t="s">
        <v>115</v>
      </c>
      <c r="N183" s="886"/>
      <c r="O183" s="322"/>
      <c r="P183" s="322"/>
      <c r="Q183" s="328" t="s">
        <v>113</v>
      </c>
      <c r="R183" s="871" t="s">
        <v>115</v>
      </c>
      <c r="S183" s="872"/>
      <c r="T183" s="322"/>
      <c r="U183" s="708"/>
      <c r="V183" s="322"/>
      <c r="W183" s="291"/>
      <c r="X183" s="664" t="s">
        <v>113</v>
      </c>
      <c r="Y183" s="865" t="s">
        <v>114</v>
      </c>
      <c r="Z183" s="866"/>
      <c r="AA183" s="322"/>
      <c r="AB183" s="328" t="s">
        <v>113</v>
      </c>
      <c r="AC183" s="867" t="s">
        <v>115</v>
      </c>
      <c r="AD183" s="868"/>
      <c r="AE183" s="322"/>
      <c r="AF183" s="328" t="s">
        <v>113</v>
      </c>
      <c r="AG183" s="869" t="s">
        <v>115</v>
      </c>
      <c r="AH183" s="870"/>
      <c r="AI183" s="291"/>
      <c r="AJ183" s="322"/>
      <c r="AK183" s="328" t="s">
        <v>113</v>
      </c>
      <c r="AL183" s="871" t="s">
        <v>115</v>
      </c>
      <c r="AM183" s="872"/>
      <c r="AP183" s="291"/>
      <c r="AR183" s="322"/>
      <c r="AS183" s="848"/>
      <c r="AT183" s="849"/>
      <c r="AU183" s="850"/>
      <c r="AV183" s="849"/>
      <c r="AW183" s="849"/>
      <c r="AX183" s="849"/>
      <c r="AY183" s="854"/>
      <c r="AZ183" s="849"/>
      <c r="BA183" s="849"/>
      <c r="BB183" s="854"/>
      <c r="BC183" s="849"/>
      <c r="BD183" s="856"/>
      <c r="BE183" s="859"/>
      <c r="BF183" s="859"/>
      <c r="BG183" s="859"/>
      <c r="BH183" s="863"/>
      <c r="BI183" s="864"/>
      <c r="BJ183" s="864"/>
    </row>
    <row r="184" spans="1:62" ht="60.75" customHeight="1" outlineLevel="1" thickBot="1" x14ac:dyDescent="0.3">
      <c r="A184" s="291"/>
      <c r="B184" s="291"/>
      <c r="C184" s="301" t="s">
        <v>130</v>
      </c>
      <c r="D184" s="309">
        <f>'Working Paper 3'!$C$6</f>
        <v>5.0504809882102659E-2</v>
      </c>
      <c r="E184" s="295">
        <f t="shared" ref="E184:E191" si="154">D195/10000</f>
        <v>5.0500000000000003E-2</v>
      </c>
      <c r="F184" s="293"/>
      <c r="G184" s="324"/>
      <c r="H184" s="298">
        <f>'Working Paper 3'!$E$6</f>
        <v>154.93914051185246</v>
      </c>
      <c r="I184" s="299">
        <f>H195</f>
        <v>179</v>
      </c>
      <c r="J184" s="294"/>
      <c r="K184" s="317"/>
      <c r="L184" s="298">
        <f>'Working Paper 3'!$G$6</f>
        <v>169.71789116032431</v>
      </c>
      <c r="M184" s="300">
        <f>L195</f>
        <v>170</v>
      </c>
      <c r="N184" s="294"/>
      <c r="O184" s="317"/>
      <c r="P184" s="329" t="s">
        <v>116</v>
      </c>
      <c r="Q184" s="334">
        <v>10.65</v>
      </c>
      <c r="R184" s="352">
        <f>Q195/100</f>
        <v>5</v>
      </c>
      <c r="S184" s="330"/>
      <c r="T184" s="317"/>
      <c r="U184" s="709"/>
      <c r="V184" s="317"/>
      <c r="W184" s="301" t="str">
        <f>'Working Paper 3'!$B$6</f>
        <v>Amex</v>
      </c>
      <c r="X184" s="309">
        <f>V195/$V$85</f>
        <v>1.4E-2</v>
      </c>
      <c r="Y184" s="295">
        <f t="shared" ref="Y184:Y189" si="155">X195/10000</f>
        <v>1.4E-2</v>
      </c>
      <c r="Z184" s="293"/>
      <c r="AA184" s="665"/>
      <c r="AB184" s="298">
        <v>133</v>
      </c>
      <c r="AC184" s="299">
        <f>AB195</f>
        <v>150</v>
      </c>
      <c r="AD184" s="294"/>
      <c r="AE184" s="666"/>
      <c r="AF184" s="298">
        <v>160</v>
      </c>
      <c r="AG184" s="300">
        <f>AF195</f>
        <v>160</v>
      </c>
      <c r="AH184" s="294"/>
      <c r="AI184" s="291"/>
      <c r="AJ184" s="329" t="s">
        <v>116</v>
      </c>
      <c r="AK184" s="334">
        <f>AL202/$Z$25*10000</f>
        <v>4.756610385513107</v>
      </c>
      <c r="AL184" s="352">
        <f>AK195/100</f>
        <v>2.5</v>
      </c>
      <c r="AM184" s="330"/>
      <c r="AP184" s="291"/>
      <c r="AR184" s="825" t="s">
        <v>113</v>
      </c>
      <c r="AS184" s="827">
        <f>+I204+AC204</f>
        <v>3104080.4987973464</v>
      </c>
      <c r="AT184" s="828"/>
      <c r="AU184" s="829"/>
      <c r="AV184" s="830">
        <f>AG204+M204</f>
        <v>1630839.4466342132</v>
      </c>
      <c r="AW184" s="828"/>
      <c r="AX184" s="829"/>
      <c r="AY184" s="830">
        <f>AS184-AV184</f>
        <v>1473241.0521631332</v>
      </c>
      <c r="AZ184" s="828"/>
      <c r="BA184" s="829"/>
      <c r="BB184" s="831">
        <f>'Working Paper 3'!$J$15/'Working Paper 3'!$F$15</f>
        <v>0.46280092022477287</v>
      </c>
      <c r="BC184" s="828"/>
      <c r="BD184" s="832"/>
      <c r="BE184" s="827">
        <f>+AL199+R199</f>
        <v>398256.46766760008</v>
      </c>
      <c r="BF184" s="828"/>
      <c r="BG184" s="828"/>
      <c r="BH184" s="833">
        <f>AY184-BE184</f>
        <v>1074984.584495533</v>
      </c>
      <c r="BI184" s="828"/>
      <c r="BJ184" s="832"/>
    </row>
    <row r="185" spans="1:62" ht="54.95" customHeight="1" outlineLevel="1" thickBot="1" x14ac:dyDescent="0.3">
      <c r="A185" s="291"/>
      <c r="B185" s="291"/>
      <c r="C185" s="301" t="s">
        <v>3</v>
      </c>
      <c r="D185" s="309">
        <f>'Working Paper 3'!$C$7</f>
        <v>0.3206982301443993</v>
      </c>
      <c r="E185" s="295">
        <f t="shared" si="154"/>
        <v>0.32069999999999999</v>
      </c>
      <c r="F185" s="294"/>
      <c r="G185" s="317"/>
      <c r="H185" s="298">
        <f>'Working Paper 3'!$E$7</f>
        <v>142.99254815956868</v>
      </c>
      <c r="I185" s="299">
        <f t="shared" ref="I185:I191" si="156">H196</f>
        <v>65</v>
      </c>
      <c r="J185" s="294"/>
      <c r="K185" s="317"/>
      <c r="L185" s="298">
        <f>'Working Paper 3'!$G$7</f>
        <v>28.660658557912612</v>
      </c>
      <c r="M185" s="300">
        <f t="shared" ref="M185:M191" si="157">L196</f>
        <v>28</v>
      </c>
      <c r="N185" s="294"/>
      <c r="O185" s="317"/>
      <c r="P185" s="329" t="s">
        <v>118</v>
      </c>
      <c r="Q185" s="334">
        <v>3.12</v>
      </c>
      <c r="R185" s="352">
        <f>Q196/100</f>
        <v>1.5</v>
      </c>
      <c r="S185" s="330"/>
      <c r="T185" s="317"/>
      <c r="U185" s="709"/>
      <c r="V185" s="317"/>
      <c r="W185" s="301" t="str">
        <f>'Working Paper 3'!$B$7</f>
        <v>EFTPOS</v>
      </c>
      <c r="X185" s="309">
        <f t="shared" ref="X185:X189" si="158">V196/$V$85</f>
        <v>0.32800000000000001</v>
      </c>
      <c r="Y185" s="295">
        <f t="shared" si="155"/>
        <v>0.32800000000000001</v>
      </c>
      <c r="Z185" s="294"/>
      <c r="AA185" s="317"/>
      <c r="AB185" s="298">
        <v>130</v>
      </c>
      <c r="AC185" s="299">
        <f t="shared" ref="AC185:AC189" si="159">AB196</f>
        <v>65</v>
      </c>
      <c r="AD185" s="294"/>
      <c r="AE185" s="317"/>
      <c r="AF185" s="298">
        <v>25</v>
      </c>
      <c r="AG185" s="300">
        <f t="shared" ref="AG185:AG189" si="160">AF196</f>
        <v>25</v>
      </c>
      <c r="AH185" s="294"/>
      <c r="AI185" s="291"/>
      <c r="AJ185" s="329" t="s">
        <v>118</v>
      </c>
      <c r="AK185" s="334">
        <f t="shared" ref="AK185:AK186" si="161">AL203/$Z$25*10000</f>
        <v>0.97775746262515195</v>
      </c>
      <c r="AL185" s="352">
        <f>AK196/100</f>
        <v>0.5</v>
      </c>
      <c r="AM185" s="330"/>
      <c r="AP185" s="291"/>
      <c r="AR185" s="826"/>
      <c r="AS185" s="834">
        <f>AS184/(Y204+A204)*10000</f>
        <v>141.41355249202618</v>
      </c>
      <c r="AT185" s="835"/>
      <c r="AU185" s="836"/>
      <c r="AV185" s="837">
        <f>AV184/(Y204+A204)*10000</f>
        <v>74.296655573857493</v>
      </c>
      <c r="AW185" s="835"/>
      <c r="AX185" s="836"/>
      <c r="AY185" s="837">
        <f>AS185-AV185</f>
        <v>67.116896918168692</v>
      </c>
      <c r="AZ185" s="838"/>
      <c r="BA185" s="839"/>
      <c r="BB185" s="840"/>
      <c r="BC185" s="841"/>
      <c r="BD185" s="842"/>
      <c r="BE185" s="843">
        <f>Q187</f>
        <v>18.79</v>
      </c>
      <c r="BF185" s="835"/>
      <c r="BG185" s="836"/>
      <c r="BH185" s="837">
        <f>AY185-BE185</f>
        <v>48.326896918168693</v>
      </c>
      <c r="BI185" s="835"/>
      <c r="BJ185" s="844"/>
    </row>
    <row r="186" spans="1:62" ht="54.95" customHeight="1" outlineLevel="1" thickBot="1" x14ac:dyDescent="0.3">
      <c r="A186" s="291"/>
      <c r="B186" s="291"/>
      <c r="C186" s="301" t="s">
        <v>4</v>
      </c>
      <c r="D186" s="309">
        <f>'Working Paper 3'!$C$8</f>
        <v>4.0553505985047866E-2</v>
      </c>
      <c r="E186" s="295">
        <f t="shared" si="154"/>
        <v>4.0599999999999997E-2</v>
      </c>
      <c r="F186" s="326"/>
      <c r="G186" s="317"/>
      <c r="H186" s="298">
        <f>'Working Paper 3'!$E$8</f>
        <v>143.45851781578313</v>
      </c>
      <c r="I186" s="299">
        <f t="shared" si="156"/>
        <v>165</v>
      </c>
      <c r="J186" s="294"/>
      <c r="K186" s="317"/>
      <c r="L186" s="298">
        <f>'Working Paper 3'!$G$8</f>
        <v>60.236068170372583</v>
      </c>
      <c r="M186" s="300">
        <f t="shared" si="157"/>
        <v>50</v>
      </c>
      <c r="N186" s="294"/>
      <c r="O186" s="317"/>
      <c r="P186" s="331" t="s">
        <v>119</v>
      </c>
      <c r="Q186" s="334">
        <v>5.0199999999999996</v>
      </c>
      <c r="R186" s="352">
        <f>Q197/100</f>
        <v>2.5</v>
      </c>
      <c r="S186" s="330"/>
      <c r="T186" s="317"/>
      <c r="U186" s="709"/>
      <c r="V186" s="317"/>
      <c r="W186" s="301" t="s">
        <v>120</v>
      </c>
      <c r="X186" s="309">
        <f t="shared" si="158"/>
        <v>0.18</v>
      </c>
      <c r="Y186" s="295">
        <f t="shared" si="155"/>
        <v>0.18</v>
      </c>
      <c r="Z186" s="294"/>
      <c r="AA186" s="317"/>
      <c r="AB186" s="298">
        <v>122</v>
      </c>
      <c r="AC186" s="299">
        <f t="shared" si="159"/>
        <v>150</v>
      </c>
      <c r="AD186" s="294"/>
      <c r="AE186" s="317"/>
      <c r="AF186" s="298">
        <v>72</v>
      </c>
      <c r="AG186" s="300">
        <f t="shared" si="160"/>
        <v>50</v>
      </c>
      <c r="AH186" s="294"/>
      <c r="AI186" s="291"/>
      <c r="AJ186" s="331" t="s">
        <v>119</v>
      </c>
      <c r="AK186" s="334">
        <f t="shared" si="161"/>
        <v>9.4895997991714811</v>
      </c>
      <c r="AL186" s="352">
        <f>AK197/100</f>
        <v>5</v>
      </c>
      <c r="AM186" s="330"/>
      <c r="AP186" s="291"/>
      <c r="AR186" s="810" t="s">
        <v>141</v>
      </c>
      <c r="AS186" s="812">
        <f>(J204+AD204)*R190</f>
        <v>2386730.1015300606</v>
      </c>
      <c r="AT186" s="788"/>
      <c r="AU186" s="789"/>
      <c r="AV186" s="813">
        <f>(AH204+N204)*R190</f>
        <v>1422744.8383007082</v>
      </c>
      <c r="AW186" s="788"/>
      <c r="AX186" s="789"/>
      <c r="AY186" s="813">
        <f>AS186-AV186</f>
        <v>963985.26322935242</v>
      </c>
      <c r="AZ186" s="788"/>
      <c r="BA186" s="789"/>
      <c r="BB186" s="814">
        <f>AY186/J204</f>
        <v>0.48179685264983246</v>
      </c>
      <c r="BC186" s="788"/>
      <c r="BD186" s="797"/>
      <c r="BE186" s="812">
        <f>(AM199+S199)*R190</f>
        <v>193573.85996000003</v>
      </c>
      <c r="BF186" s="788"/>
      <c r="BG186" s="788"/>
      <c r="BH186" s="815">
        <f>AY186-BE186</f>
        <v>770411.40326935239</v>
      </c>
      <c r="BI186" s="788"/>
      <c r="BJ186" s="797"/>
    </row>
    <row r="187" spans="1:62" ht="54.95" customHeight="1" outlineLevel="1" thickBot="1" x14ac:dyDescent="0.3">
      <c r="A187" s="291"/>
      <c r="B187" s="291"/>
      <c r="C187" s="301" t="s">
        <v>5</v>
      </c>
      <c r="D187" s="309">
        <f>'Working Paper 3'!$C$9</f>
        <v>0.22558468242770457</v>
      </c>
      <c r="E187" s="295">
        <f t="shared" si="154"/>
        <v>0.22559999999999999</v>
      </c>
      <c r="F187" s="294"/>
      <c r="G187" s="317"/>
      <c r="H187" s="298">
        <f>'Working Paper 3'!$E$9</f>
        <v>143.21774507854948</v>
      </c>
      <c r="I187" s="299">
        <f t="shared" si="156"/>
        <v>65</v>
      </c>
      <c r="J187" s="294"/>
      <c r="K187" s="317"/>
      <c r="L187" s="298">
        <f>'Working Paper 3'!$G$9</f>
        <v>65.927949272184037</v>
      </c>
      <c r="M187" s="300">
        <f t="shared" si="157"/>
        <v>66</v>
      </c>
      <c r="N187" s="294"/>
      <c r="O187" s="317"/>
      <c r="P187" s="340"/>
      <c r="Q187" s="332">
        <f>R199/$A$85*10000</f>
        <v>18.79</v>
      </c>
      <c r="R187" s="339">
        <f>S199/A204*10000</f>
        <v>9</v>
      </c>
      <c r="S187" s="336"/>
      <c r="T187" s="317"/>
      <c r="U187" s="709"/>
      <c r="V187" s="317"/>
      <c r="W187" s="301" t="s">
        <v>122</v>
      </c>
      <c r="X187" s="309">
        <f t="shared" si="158"/>
        <v>0.17799999999999999</v>
      </c>
      <c r="Y187" s="295">
        <f t="shared" si="155"/>
        <v>0.17799999999999999</v>
      </c>
      <c r="Z187" s="294"/>
      <c r="AA187" s="317"/>
      <c r="AB187" s="298">
        <v>122</v>
      </c>
      <c r="AC187" s="299">
        <f t="shared" si="159"/>
        <v>152</v>
      </c>
      <c r="AD187" s="294"/>
      <c r="AE187" s="317"/>
      <c r="AF187" s="298">
        <v>72</v>
      </c>
      <c r="AG187" s="300">
        <f t="shared" si="160"/>
        <v>50</v>
      </c>
      <c r="AH187" s="294"/>
      <c r="AI187" s="291"/>
      <c r="AJ187" s="340"/>
      <c r="AK187" s="335"/>
      <c r="AL187" s="317"/>
      <c r="AM187" s="336"/>
      <c r="AP187" s="291"/>
      <c r="AR187" s="811"/>
      <c r="AS187" s="816">
        <f>AS186/(Y204+A204)*10000</f>
        <v>108.73299923368235</v>
      </c>
      <c r="AT187" s="817"/>
      <c r="AU187" s="818"/>
      <c r="AV187" s="819">
        <f>AV186/(Y204+A204)*10000</f>
        <v>64.816425331671709</v>
      </c>
      <c r="AW187" s="817"/>
      <c r="AX187" s="818"/>
      <c r="AY187" s="819">
        <f>AS187-AV187</f>
        <v>43.91657390201064</v>
      </c>
      <c r="AZ187" s="817"/>
      <c r="BA187" s="817"/>
      <c r="BB187" s="820"/>
      <c r="BC187" s="821"/>
      <c r="BD187" s="822"/>
      <c r="BE187" s="823">
        <f>R187*R190</f>
        <v>9</v>
      </c>
      <c r="BF187" s="817"/>
      <c r="BG187" s="817"/>
      <c r="BH187" s="819">
        <f>AY187-BE187</f>
        <v>34.91657390201064</v>
      </c>
      <c r="BI187" s="817"/>
      <c r="BJ187" s="824"/>
    </row>
    <row r="188" spans="1:62" ht="54.95" customHeight="1" outlineLevel="1" thickBot="1" x14ac:dyDescent="0.3">
      <c r="A188" s="291"/>
      <c r="B188" s="291"/>
      <c r="C188" s="301" t="s">
        <v>131</v>
      </c>
      <c r="D188" s="309">
        <f>'Working Paper 3'!$C$10</f>
        <v>0.25452682626864803</v>
      </c>
      <c r="E188" s="295">
        <f t="shared" si="154"/>
        <v>0.2545</v>
      </c>
      <c r="F188" s="294"/>
      <c r="G188" s="317"/>
      <c r="H188" s="298">
        <f>'Working Paper 3'!$E$10</f>
        <v>148.69146331982427</v>
      </c>
      <c r="I188" s="299">
        <f t="shared" si="156"/>
        <v>165</v>
      </c>
      <c r="J188" s="294"/>
      <c r="K188" s="317"/>
      <c r="L188" s="298">
        <f>'Working Paper 3'!$G$10</f>
        <v>100.86833162399658</v>
      </c>
      <c r="M188" s="300">
        <f t="shared" si="157"/>
        <v>70</v>
      </c>
      <c r="N188" s="294"/>
      <c r="O188" s="317"/>
      <c r="P188" s="340"/>
      <c r="S188" s="336"/>
      <c r="T188" s="317"/>
      <c r="U188" s="709"/>
      <c r="V188" s="317"/>
      <c r="W188" s="301" t="s">
        <v>50</v>
      </c>
      <c r="X188" s="309">
        <f t="shared" si="158"/>
        <v>0.15</v>
      </c>
      <c r="Y188" s="295">
        <f t="shared" si="155"/>
        <v>0.15</v>
      </c>
      <c r="Z188" s="294"/>
      <c r="AA188" s="317"/>
      <c r="AB188" s="298">
        <v>122</v>
      </c>
      <c r="AC188" s="299">
        <f t="shared" si="159"/>
        <v>65</v>
      </c>
      <c r="AD188" s="294"/>
      <c r="AE188" s="317"/>
      <c r="AF188" s="298">
        <v>72</v>
      </c>
      <c r="AG188" s="300">
        <f t="shared" si="160"/>
        <v>72</v>
      </c>
      <c r="AH188" s="294"/>
      <c r="AI188" s="291"/>
      <c r="AJ188" s="340"/>
      <c r="AK188" s="887" t="s">
        <v>123</v>
      </c>
      <c r="AL188" s="888"/>
      <c r="AM188" s="889"/>
      <c r="AP188" s="291"/>
      <c r="AR188" s="424" t="s">
        <v>124</v>
      </c>
      <c r="AS188" s="787">
        <f t="shared" ref="AS188:AS189" si="162">AS184-AS186</f>
        <v>717350.39726728573</v>
      </c>
      <c r="AT188" s="788"/>
      <c r="AU188" s="789"/>
      <c r="AV188" s="790">
        <f t="shared" ref="AV188:AV189" si="163">AV184-AV186</f>
        <v>208094.60833350499</v>
      </c>
      <c r="AW188" s="791"/>
      <c r="AX188" s="792"/>
      <c r="AY188" s="793">
        <f t="shared" ref="AY188:AY189" si="164">AY184-AY186</f>
        <v>509255.78893378074</v>
      </c>
      <c r="AZ188" s="788"/>
      <c r="BA188" s="788"/>
      <c r="BB188" s="794"/>
      <c r="BC188" s="788"/>
      <c r="BD188" s="789"/>
      <c r="BE188" s="795">
        <f t="shared" ref="BE188:BE189" si="165">BE184-BE186</f>
        <v>204682.60770760005</v>
      </c>
      <c r="BF188" s="788"/>
      <c r="BG188" s="789"/>
      <c r="BH188" s="796">
        <f t="shared" ref="BH188:BH189" si="166">BH184-BH186</f>
        <v>304573.18122618063</v>
      </c>
      <c r="BI188" s="788"/>
      <c r="BJ188" s="797"/>
    </row>
    <row r="189" spans="1:62" ht="54.95" customHeight="1" outlineLevel="1" thickBot="1" x14ac:dyDescent="0.3">
      <c r="A189" s="291"/>
      <c r="B189" s="291"/>
      <c r="C189" s="301" t="s">
        <v>7</v>
      </c>
      <c r="D189" s="309">
        <f>'Working Paper 3'!$C$11</f>
        <v>6.0059880831170691E-2</v>
      </c>
      <c r="E189" s="295">
        <f t="shared" si="154"/>
        <v>6.0100000000000001E-2</v>
      </c>
      <c r="F189" s="294"/>
      <c r="G189" s="317"/>
      <c r="H189" s="298">
        <f>'Working Paper 3'!$E$11</f>
        <v>142.98844600659757</v>
      </c>
      <c r="I189" s="299">
        <f t="shared" si="156"/>
        <v>65</v>
      </c>
      <c r="J189" s="294"/>
      <c r="K189" s="317"/>
      <c r="L189" s="298">
        <f>'Working Paper 3'!$G$11</f>
        <v>54.90928046317822</v>
      </c>
      <c r="M189" s="300">
        <f t="shared" si="157"/>
        <v>55</v>
      </c>
      <c r="N189" s="294"/>
      <c r="O189" s="317"/>
      <c r="P189" s="340"/>
      <c r="Q189" s="887" t="s">
        <v>123</v>
      </c>
      <c r="R189" s="888"/>
      <c r="S189" s="889"/>
      <c r="T189" s="701"/>
      <c r="U189" s="709"/>
      <c r="V189" s="317"/>
      <c r="W189" s="301" t="s">
        <v>125</v>
      </c>
      <c r="X189" s="309">
        <f t="shared" si="158"/>
        <v>0.15</v>
      </c>
      <c r="Y189" s="295">
        <f t="shared" si="155"/>
        <v>0.15</v>
      </c>
      <c r="Z189" s="294"/>
      <c r="AA189" s="318"/>
      <c r="AB189" s="298">
        <v>122</v>
      </c>
      <c r="AC189" s="299">
        <f t="shared" si="159"/>
        <v>65</v>
      </c>
      <c r="AD189" s="294"/>
      <c r="AE189" s="318"/>
      <c r="AF189" s="298">
        <v>72</v>
      </c>
      <c r="AG189" s="300">
        <f t="shared" si="160"/>
        <v>72</v>
      </c>
      <c r="AH189" s="294"/>
      <c r="AI189" s="291"/>
      <c r="AJ189" s="340"/>
      <c r="AK189" s="384">
        <v>1</v>
      </c>
      <c r="AL189" s="384">
        <f>AK201/100</f>
        <v>1</v>
      </c>
      <c r="AM189" s="383"/>
      <c r="AP189" s="291"/>
      <c r="AR189" s="425" t="s">
        <v>126</v>
      </c>
      <c r="AS189" s="798">
        <f t="shared" si="162"/>
        <v>32.680553258343835</v>
      </c>
      <c r="AT189" s="799"/>
      <c r="AU189" s="800"/>
      <c r="AV189" s="801">
        <f t="shared" si="163"/>
        <v>9.4802302421857831</v>
      </c>
      <c r="AW189" s="799"/>
      <c r="AX189" s="800"/>
      <c r="AY189" s="801">
        <f t="shared" si="164"/>
        <v>23.200323016158052</v>
      </c>
      <c r="AZ189" s="799"/>
      <c r="BA189" s="799"/>
      <c r="BB189" s="802"/>
      <c r="BC189" s="803"/>
      <c r="BD189" s="804"/>
      <c r="BE189" s="805">
        <f t="shared" si="165"/>
        <v>9.7899999999999991</v>
      </c>
      <c r="BF189" s="806"/>
      <c r="BG189" s="807"/>
      <c r="BH189" s="808">
        <f t="shared" si="166"/>
        <v>13.410323016158053</v>
      </c>
      <c r="BI189" s="806"/>
      <c r="BJ189" s="809"/>
    </row>
    <row r="190" spans="1:62" ht="54.95" customHeight="1" outlineLevel="1" thickBot="1" x14ac:dyDescent="0.3">
      <c r="A190" s="291"/>
      <c r="B190" s="291"/>
      <c r="C190" s="301" t="s">
        <v>132</v>
      </c>
      <c r="D190" s="309">
        <f>'Working Paper 3'!$C$12</f>
        <v>2.4773150306096305E-2</v>
      </c>
      <c r="E190" s="295">
        <f t="shared" si="154"/>
        <v>2.4799999999999999E-2</v>
      </c>
      <c r="F190" s="294"/>
      <c r="G190" s="317"/>
      <c r="H190" s="298">
        <f>'Working Paper 3'!$E$12</f>
        <v>145.45695079148425</v>
      </c>
      <c r="I190" s="299">
        <f t="shared" si="156"/>
        <v>295</v>
      </c>
      <c r="J190" s="294"/>
      <c r="K190" s="317"/>
      <c r="L190" s="298">
        <f>'Working Paper 3'!$G$12</f>
        <v>292.619148787516</v>
      </c>
      <c r="M190" s="300">
        <f t="shared" si="157"/>
        <v>260</v>
      </c>
      <c r="N190" s="294"/>
      <c r="O190" s="317"/>
      <c r="P190" s="340"/>
      <c r="Q190" s="384">
        <v>1</v>
      </c>
      <c r="R190" s="384">
        <f>Q193/100</f>
        <v>1</v>
      </c>
      <c r="S190" s="383"/>
      <c r="T190" s="317"/>
      <c r="U190" s="709"/>
      <c r="V190" s="317"/>
      <c r="W190" s="323"/>
      <c r="X190" s="661"/>
      <c r="Y190" s="662"/>
      <c r="Z190" s="317"/>
      <c r="AA190" s="317"/>
      <c r="AB190" s="663"/>
      <c r="AC190" s="663"/>
      <c r="AD190" s="317"/>
      <c r="AE190" s="317"/>
      <c r="AF190" s="663"/>
      <c r="AG190" s="663"/>
      <c r="AH190" s="317"/>
      <c r="AI190" s="423"/>
      <c r="AJ190" s="340"/>
      <c r="AK190" s="335"/>
      <c r="AL190" s="317"/>
      <c r="AM190" s="336"/>
      <c r="AN190" s="423"/>
      <c r="AO190" s="423"/>
      <c r="AP190" s="291"/>
    </row>
    <row r="191" spans="1:62" ht="54.95" customHeight="1" outlineLevel="1" thickBot="1" x14ac:dyDescent="0.3">
      <c r="A191" s="291"/>
      <c r="B191" s="291"/>
      <c r="C191" s="301" t="s">
        <v>133</v>
      </c>
      <c r="D191" s="309">
        <f>'Working Paper 3'!$C$13</f>
        <v>2.3298914154830527E-2</v>
      </c>
      <c r="E191" s="295">
        <f t="shared" si="154"/>
        <v>2.3300000000000001E-2</v>
      </c>
      <c r="F191" s="294"/>
      <c r="G191" s="317"/>
      <c r="H191" s="298">
        <f>'Working Paper 3'!$E$13</f>
        <v>139.5775929132339</v>
      </c>
      <c r="I191" s="299">
        <f t="shared" si="156"/>
        <v>295</v>
      </c>
      <c r="J191" s="294"/>
      <c r="K191" s="317"/>
      <c r="L191" s="298">
        <f>'Working Paper 3'!$G$13</f>
        <v>285.31047780447233</v>
      </c>
      <c r="M191" s="300">
        <f t="shared" si="157"/>
        <v>260</v>
      </c>
      <c r="N191" s="294"/>
      <c r="O191" s="317"/>
      <c r="P191" s="341"/>
      <c r="Q191" s="337"/>
      <c r="R191" s="318"/>
      <c r="S191" s="338"/>
      <c r="T191" s="317"/>
      <c r="U191" s="709"/>
      <c r="V191" s="317"/>
      <c r="W191" s="323"/>
      <c r="X191" s="661"/>
      <c r="Y191" s="662"/>
      <c r="Z191" s="317"/>
      <c r="AA191" s="317"/>
      <c r="AB191" s="663"/>
      <c r="AC191" s="663"/>
      <c r="AD191" s="317"/>
      <c r="AE191" s="317"/>
      <c r="AF191" s="663"/>
      <c r="AG191" s="663"/>
      <c r="AH191" s="317"/>
      <c r="AI191" s="423"/>
      <c r="AJ191" s="341"/>
      <c r="AK191" s="337"/>
      <c r="AL191" s="318"/>
      <c r="AM191" s="338"/>
      <c r="AN191" s="423"/>
      <c r="AO191" s="423"/>
      <c r="AP191" s="291"/>
    </row>
    <row r="192" spans="1:62" ht="21.95" customHeight="1" outlineLevel="1" thickBot="1" x14ac:dyDescent="0.3">
      <c r="A192" s="291"/>
      <c r="B192" s="291"/>
      <c r="C192" s="291"/>
      <c r="D192" s="291"/>
      <c r="E192" s="291"/>
      <c r="F192" s="291"/>
      <c r="G192" s="317"/>
      <c r="H192" s="291"/>
      <c r="I192" s="291"/>
      <c r="J192" s="291"/>
      <c r="K192" s="317"/>
      <c r="L192" s="291"/>
      <c r="M192" s="291"/>
      <c r="N192" s="291"/>
      <c r="O192" s="317"/>
      <c r="P192" s="317"/>
      <c r="Q192" s="317"/>
      <c r="R192" s="317"/>
      <c r="S192" s="317"/>
      <c r="T192" s="317"/>
      <c r="U192" s="709"/>
      <c r="V192" s="317"/>
      <c r="W192" s="291"/>
      <c r="X192" s="291"/>
      <c r="Y192" s="291"/>
      <c r="Z192" s="291"/>
      <c r="AA192" s="317"/>
      <c r="AB192" s="291"/>
      <c r="AC192" s="291"/>
      <c r="AD192" s="291"/>
      <c r="AE192" s="317"/>
      <c r="AF192" s="291"/>
      <c r="AG192" s="291"/>
      <c r="AH192" s="291"/>
      <c r="AJ192" s="317"/>
      <c r="AK192" s="317"/>
      <c r="AL192" s="317"/>
      <c r="AM192" s="317"/>
      <c r="AP192" s="291"/>
    </row>
    <row r="193" spans="1:42" ht="21.95" customHeight="1" outlineLevel="1" thickBot="1" x14ac:dyDescent="0.3">
      <c r="A193" s="291"/>
      <c r="B193" s="291"/>
      <c r="C193" s="291"/>
      <c r="D193" s="315">
        <f>SUM(D184:D192)</f>
        <v>0.99999999999999978</v>
      </c>
      <c r="E193" s="316">
        <f>SUM(E184:E192)</f>
        <v>1.0001</v>
      </c>
      <c r="F193" s="291"/>
      <c r="G193" s="317"/>
      <c r="H193" s="356">
        <f>I204/A204*10000</f>
        <v>145.09737289553766</v>
      </c>
      <c r="I193" s="314">
        <f>H204</f>
        <v>111.33650000000002</v>
      </c>
      <c r="J193" s="291"/>
      <c r="K193" s="317"/>
      <c r="L193" s="311">
        <f>M204/A204*10000</f>
        <v>77.946175197285811</v>
      </c>
      <c r="M193" s="312">
        <f>L204</f>
        <v>68.110699999999994</v>
      </c>
      <c r="N193" s="291"/>
      <c r="O193" s="317"/>
      <c r="P193" s="291"/>
      <c r="Q193" s="410">
        <v>100</v>
      </c>
      <c r="R193" s="411">
        <f>R190*1</f>
        <v>1</v>
      </c>
      <c r="S193" s="410"/>
      <c r="T193" s="703"/>
      <c r="U193" s="709"/>
      <c r="V193" s="317"/>
      <c r="W193" s="291"/>
      <c r="X193" s="315">
        <f>SUM(X184:X192)</f>
        <v>1</v>
      </c>
      <c r="Y193" s="316">
        <f>SUM(Y184:Y192)</f>
        <v>1</v>
      </c>
      <c r="Z193" s="291"/>
      <c r="AA193" s="317"/>
      <c r="AB193" s="686">
        <f>AC204/V204*10000</f>
        <v>124.77799999999998</v>
      </c>
      <c r="AC193" s="357">
        <f>AD204/V204*10000</f>
        <v>96.976000000000013</v>
      </c>
      <c r="AD193" s="291"/>
      <c r="AE193" s="317"/>
      <c r="AF193" s="698">
        <f>AF204</f>
        <v>57.815999999999995</v>
      </c>
      <c r="AG193" s="312">
        <f>AH204/Z204*10000</f>
        <v>49.940000000000005</v>
      </c>
      <c r="AH193" s="291"/>
      <c r="AJ193" s="291"/>
      <c r="AK193" s="332">
        <f>AL199/Z204*10000</f>
        <v>15.223967647309742</v>
      </c>
      <c r="AL193" s="413">
        <f>AM199/Z204*10000</f>
        <v>7.9999999999999991</v>
      </c>
      <c r="AM193" s="291"/>
      <c r="AP193" s="291"/>
    </row>
    <row r="194" spans="1:42" ht="21.95" customHeight="1" outlineLevel="1" thickBot="1" x14ac:dyDescent="0.3">
      <c r="A194" s="291"/>
      <c r="B194" s="291"/>
      <c r="C194" s="291"/>
      <c r="D194" s="291"/>
      <c r="E194" s="291"/>
      <c r="F194" s="291"/>
      <c r="G194" s="317"/>
      <c r="H194" s="291"/>
      <c r="I194" s="291"/>
      <c r="J194" s="291"/>
      <c r="K194" s="317"/>
      <c r="L194" s="291"/>
      <c r="M194" s="291"/>
      <c r="N194" s="291"/>
      <c r="O194" s="317"/>
      <c r="P194" s="317"/>
      <c r="Q194" s="317"/>
      <c r="R194" s="317"/>
      <c r="S194" s="317"/>
      <c r="T194" s="317"/>
      <c r="U194" s="709"/>
      <c r="V194" s="670" t="s">
        <v>103</v>
      </c>
      <c r="W194" s="291"/>
      <c r="X194" s="291"/>
      <c r="Y194" s="291"/>
      <c r="Z194" s="291"/>
      <c r="AA194" s="317"/>
      <c r="AB194" s="291"/>
      <c r="AC194" s="291"/>
      <c r="AD194" s="291"/>
      <c r="AE194" s="317"/>
      <c r="AF194" s="291"/>
      <c r="AG194" s="291"/>
      <c r="AH194" s="291"/>
      <c r="AJ194" s="317"/>
      <c r="AK194" s="317"/>
      <c r="AL194" s="414"/>
      <c r="AM194" s="317"/>
      <c r="AP194" s="291"/>
    </row>
    <row r="195" spans="1:42" ht="21.95" customHeight="1" outlineLevel="1" thickBot="1" x14ac:dyDescent="0.3">
      <c r="A195" s="305">
        <f>D184*'Working Paper 3'!$D$15</f>
        <v>9076148.8993999995</v>
      </c>
      <c r="B195" s="305"/>
      <c r="C195" s="291" t="s">
        <v>130</v>
      </c>
      <c r="D195" s="292">
        <v>505</v>
      </c>
      <c r="E195" s="458">
        <f>D184*$A$85</f>
        <v>9076148.8993999995</v>
      </c>
      <c r="F195" s="448">
        <f>E184*$A$85</f>
        <v>9075284.5222000033</v>
      </c>
      <c r="G195" s="449"/>
      <c r="H195" s="450">
        <v>179</v>
      </c>
      <c r="I195" s="448">
        <f t="shared" ref="I195:I202" si="167">H184*A195/10000</f>
        <v>140625.07096306313</v>
      </c>
      <c r="J195" s="455">
        <f>I184*F195/10000</f>
        <v>162447.59294738006</v>
      </c>
      <c r="K195" s="449"/>
      <c r="L195" s="450">
        <v>170</v>
      </c>
      <c r="M195" s="448">
        <f t="shared" ref="M195:M202" si="168">L184*A195/10000</f>
        <v>154038.48510632664</v>
      </c>
      <c r="N195" s="715">
        <f>M184*F195/10000</f>
        <v>154279.83687740006</v>
      </c>
      <c r="O195" s="449"/>
      <c r="P195" s="460" t="s">
        <v>116</v>
      </c>
      <c r="Q195" s="371">
        <v>500</v>
      </c>
      <c r="R195" s="461">
        <f>Q184*$A$85/10000</f>
        <v>191389.66368600004</v>
      </c>
      <c r="S195" s="362">
        <f>Q195*E204/1000000</f>
        <v>89854.30220000002</v>
      </c>
      <c r="T195" s="705"/>
      <c r="U195" s="709"/>
      <c r="V195" s="671">
        <f>'TTV By Card'!$C$55</f>
        <v>557132.03</v>
      </c>
      <c r="W195" s="291" t="str">
        <f>W184</f>
        <v>Amex</v>
      </c>
      <c r="X195" s="369">
        <v>140</v>
      </c>
      <c r="Y195" s="370">
        <f>X184*$V$85</f>
        <v>557132.03</v>
      </c>
      <c r="Z195" s="349">
        <f>Y184*$V$25</f>
        <v>557132.03</v>
      </c>
      <c r="AA195" s="317"/>
      <c r="AB195" s="700">
        <v>150</v>
      </c>
      <c r="AC195" s="348">
        <f>AB184*V195/10000</f>
        <v>7409.8559990000012</v>
      </c>
      <c r="AD195" s="350">
        <f>AC184*Z195/10000</f>
        <v>8356.9804499999991</v>
      </c>
      <c r="AE195" s="317"/>
      <c r="AF195" s="296">
        <v>160</v>
      </c>
      <c r="AG195" s="348">
        <f>AF184*V195/10000</f>
        <v>8914.1124800000016</v>
      </c>
      <c r="AH195" s="351">
        <f>AG184*Z195/10000</f>
        <v>8914.1124800000016</v>
      </c>
      <c r="AI195" s="291"/>
      <c r="AJ195" s="329" t="s">
        <v>116</v>
      </c>
      <c r="AK195" s="371">
        <v>250</v>
      </c>
      <c r="AL195" s="694">
        <f>AK184*$Z$25/10000</f>
        <v>18929</v>
      </c>
      <c r="AM195" s="373">
        <f>AL184*$Z$55/10000</f>
        <v>9948.7862499999992</v>
      </c>
      <c r="AP195" s="291"/>
    </row>
    <row r="196" spans="1:42" ht="21.95" customHeight="1" outlineLevel="1" thickBot="1" x14ac:dyDescent="0.3">
      <c r="A196" s="305">
        <f>D185*'Working Paper 3'!$D$15</f>
        <v>57632231.372800022</v>
      </c>
      <c r="B196" s="305"/>
      <c r="C196" s="291" t="s">
        <v>3</v>
      </c>
      <c r="D196" s="292">
        <v>3207</v>
      </c>
      <c r="E196" s="458">
        <f t="shared" ref="E196:E202" si="169">D185*$A$85</f>
        <v>57632231.372800022</v>
      </c>
      <c r="F196" s="448">
        <f>E185*$A$204</f>
        <v>57632549.431080006</v>
      </c>
      <c r="G196" s="449"/>
      <c r="H196" s="450">
        <v>65</v>
      </c>
      <c r="I196" s="448">
        <f t="shared" si="167"/>
        <v>824097.96201185125</v>
      </c>
      <c r="J196" s="455">
        <f t="shared" ref="J196:J202" si="170">I185*F196/10000</f>
        <v>374611.57130202005</v>
      </c>
      <c r="K196" s="449"/>
      <c r="L196" s="450">
        <v>28</v>
      </c>
      <c r="M196" s="448">
        <f t="shared" si="168"/>
        <v>165177.77053064405</v>
      </c>
      <c r="N196" s="715">
        <f t="shared" ref="N196:N202" si="171">M185*F196/10000</f>
        <v>161371.13840702403</v>
      </c>
      <c r="O196" s="449"/>
      <c r="P196" s="460" t="s">
        <v>118</v>
      </c>
      <c r="Q196" s="374">
        <v>150</v>
      </c>
      <c r="R196" s="461">
        <f t="shared" ref="R196:R197" si="172">Q185*$A$85/10000</f>
        <v>56069.084572800013</v>
      </c>
      <c r="S196" s="362">
        <f>Q196*E204/1000000</f>
        <v>26956.290660000002</v>
      </c>
      <c r="T196" s="705"/>
      <c r="U196" s="710"/>
      <c r="V196" s="672">
        <f>'TTV By Card'!$D$55</f>
        <v>13052807.560000001</v>
      </c>
      <c r="W196" s="291" t="str">
        <f t="shared" ref="W196:W200" si="173">W185</f>
        <v>EFTPOS</v>
      </c>
      <c r="X196" s="369">
        <v>3280</v>
      </c>
      <c r="Y196" s="370">
        <f t="shared" ref="Y196:Y200" si="174">X185*$V$85</f>
        <v>13052807.560000001</v>
      </c>
      <c r="Z196" s="349">
        <f t="shared" ref="Z196:Z200" si="175">Y185*$V$25</f>
        <v>13052807.560000001</v>
      </c>
      <c r="AA196" s="319"/>
      <c r="AB196" s="430">
        <v>65</v>
      </c>
      <c r="AC196" s="348">
        <f t="shared" ref="AC196:AC200" si="176">AB185*V196/10000</f>
        <v>169686.49828</v>
      </c>
      <c r="AD196" s="350">
        <f t="shared" ref="AD196:AD200" si="177">AC185*Z196/10000</f>
        <v>84843.24914</v>
      </c>
      <c r="AE196" s="319"/>
      <c r="AF196" s="297">
        <v>25</v>
      </c>
      <c r="AG196" s="348">
        <f t="shared" ref="AG196:AG200" si="178">AF185*V196/10000</f>
        <v>32632.018899999999</v>
      </c>
      <c r="AH196" s="351">
        <f t="shared" ref="AH196:AH200" si="179">AG185*Z196/10000</f>
        <v>32632.018899999999</v>
      </c>
      <c r="AJ196" s="329" t="s">
        <v>118</v>
      </c>
      <c r="AK196" s="374">
        <v>50</v>
      </c>
      <c r="AL196" s="694">
        <f t="shared" ref="AL196:AL197" si="180">AK185*$Z$25/10000</f>
        <v>3891</v>
      </c>
      <c r="AM196" s="373">
        <f t="shared" ref="AM196:AM197" si="181">AL185*$Z$55/10000</f>
        <v>1989.7572500000001</v>
      </c>
    </row>
    <row r="197" spans="1:42" ht="21.95" customHeight="1" outlineLevel="1" thickBot="1" x14ac:dyDescent="0.3">
      <c r="A197" s="305">
        <f>D186*'Working Paper 3'!$D$15</f>
        <v>7287813.9641000004</v>
      </c>
      <c r="B197" s="305"/>
      <c r="C197" s="291" t="s">
        <v>4</v>
      </c>
      <c r="D197" s="292">
        <v>406</v>
      </c>
      <c r="E197" s="458">
        <f t="shared" si="169"/>
        <v>7287813.9641000004</v>
      </c>
      <c r="F197" s="448">
        <f t="shared" ref="F197:F202" si="182">E186*$A$85</f>
        <v>7296169.3386400007</v>
      </c>
      <c r="G197" s="449"/>
      <c r="H197" s="450">
        <v>165</v>
      </c>
      <c r="I197" s="448">
        <f t="shared" si="167"/>
        <v>104549.8989406953</v>
      </c>
      <c r="J197" s="455">
        <f t="shared" si="170"/>
        <v>120386.79408756</v>
      </c>
      <c r="K197" s="449"/>
      <c r="L197" s="450">
        <v>50</v>
      </c>
      <c r="M197" s="448">
        <f t="shared" si="168"/>
        <v>43898.925875452092</v>
      </c>
      <c r="N197" s="715">
        <f t="shared" si="171"/>
        <v>36480.846693200001</v>
      </c>
      <c r="O197" s="449"/>
      <c r="P197" s="462" t="s">
        <v>119</v>
      </c>
      <c r="Q197" s="374">
        <v>250</v>
      </c>
      <c r="R197" s="461">
        <f t="shared" si="172"/>
        <v>90213.719408800011</v>
      </c>
      <c r="S197" s="362">
        <f>Q197*E204/1000000</f>
        <v>44927.15110000001</v>
      </c>
      <c r="T197" s="705"/>
      <c r="U197" s="710"/>
      <c r="V197" s="672">
        <f>'TTV By Card'!$E$55</f>
        <v>7163126.0999999996</v>
      </c>
      <c r="W197" s="291" t="str">
        <f t="shared" si="173"/>
        <v>Credit ViSa</v>
      </c>
      <c r="X197" s="369">
        <v>1800</v>
      </c>
      <c r="Y197" s="370">
        <f t="shared" si="174"/>
        <v>7163126.0999999996</v>
      </c>
      <c r="Z197" s="349">
        <f t="shared" si="175"/>
        <v>7163126.0999999996</v>
      </c>
      <c r="AA197" s="319"/>
      <c r="AB197" s="430">
        <v>150</v>
      </c>
      <c r="AC197" s="348">
        <f t="shared" si="176"/>
        <v>87390.138419999988</v>
      </c>
      <c r="AD197" s="350">
        <f t="shared" si="177"/>
        <v>107446.8915</v>
      </c>
      <c r="AE197" s="319"/>
      <c r="AF197" s="297">
        <v>50</v>
      </c>
      <c r="AG197" s="348">
        <f t="shared" si="178"/>
        <v>51574.507919999996</v>
      </c>
      <c r="AH197" s="351">
        <f t="shared" si="179"/>
        <v>35815.630499999999</v>
      </c>
      <c r="AJ197" s="333" t="s">
        <v>119</v>
      </c>
      <c r="AK197" s="374">
        <v>500</v>
      </c>
      <c r="AL197" s="694">
        <f t="shared" si="180"/>
        <v>37764</v>
      </c>
      <c r="AM197" s="373">
        <f t="shared" si="181"/>
        <v>19897.572499999998</v>
      </c>
    </row>
    <row r="198" spans="1:42" ht="21.95" customHeight="1" outlineLevel="1" x14ac:dyDescent="0.25">
      <c r="A198" s="305">
        <f>D187*'Working Paper 3'!$D$15</f>
        <v>40539508.453100003</v>
      </c>
      <c r="B198" s="305"/>
      <c r="C198" s="291" t="s">
        <v>5</v>
      </c>
      <c r="D198" s="292">
        <v>2256</v>
      </c>
      <c r="E198" s="458">
        <f t="shared" si="169"/>
        <v>40539508.453100003</v>
      </c>
      <c r="F198" s="448">
        <f t="shared" si="182"/>
        <v>40542261.152640007</v>
      </c>
      <c r="G198" s="449"/>
      <c r="H198" s="450">
        <v>65</v>
      </c>
      <c r="I198" s="448">
        <f t="shared" si="167"/>
        <v>580597.69872457779</v>
      </c>
      <c r="J198" s="455">
        <f t="shared" si="170"/>
        <v>263524.69749216002</v>
      </c>
      <c r="K198" s="449"/>
      <c r="L198" s="450">
        <v>66</v>
      </c>
      <c r="M198" s="448">
        <f t="shared" si="168"/>
        <v>267268.66568152525</v>
      </c>
      <c r="N198" s="715">
        <f t="shared" si="171"/>
        <v>267578.92360742408</v>
      </c>
      <c r="O198" s="449"/>
      <c r="P198" s="449"/>
      <c r="Q198" s="449"/>
      <c r="R198" s="449"/>
      <c r="S198" s="451"/>
      <c r="T198" s="449"/>
      <c r="U198" s="710"/>
      <c r="V198" s="672">
        <f>'TTV By Card'!$F$55</f>
        <v>7083535.8099999996</v>
      </c>
      <c r="W198" s="291" t="str">
        <f t="shared" si="173"/>
        <v>Credit MC</v>
      </c>
      <c r="X198" s="369">
        <v>1780</v>
      </c>
      <c r="Y198" s="370">
        <f t="shared" si="174"/>
        <v>7083535.8099999996</v>
      </c>
      <c r="Z198" s="349">
        <f t="shared" si="175"/>
        <v>7083535.8099999996</v>
      </c>
      <c r="AA198" s="319"/>
      <c r="AB198" s="430">
        <v>152</v>
      </c>
      <c r="AC198" s="348">
        <f t="shared" si="176"/>
        <v>86419.136881999992</v>
      </c>
      <c r="AD198" s="350">
        <f t="shared" si="177"/>
        <v>107669.744312</v>
      </c>
      <c r="AE198" s="319"/>
      <c r="AF198" s="297">
        <v>50</v>
      </c>
      <c r="AG198" s="348">
        <f t="shared" si="178"/>
        <v>51001.457832</v>
      </c>
      <c r="AH198" s="351">
        <f t="shared" si="179"/>
        <v>35417.679049999999</v>
      </c>
      <c r="AJ198" s="319"/>
      <c r="AK198" s="319"/>
      <c r="AL198" s="319"/>
      <c r="AM198" s="246"/>
    </row>
    <row r="199" spans="1:42" ht="21.95" customHeight="1" outlineLevel="1" x14ac:dyDescent="0.25">
      <c r="A199" s="305">
        <f>D188*'Working Paper 3'!$D$15</f>
        <v>45740660.731100008</v>
      </c>
      <c r="B199" s="305"/>
      <c r="C199" s="291" t="s">
        <v>131</v>
      </c>
      <c r="D199" s="292">
        <v>2545</v>
      </c>
      <c r="E199" s="458">
        <f t="shared" si="169"/>
        <v>45740660.731100008</v>
      </c>
      <c r="F199" s="448">
        <f t="shared" si="182"/>
        <v>45735839.819800012</v>
      </c>
      <c r="G199" s="449"/>
      <c r="H199" s="450">
        <v>165</v>
      </c>
      <c r="I199" s="448">
        <f t="shared" si="167"/>
        <v>680124.57773228828</v>
      </c>
      <c r="J199" s="455">
        <f t="shared" si="170"/>
        <v>754641.35702670016</v>
      </c>
      <c r="K199" s="449"/>
      <c r="L199" s="450">
        <v>70</v>
      </c>
      <c r="M199" s="448">
        <f t="shared" si="168"/>
        <v>461378.41353253135</v>
      </c>
      <c r="N199" s="715">
        <f t="shared" si="171"/>
        <v>320150.87873860006</v>
      </c>
      <c r="O199" s="449"/>
      <c r="P199" s="449"/>
      <c r="Q199" s="320">
        <f>R199/$A$55*10000</f>
        <v>18.79</v>
      </c>
      <c r="R199" s="695">
        <f>SUM(R195:R198)</f>
        <v>337672.46766760008</v>
      </c>
      <c r="S199" s="377">
        <f>SUM(S195:S197)</f>
        <v>161737.74396000002</v>
      </c>
      <c r="T199" s="449"/>
      <c r="U199" s="710"/>
      <c r="V199" s="672">
        <f>'TTV By Card'!$G$55</f>
        <v>5969271.75</v>
      </c>
      <c r="W199" s="291" t="str">
        <f t="shared" si="173"/>
        <v>Debit VISA</v>
      </c>
      <c r="X199" s="369">
        <v>1500</v>
      </c>
      <c r="Y199" s="370">
        <f t="shared" si="174"/>
        <v>5969271.75</v>
      </c>
      <c r="Z199" s="349">
        <f t="shared" si="175"/>
        <v>5969271.75</v>
      </c>
      <c r="AA199" s="319"/>
      <c r="AB199" s="430">
        <v>65</v>
      </c>
      <c r="AC199" s="348">
        <f t="shared" si="176"/>
        <v>72825.115349999993</v>
      </c>
      <c r="AD199" s="350">
        <f t="shared" si="177"/>
        <v>38800.266374999999</v>
      </c>
      <c r="AE199" s="319"/>
      <c r="AF199" s="297">
        <v>72</v>
      </c>
      <c r="AG199" s="348">
        <f t="shared" si="178"/>
        <v>42978.756600000001</v>
      </c>
      <c r="AH199" s="351">
        <f t="shared" si="179"/>
        <v>42978.756600000001</v>
      </c>
      <c r="AJ199" s="319"/>
      <c r="AK199" s="320">
        <f>AL205/$Z$25*10000</f>
        <v>15.223967647309742</v>
      </c>
      <c r="AL199" s="695">
        <f>SUM(AL195:AL198)</f>
        <v>60584</v>
      </c>
      <c r="AM199" s="699">
        <f>SUM(AM195:AM197)</f>
        <v>31836.115999999998</v>
      </c>
    </row>
    <row r="200" spans="1:42" ht="21.95" customHeight="1" outlineLevel="1" x14ac:dyDescent="0.25">
      <c r="A200" s="305">
        <f>D189*'Working Paper 3'!$D$15</f>
        <v>10793277.364599999</v>
      </c>
      <c r="B200" s="305"/>
      <c r="C200" s="291" t="s">
        <v>7</v>
      </c>
      <c r="D200" s="292">
        <v>601</v>
      </c>
      <c r="E200" s="458">
        <f t="shared" si="169"/>
        <v>10793277.364599999</v>
      </c>
      <c r="F200" s="448">
        <f t="shared" si="182"/>
        <v>10800487.124440003</v>
      </c>
      <c r="G200" s="449"/>
      <c r="H200" s="450">
        <v>65</v>
      </c>
      <c r="I200" s="448">
        <f t="shared" si="167"/>
        <v>154331.39576823387</v>
      </c>
      <c r="J200" s="455">
        <f t="shared" si="170"/>
        <v>70203.166308860018</v>
      </c>
      <c r="K200" s="449"/>
      <c r="L200" s="450">
        <v>55</v>
      </c>
      <c r="M200" s="448">
        <f t="shared" si="168"/>
        <v>59265.10939296944</v>
      </c>
      <c r="N200" s="715">
        <f t="shared" si="171"/>
        <v>59402.679184420012</v>
      </c>
      <c r="O200" s="449"/>
      <c r="P200" s="449"/>
      <c r="Q200" s="449"/>
      <c r="R200" s="449"/>
      <c r="S200" s="451"/>
      <c r="T200" s="449"/>
      <c r="U200" s="710"/>
      <c r="V200" s="672">
        <f>'TTV By Card'!$H$55</f>
        <v>5969271.75</v>
      </c>
      <c r="W200" s="291" t="str">
        <f t="shared" si="173"/>
        <v>Debit MC</v>
      </c>
      <c r="X200" s="369">
        <v>1500</v>
      </c>
      <c r="Y200" s="370">
        <f t="shared" si="174"/>
        <v>5969271.75</v>
      </c>
      <c r="Z200" s="349">
        <f t="shared" si="175"/>
        <v>5969271.75</v>
      </c>
      <c r="AA200" s="319"/>
      <c r="AB200" s="430">
        <v>65</v>
      </c>
      <c r="AC200" s="348">
        <f t="shared" si="176"/>
        <v>72825.115349999993</v>
      </c>
      <c r="AD200" s="350">
        <f t="shared" si="177"/>
        <v>38800.266374999999</v>
      </c>
      <c r="AE200" s="319"/>
      <c r="AF200" s="297">
        <v>72</v>
      </c>
      <c r="AG200" s="348">
        <f t="shared" si="178"/>
        <v>42978.756600000001</v>
      </c>
      <c r="AH200" s="351">
        <f t="shared" si="179"/>
        <v>42978.756600000001</v>
      </c>
      <c r="AJ200" s="319"/>
      <c r="AK200" s="319"/>
      <c r="AL200" s="319"/>
      <c r="AM200" s="319"/>
    </row>
    <row r="201" spans="1:42" ht="21.95" customHeight="1" outlineLevel="1" x14ac:dyDescent="0.25">
      <c r="A201" s="305">
        <f>D190*'Working Paper 3'!$D$15</f>
        <v>4451948.2681000009</v>
      </c>
      <c r="B201" s="305"/>
      <c r="C201" s="291" t="s">
        <v>132</v>
      </c>
      <c r="D201" s="292">
        <v>248</v>
      </c>
      <c r="E201" s="458">
        <f t="shared" si="169"/>
        <v>4451948.2681000009</v>
      </c>
      <c r="F201" s="448">
        <f t="shared" si="182"/>
        <v>4456773.3891200004</v>
      </c>
      <c r="G201" s="449"/>
      <c r="H201" s="450">
        <v>295</v>
      </c>
      <c r="I201" s="448">
        <f t="shared" si="167"/>
        <v>64756.682015925537</v>
      </c>
      <c r="J201" s="455">
        <f t="shared" si="170"/>
        <v>131474.81497904001</v>
      </c>
      <c r="K201" s="449"/>
      <c r="L201" s="450">
        <v>260</v>
      </c>
      <c r="M201" s="448">
        <f t="shared" si="168"/>
        <v>130272.53126574784</v>
      </c>
      <c r="N201" s="715">
        <f t="shared" si="171"/>
        <v>115876.10811712001</v>
      </c>
      <c r="O201" s="449"/>
      <c r="P201" s="449"/>
      <c r="R201" s="372">
        <v>155141</v>
      </c>
      <c r="S201" s="451"/>
      <c r="T201" s="449"/>
      <c r="U201" s="710"/>
      <c r="W201" s="317"/>
      <c r="X201" s="660"/>
      <c r="Y201" s="667"/>
      <c r="Z201" s="668"/>
      <c r="AA201" s="319"/>
      <c r="AB201" s="320"/>
      <c r="AC201" s="668"/>
      <c r="AD201" s="668"/>
      <c r="AE201" s="319"/>
      <c r="AF201" s="320"/>
      <c r="AG201" s="668"/>
      <c r="AH201" s="669"/>
      <c r="AJ201" s="319"/>
      <c r="AK201" s="386">
        <v>100</v>
      </c>
      <c r="AL201" s="385">
        <f>AL189*1</f>
        <v>1</v>
      </c>
      <c r="AM201" s="246"/>
    </row>
    <row r="202" spans="1:42" ht="21.95" customHeight="1" outlineLevel="1" x14ac:dyDescent="0.25">
      <c r="A202" s="305">
        <f>D191*'Working Paper 3'!$D$15</f>
        <v>4187015.3468000004</v>
      </c>
      <c r="B202" s="305"/>
      <c r="C202" s="291" t="s">
        <v>133</v>
      </c>
      <c r="D202" s="292">
        <v>233</v>
      </c>
      <c r="E202" s="458">
        <f t="shared" si="169"/>
        <v>4187015.3468000004</v>
      </c>
      <c r="F202" s="448">
        <f t="shared" si="182"/>
        <v>4187210.482520001</v>
      </c>
      <c r="G202" s="449"/>
      <c r="H202" s="450">
        <v>295</v>
      </c>
      <c r="I202" s="448">
        <f t="shared" si="167"/>
        <v>58441.352359711338</v>
      </c>
      <c r="J202" s="455">
        <f t="shared" si="170"/>
        <v>123522.70923434003</v>
      </c>
      <c r="K202" s="449"/>
      <c r="L202" s="450">
        <v>260</v>
      </c>
      <c r="M202" s="448">
        <f t="shared" si="168"/>
        <v>119459.93491701665</v>
      </c>
      <c r="N202" s="715">
        <f t="shared" si="171"/>
        <v>108867.47254552002</v>
      </c>
      <c r="O202" s="449"/>
      <c r="P202" s="449"/>
      <c r="R202" s="372">
        <v>45390</v>
      </c>
      <c r="S202" s="451"/>
      <c r="T202" s="449"/>
      <c r="U202" s="710"/>
      <c r="W202" s="317"/>
      <c r="X202" s="660"/>
      <c r="Y202" s="667"/>
      <c r="Z202" s="668"/>
      <c r="AA202" s="319"/>
      <c r="AB202" s="320"/>
      <c r="AC202" s="668"/>
      <c r="AD202" s="668"/>
      <c r="AE202" s="319"/>
      <c r="AF202" s="320"/>
      <c r="AG202" s="668"/>
      <c r="AH202" s="669"/>
      <c r="AJ202" s="319"/>
      <c r="AK202" s="319"/>
      <c r="AL202" s="372">
        <v>18929</v>
      </c>
      <c r="AM202" s="246"/>
    </row>
    <row r="203" spans="1:42" ht="21.95" customHeight="1" outlineLevel="1" x14ac:dyDescent="0.25">
      <c r="D203" s="278"/>
      <c r="E203" s="278"/>
      <c r="F203" s="278"/>
      <c r="G203" s="449"/>
      <c r="H203" s="450"/>
      <c r="I203" s="278"/>
      <c r="J203" s="278"/>
      <c r="K203" s="449"/>
      <c r="L203" s="278"/>
      <c r="M203" s="278"/>
      <c r="N203" s="716"/>
      <c r="O203" s="449"/>
      <c r="P203" s="449"/>
      <c r="R203" s="372">
        <v>73040</v>
      </c>
      <c r="S203" s="449"/>
      <c r="T203" s="449"/>
      <c r="U203" s="710"/>
      <c r="W203"/>
      <c r="X203" s="291"/>
      <c r="AA203" s="319"/>
      <c r="AE203" s="319"/>
      <c r="AJ203" s="319"/>
      <c r="AK203" s="319"/>
      <c r="AL203" s="372">
        <v>3891</v>
      </c>
      <c r="AM203" s="319"/>
    </row>
    <row r="204" spans="1:42" ht="21.95" customHeight="1" outlineLevel="1" x14ac:dyDescent="0.25">
      <c r="A204" s="429">
        <f>SUM(A195:A203)</f>
        <v>179708604.40000004</v>
      </c>
      <c r="B204" s="429"/>
      <c r="C204" s="98"/>
      <c r="D204" s="463">
        <f>SUM(D195:D203)</f>
        <v>10001</v>
      </c>
      <c r="E204" s="452">
        <f>SUM(E195:E202)</f>
        <v>179708604.40000004</v>
      </c>
      <c r="F204" s="452">
        <f>SUM(F195:F202)</f>
        <v>179726575.26044008</v>
      </c>
      <c r="G204" s="453"/>
      <c r="H204" s="454">
        <f>J204/E204*10000</f>
        <v>111.33650000000002</v>
      </c>
      <c r="I204" s="452">
        <f>SUM(I195:I203)</f>
        <v>2607524.6385163465</v>
      </c>
      <c r="J204" s="452">
        <f>SUM(J195:J203)</f>
        <v>2000812.7033780606</v>
      </c>
      <c r="K204" s="453"/>
      <c r="L204" s="454">
        <f>N204/E204*10000</f>
        <v>68.110699999999994</v>
      </c>
      <c r="M204" s="452">
        <f>SUM(M195:M203)</f>
        <v>1400759.8363022131</v>
      </c>
      <c r="N204" s="719">
        <f>SUM(N195:N203)</f>
        <v>1224007.8841707082</v>
      </c>
      <c r="O204" s="454"/>
      <c r="P204" s="454"/>
      <c r="Q204" s="345">
        <f>R204/A204*10000</f>
        <v>15.223032915612578</v>
      </c>
      <c r="R204" s="377">
        <f>SUM(R201:R203)</f>
        <v>273571</v>
      </c>
      <c r="S204" s="456"/>
      <c r="T204" s="706"/>
      <c r="U204" s="320"/>
      <c r="V204" s="672">
        <f>SUM(V195:V203)</f>
        <v>39795145</v>
      </c>
      <c r="W204" s="343"/>
      <c r="X204" s="344">
        <f>SUM(X195:X203)</f>
        <v>10000</v>
      </c>
      <c r="Y204" s="681">
        <f>SUM(Y195:Y202)</f>
        <v>39795145</v>
      </c>
      <c r="Z204" s="685">
        <f>SUM(Z195:Z202)</f>
        <v>39795145</v>
      </c>
      <c r="AA204" s="319"/>
      <c r="AB204" s="320">
        <f>AC204/Y204*10000</f>
        <v>124.77799999999998</v>
      </c>
      <c r="AC204" s="681">
        <f>SUM(AC195:AC203)</f>
        <v>496555.86028099991</v>
      </c>
      <c r="AD204" s="342">
        <f>SUM(AD195:AD203)</f>
        <v>385917.39815200004</v>
      </c>
      <c r="AE204" s="343"/>
      <c r="AF204" s="320">
        <f>AG204/Z204*10000</f>
        <v>57.815999999999995</v>
      </c>
      <c r="AG204" s="672">
        <f>SUM(AG195:AG203)</f>
        <v>230079.61033199998</v>
      </c>
      <c r="AH204" s="697">
        <f>SUM(AH195:AH203)</f>
        <v>198736.95413</v>
      </c>
      <c r="AJ204" s="345"/>
      <c r="AK204" s="319"/>
      <c r="AL204" s="372">
        <v>37764</v>
      </c>
      <c r="AM204" s="319"/>
    </row>
    <row r="205" spans="1:42" ht="21.95" customHeight="1" outlineLevel="1" x14ac:dyDescent="0.25">
      <c r="M205" s="149">
        <f>J204-N204</f>
        <v>776804.81920735235</v>
      </c>
      <c r="V205" s="695"/>
      <c r="AJ205" s="319"/>
      <c r="AK205" s="319"/>
      <c r="AL205" s="377">
        <f>SUM(AL202:AL204)</f>
        <v>60584</v>
      </c>
      <c r="AM205" s="319"/>
    </row>
    <row r="206" spans="1:42" ht="21.95" customHeight="1" outlineLevel="1" x14ac:dyDescent="0.25">
      <c r="B206" s="710"/>
      <c r="C206" s="710"/>
      <c r="D206" s="710"/>
      <c r="E206" s="710"/>
      <c r="F206" s="710"/>
      <c r="G206" s="710"/>
      <c r="H206" s="710"/>
      <c r="I206" s="710"/>
      <c r="J206" s="710"/>
      <c r="K206" s="710"/>
      <c r="L206" s="710"/>
      <c r="M206" s="710"/>
      <c r="N206" s="710"/>
      <c r="O206" s="710"/>
      <c r="P206" s="710"/>
      <c r="Q206" s="710"/>
      <c r="R206" s="710"/>
      <c r="S206" s="710"/>
      <c r="T206" s="710"/>
      <c r="U206" s="710"/>
      <c r="V206" s="710"/>
      <c r="W206" s="710"/>
      <c r="X206" s="710"/>
      <c r="Y206" s="710"/>
      <c r="Z206" s="710"/>
      <c r="AA206" s="710"/>
      <c r="AB206" s="710"/>
      <c r="AC206" s="710"/>
      <c r="AD206" s="710"/>
      <c r="AE206" s="710"/>
      <c r="AF206" s="710"/>
      <c r="AG206" s="710"/>
      <c r="AH206" s="710"/>
      <c r="AI206" s="710"/>
      <c r="AJ206" s="710"/>
      <c r="AK206" s="710"/>
      <c r="AL206" s="710"/>
      <c r="AM206" s="710"/>
      <c r="AN206" s="710"/>
      <c r="AO206" s="710"/>
    </row>
    <row r="210" spans="1:62" ht="21.95" customHeight="1" outlineLevel="1" x14ac:dyDescent="0.35">
      <c r="D210" s="465" t="s">
        <v>149</v>
      </c>
      <c r="F210" s="894"/>
      <c r="G210" s="893"/>
      <c r="H210" s="893"/>
      <c r="I210" s="893"/>
      <c r="J210" s="893"/>
      <c r="K210" s="893"/>
      <c r="L210" s="893"/>
      <c r="M210" s="893"/>
      <c r="N210" s="893"/>
      <c r="O210" s="893"/>
      <c r="P210" s="893"/>
      <c r="Q210" s="893"/>
      <c r="R210" s="893"/>
      <c r="X210" s="465" t="s">
        <v>149</v>
      </c>
    </row>
    <row r="211" spans="1:62" ht="21.95" customHeight="1" outlineLevel="1" thickBot="1" x14ac:dyDescent="0.3">
      <c r="H211" s="882" t="s">
        <v>102</v>
      </c>
      <c r="I211" s="882"/>
      <c r="J211" s="882"/>
      <c r="K211" s="317"/>
      <c r="L211" s="291"/>
      <c r="M211" s="291"/>
      <c r="N211" s="291"/>
      <c r="O211" s="317"/>
      <c r="P211" s="317"/>
      <c r="Q211" s="317"/>
      <c r="R211" s="317"/>
      <c r="S211" s="317"/>
      <c r="T211" s="317"/>
      <c r="U211" s="317"/>
      <c r="V211" s="317"/>
      <c r="W211" s="317"/>
      <c r="X211" s="291"/>
      <c r="Y211" s="291"/>
      <c r="Z211" s="291"/>
      <c r="AA211" s="291"/>
      <c r="AB211" s="882" t="s">
        <v>103</v>
      </c>
      <c r="AC211" s="882"/>
      <c r="AD211" s="882"/>
    </row>
    <row r="212" spans="1:62" ht="21.95" customHeight="1" outlineLevel="1" thickBot="1" x14ac:dyDescent="0.3">
      <c r="A212" s="291"/>
      <c r="B212" s="291"/>
      <c r="C212" s="291"/>
      <c r="D212" s="883" t="s">
        <v>104</v>
      </c>
      <c r="E212" s="884"/>
      <c r="F212" s="885"/>
      <c r="G212" s="323"/>
      <c r="H212" s="873" t="s">
        <v>105</v>
      </c>
      <c r="I212" s="874"/>
      <c r="J212" s="875"/>
      <c r="K212" s="323"/>
      <c r="L212" s="876" t="s">
        <v>106</v>
      </c>
      <c r="M212" s="877"/>
      <c r="N212" s="878"/>
      <c r="O212" s="323"/>
      <c r="P212" s="323"/>
      <c r="Q212" s="879" t="s">
        <v>107</v>
      </c>
      <c r="R212" s="880"/>
      <c r="S212" s="881"/>
      <c r="T212" s="323"/>
      <c r="U212" s="707"/>
      <c r="V212" s="323"/>
      <c r="W212" s="291"/>
      <c r="X212" s="883" t="s">
        <v>104</v>
      </c>
      <c r="Y212" s="884"/>
      <c r="Z212" s="885"/>
      <c r="AA212" s="323"/>
      <c r="AB212" s="873" t="s">
        <v>105</v>
      </c>
      <c r="AC212" s="874"/>
      <c r="AD212" s="875"/>
      <c r="AE212" s="323"/>
      <c r="AF212" s="876" t="s">
        <v>106</v>
      </c>
      <c r="AG212" s="877"/>
      <c r="AH212" s="878"/>
      <c r="AI212" s="291"/>
      <c r="AJ212" s="323"/>
      <c r="AK212" s="879" t="s">
        <v>107</v>
      </c>
      <c r="AL212" s="880"/>
      <c r="AM212" s="881"/>
      <c r="AP212" s="291"/>
      <c r="AR212" s="321"/>
      <c r="AS212" s="845" t="s">
        <v>108</v>
      </c>
      <c r="AT212" s="846"/>
      <c r="AU212" s="847"/>
      <c r="AV212" s="851" t="s">
        <v>1</v>
      </c>
      <c r="AW212" s="851"/>
      <c r="AX212" s="852"/>
      <c r="AY212" s="853" t="s">
        <v>140</v>
      </c>
      <c r="AZ212" s="851"/>
      <c r="BA212" s="852"/>
      <c r="BB212" s="853" t="s">
        <v>110</v>
      </c>
      <c r="BC212" s="851"/>
      <c r="BD212" s="855"/>
      <c r="BE212" s="857" t="s">
        <v>111</v>
      </c>
      <c r="BF212" s="857"/>
      <c r="BG212" s="858"/>
      <c r="BH212" s="860" t="s">
        <v>112</v>
      </c>
      <c r="BI212" s="861"/>
      <c r="BJ212" s="862"/>
    </row>
    <row r="213" spans="1:62" ht="21.95" customHeight="1" outlineLevel="1" thickBot="1" x14ac:dyDescent="0.3">
      <c r="A213" s="291"/>
      <c r="B213" s="291"/>
      <c r="C213" s="291"/>
      <c r="D213" s="325" t="s">
        <v>113</v>
      </c>
      <c r="E213" s="883" t="s">
        <v>114</v>
      </c>
      <c r="F213" s="890"/>
      <c r="G213" s="322"/>
      <c r="H213" s="302" t="s">
        <v>113</v>
      </c>
      <c r="I213" s="873" t="s">
        <v>115</v>
      </c>
      <c r="J213" s="891"/>
      <c r="K213" s="322"/>
      <c r="L213" s="302" t="s">
        <v>113</v>
      </c>
      <c r="M213" s="876" t="s">
        <v>115</v>
      </c>
      <c r="N213" s="886"/>
      <c r="O213" s="322"/>
      <c r="P213" s="322"/>
      <c r="Q213" s="328" t="s">
        <v>113</v>
      </c>
      <c r="R213" s="871" t="s">
        <v>115</v>
      </c>
      <c r="S213" s="872"/>
      <c r="T213" s="322"/>
      <c r="U213" s="708"/>
      <c r="V213" s="322"/>
      <c r="W213" s="291"/>
      <c r="X213" s="664" t="s">
        <v>113</v>
      </c>
      <c r="Y213" s="865" t="s">
        <v>114</v>
      </c>
      <c r="Z213" s="866"/>
      <c r="AA213" s="322"/>
      <c r="AB213" s="328" t="s">
        <v>113</v>
      </c>
      <c r="AC213" s="867" t="s">
        <v>115</v>
      </c>
      <c r="AD213" s="868"/>
      <c r="AE213" s="322"/>
      <c r="AF213" s="328" t="s">
        <v>113</v>
      </c>
      <c r="AG213" s="869" t="s">
        <v>115</v>
      </c>
      <c r="AH213" s="870"/>
      <c r="AI213" s="291"/>
      <c r="AJ213" s="322"/>
      <c r="AK213" s="328" t="s">
        <v>113</v>
      </c>
      <c r="AL213" s="871" t="s">
        <v>115</v>
      </c>
      <c r="AM213" s="872"/>
      <c r="AP213" s="291"/>
      <c r="AR213" s="322"/>
      <c r="AS213" s="848"/>
      <c r="AT213" s="849"/>
      <c r="AU213" s="850"/>
      <c r="AV213" s="849"/>
      <c r="AW213" s="849"/>
      <c r="AX213" s="849"/>
      <c r="AY213" s="854"/>
      <c r="AZ213" s="849"/>
      <c r="BA213" s="849"/>
      <c r="BB213" s="854"/>
      <c r="BC213" s="849"/>
      <c r="BD213" s="856"/>
      <c r="BE213" s="859"/>
      <c r="BF213" s="859"/>
      <c r="BG213" s="859"/>
      <c r="BH213" s="863"/>
      <c r="BI213" s="864"/>
      <c r="BJ213" s="864"/>
    </row>
    <row r="214" spans="1:62" ht="66.95" customHeight="1" outlineLevel="1" thickBot="1" x14ac:dyDescent="0.3">
      <c r="A214" s="291"/>
      <c r="B214" s="291"/>
      <c r="C214" s="301" t="s">
        <v>130</v>
      </c>
      <c r="D214" s="309">
        <f>'Working Paper 3'!$C$6</f>
        <v>5.0504809882102659E-2</v>
      </c>
      <c r="E214" s="295">
        <f t="shared" ref="E214:E221" si="183">D225/10000</f>
        <v>5.0500000000000003E-2</v>
      </c>
      <c r="F214" s="293"/>
      <c r="G214" s="324"/>
      <c r="H214" s="298">
        <f>'Working Paper 3'!$E$6</f>
        <v>154.93914051185246</v>
      </c>
      <c r="I214" s="299">
        <f>H225</f>
        <v>175</v>
      </c>
      <c r="J214" s="294"/>
      <c r="K214" s="317"/>
      <c r="L214" s="298">
        <f>'Working Paper 3'!$G$6</f>
        <v>169.71789116032431</v>
      </c>
      <c r="M214" s="300">
        <f>L225</f>
        <v>170</v>
      </c>
      <c r="N214" s="294"/>
      <c r="O214" s="317"/>
      <c r="P214" s="329" t="s">
        <v>116</v>
      </c>
      <c r="Q214" s="334">
        <v>10.65</v>
      </c>
      <c r="R214" s="352">
        <f>Q225/100</f>
        <v>5</v>
      </c>
      <c r="S214" s="330"/>
      <c r="T214" s="317"/>
      <c r="U214" s="709"/>
      <c r="V214" s="317"/>
      <c r="W214" s="301" t="str">
        <f>'Working Paper 3'!$B$6</f>
        <v>Amex</v>
      </c>
      <c r="X214" s="309">
        <f>V225/$V$85</f>
        <v>1.4E-2</v>
      </c>
      <c r="Y214" s="295">
        <f t="shared" ref="Y214:Y219" si="184">X225/10000</f>
        <v>1.4E-2</v>
      </c>
      <c r="Z214" s="293"/>
      <c r="AA214" s="665"/>
      <c r="AB214" s="298">
        <v>133</v>
      </c>
      <c r="AC214" s="299">
        <f>AB225</f>
        <v>150</v>
      </c>
      <c r="AD214" s="294"/>
      <c r="AE214" s="666"/>
      <c r="AF214" s="298">
        <v>160</v>
      </c>
      <c r="AG214" s="300">
        <f>AF225</f>
        <v>160</v>
      </c>
      <c r="AH214" s="294"/>
      <c r="AI214" s="291"/>
      <c r="AJ214" s="329" t="s">
        <v>116</v>
      </c>
      <c r="AK214" s="334">
        <f>AL232/$Z$25*10000</f>
        <v>4.756610385513107</v>
      </c>
      <c r="AL214" s="352">
        <f>AK225/100</f>
        <v>2.5</v>
      </c>
      <c r="AM214" s="330"/>
      <c r="AP214" s="291"/>
      <c r="AR214" s="825" t="s">
        <v>113</v>
      </c>
      <c r="AS214" s="827">
        <f>+I234+AC234</f>
        <v>3104080.4987973464</v>
      </c>
      <c r="AT214" s="828"/>
      <c r="AU214" s="829"/>
      <c r="AV214" s="830">
        <f>AG234+M234</f>
        <v>1630839.4466342132</v>
      </c>
      <c r="AW214" s="828"/>
      <c r="AX214" s="829"/>
      <c r="AY214" s="830">
        <f>AS214-AV214</f>
        <v>1473241.0521631332</v>
      </c>
      <c r="AZ214" s="828"/>
      <c r="BA214" s="829"/>
      <c r="BB214" s="831">
        <f>'Working Paper 3'!$J$15/'Working Paper 3'!$F$15</f>
        <v>0.46280092022477287</v>
      </c>
      <c r="BC214" s="828"/>
      <c r="BD214" s="832"/>
      <c r="BE214" s="827">
        <f>+AL229+R229</f>
        <v>593341.19266760012</v>
      </c>
      <c r="BF214" s="828"/>
      <c r="BG214" s="828"/>
      <c r="BH214" s="833">
        <f>AY214-BE214</f>
        <v>879899.85949553305</v>
      </c>
      <c r="BI214" s="828"/>
      <c r="BJ214" s="832"/>
    </row>
    <row r="215" spans="1:62" ht="66.95" customHeight="1" outlineLevel="1" thickBot="1" x14ac:dyDescent="0.3">
      <c r="A215" s="291"/>
      <c r="B215" s="291"/>
      <c r="C215" s="301" t="s">
        <v>3</v>
      </c>
      <c r="D215" s="309">
        <f>'Working Paper 3'!$C$7</f>
        <v>0.3206982301443993</v>
      </c>
      <c r="E215" s="295">
        <f t="shared" si="183"/>
        <v>0.32069999999999999</v>
      </c>
      <c r="F215" s="294"/>
      <c r="G215" s="317"/>
      <c r="H215" s="298">
        <f>'Working Paper 3'!$E$7</f>
        <v>142.99254815956868</v>
      </c>
      <c r="I215" s="299">
        <f t="shared" ref="I215:I221" si="185">H226</f>
        <v>65</v>
      </c>
      <c r="J215" s="294"/>
      <c r="K215" s="317"/>
      <c r="L215" s="298">
        <f>'Working Paper 3'!$G$7</f>
        <v>28.660658557912612</v>
      </c>
      <c r="M215" s="300">
        <f t="shared" ref="M215:M221" si="186">L226</f>
        <v>28</v>
      </c>
      <c r="N215" s="294"/>
      <c r="O215" s="317"/>
      <c r="P215" s="329" t="s">
        <v>118</v>
      </c>
      <c r="Q215" s="334">
        <v>3.12</v>
      </c>
      <c r="R215" s="352">
        <f>Q226/100</f>
        <v>1.5</v>
      </c>
      <c r="S215" s="330"/>
      <c r="T215" s="317"/>
      <c r="U215" s="709"/>
      <c r="V215" s="317"/>
      <c r="W215" s="301" t="str">
        <f>'Working Paper 3'!$B$7</f>
        <v>EFTPOS</v>
      </c>
      <c r="X215" s="309">
        <f t="shared" ref="X215:X219" si="187">V226/$V$85</f>
        <v>0.32800000000000001</v>
      </c>
      <c r="Y215" s="295">
        <f t="shared" si="184"/>
        <v>0.32800000000000001</v>
      </c>
      <c r="Z215" s="294"/>
      <c r="AA215" s="317"/>
      <c r="AB215" s="298">
        <v>130</v>
      </c>
      <c r="AC215" s="299">
        <f t="shared" ref="AC215:AC219" si="188">AB226</f>
        <v>65</v>
      </c>
      <c r="AD215" s="294"/>
      <c r="AE215" s="317"/>
      <c r="AF215" s="298">
        <v>25</v>
      </c>
      <c r="AG215" s="300">
        <f t="shared" ref="AG215:AG219" si="189">AF226</f>
        <v>25</v>
      </c>
      <c r="AH215" s="294"/>
      <c r="AI215" s="291"/>
      <c r="AJ215" s="329" t="s">
        <v>118</v>
      </c>
      <c r="AK215" s="334">
        <v>50</v>
      </c>
      <c r="AL215" s="352">
        <f>AK226/100</f>
        <v>0.97</v>
      </c>
      <c r="AM215" s="330"/>
      <c r="AP215" s="291"/>
      <c r="AR215" s="826"/>
      <c r="AS215" s="834">
        <f>AS214/(Y234+A234)*10000</f>
        <v>141.41355249202618</v>
      </c>
      <c r="AT215" s="835"/>
      <c r="AU215" s="836"/>
      <c r="AV215" s="837">
        <f>AV214/(Y234+A234)*10000</f>
        <v>74.296655573857493</v>
      </c>
      <c r="AW215" s="835"/>
      <c r="AX215" s="836"/>
      <c r="AY215" s="837">
        <f>AS215-AV215</f>
        <v>67.116896918168692</v>
      </c>
      <c r="AZ215" s="838"/>
      <c r="BA215" s="839"/>
      <c r="BB215" s="840"/>
      <c r="BC215" s="841"/>
      <c r="BD215" s="842"/>
      <c r="BE215" s="843">
        <f>Q217</f>
        <v>18.79</v>
      </c>
      <c r="BF215" s="835"/>
      <c r="BG215" s="836"/>
      <c r="BH215" s="837">
        <f>AY215-BE215</f>
        <v>48.326896918168693</v>
      </c>
      <c r="BI215" s="835"/>
      <c r="BJ215" s="844"/>
    </row>
    <row r="216" spans="1:62" ht="66.95" customHeight="1" outlineLevel="1" thickBot="1" x14ac:dyDescent="0.3">
      <c r="A216" s="291"/>
      <c r="B216" s="291"/>
      <c r="C216" s="301" t="s">
        <v>4</v>
      </c>
      <c r="D216" s="309">
        <f>'Working Paper 3'!$C$8</f>
        <v>4.0553505985047866E-2</v>
      </c>
      <c r="E216" s="295">
        <f t="shared" si="183"/>
        <v>4.0599999999999997E-2</v>
      </c>
      <c r="F216" s="326"/>
      <c r="G216" s="317"/>
      <c r="H216" s="298">
        <f>'Working Paper 3'!$E$8</f>
        <v>143.45851781578313</v>
      </c>
      <c r="I216" s="299">
        <f t="shared" si="185"/>
        <v>165</v>
      </c>
      <c r="J216" s="294"/>
      <c r="K216" s="317"/>
      <c r="L216" s="298">
        <f>'Working Paper 3'!$G$8</f>
        <v>60.236068170372583</v>
      </c>
      <c r="M216" s="300">
        <f t="shared" si="186"/>
        <v>50</v>
      </c>
      <c r="N216" s="294"/>
      <c r="O216" s="317"/>
      <c r="P216" s="331" t="s">
        <v>119</v>
      </c>
      <c r="Q216" s="334">
        <v>5.0199999999999996</v>
      </c>
      <c r="R216" s="352">
        <f>Q227/100</f>
        <v>2.5</v>
      </c>
      <c r="S216" s="330"/>
      <c r="T216" s="317"/>
      <c r="U216" s="709"/>
      <c r="V216" s="317"/>
      <c r="W216" s="301" t="s">
        <v>120</v>
      </c>
      <c r="X216" s="309">
        <f t="shared" si="187"/>
        <v>0.18</v>
      </c>
      <c r="Y216" s="295">
        <f t="shared" si="184"/>
        <v>0.18</v>
      </c>
      <c r="Z216" s="294"/>
      <c r="AA216" s="317"/>
      <c r="AB216" s="298">
        <v>122</v>
      </c>
      <c r="AC216" s="299">
        <f t="shared" si="188"/>
        <v>150</v>
      </c>
      <c r="AD216" s="294"/>
      <c r="AE216" s="317"/>
      <c r="AF216" s="298">
        <v>72</v>
      </c>
      <c r="AG216" s="300">
        <f t="shared" si="189"/>
        <v>50</v>
      </c>
      <c r="AH216" s="294"/>
      <c r="AI216" s="291"/>
      <c r="AJ216" s="331" t="s">
        <v>119</v>
      </c>
      <c r="AK216" s="334">
        <f t="shared" ref="AK216" si="190">AL234/$Z$25*10000</f>
        <v>9.4895997991714811</v>
      </c>
      <c r="AL216" s="352">
        <f>AK227/100</f>
        <v>5</v>
      </c>
      <c r="AM216" s="330"/>
      <c r="AP216" s="291"/>
      <c r="AR216" s="810" t="s">
        <v>141</v>
      </c>
      <c r="AS216" s="812">
        <f>+J234+AD234</f>
        <v>2383099.9877211805</v>
      </c>
      <c r="AT216" s="788"/>
      <c r="AU216" s="789"/>
      <c r="AV216" s="813">
        <f>AH234+N234</f>
        <v>1189381.0479846883</v>
      </c>
      <c r="AW216" s="788"/>
      <c r="AX216" s="789"/>
      <c r="AY216" s="813">
        <f>AS216-AV216</f>
        <v>1193718.9397364922</v>
      </c>
      <c r="AZ216" s="788"/>
      <c r="BA216" s="789"/>
      <c r="BB216" s="814">
        <f>AY216/J234</f>
        <v>0.59770145502519811</v>
      </c>
      <c r="BC216" s="788"/>
      <c r="BD216" s="797"/>
      <c r="BE216" s="812">
        <f>AM229+S229</f>
        <v>195444.23177500002</v>
      </c>
      <c r="BF216" s="788"/>
      <c r="BG216" s="788"/>
      <c r="BH216" s="815">
        <f>AY216-BE216</f>
        <v>998274.70796149224</v>
      </c>
      <c r="BI216" s="788"/>
      <c r="BJ216" s="797"/>
    </row>
    <row r="217" spans="1:62" ht="66.95" customHeight="1" outlineLevel="1" thickBot="1" x14ac:dyDescent="0.3">
      <c r="A217" s="291"/>
      <c r="B217" s="291"/>
      <c r="C217" s="301" t="s">
        <v>5</v>
      </c>
      <c r="D217" s="309">
        <f>'Working Paper 3'!$C$9</f>
        <v>0.22558468242770457</v>
      </c>
      <c r="E217" s="295">
        <f t="shared" si="183"/>
        <v>0.22559999999999999</v>
      </c>
      <c r="F217" s="294"/>
      <c r="G217" s="317"/>
      <c r="H217" s="298">
        <f>'Working Paper 3'!$E$9</f>
        <v>143.21774507854948</v>
      </c>
      <c r="I217" s="299">
        <f t="shared" si="185"/>
        <v>65</v>
      </c>
      <c r="J217" s="294"/>
      <c r="K217" s="317"/>
      <c r="L217" s="298">
        <f>'Working Paper 3'!$G$9</f>
        <v>65.927949272184037</v>
      </c>
      <c r="M217" s="300">
        <f t="shared" si="186"/>
        <v>28</v>
      </c>
      <c r="N217" s="294"/>
      <c r="O217" s="317"/>
      <c r="P217" s="340"/>
      <c r="Q217" s="332">
        <f>R229/$A$85*10000</f>
        <v>18.79</v>
      </c>
      <c r="R217" s="339">
        <f>S229/A234*10000</f>
        <v>9</v>
      </c>
      <c r="S217" s="336"/>
      <c r="T217" s="317"/>
      <c r="U217" s="709"/>
      <c r="V217" s="317"/>
      <c r="W217" s="301" t="s">
        <v>122</v>
      </c>
      <c r="X217" s="309">
        <f t="shared" si="187"/>
        <v>0.17799999999999999</v>
      </c>
      <c r="Y217" s="295">
        <f t="shared" si="184"/>
        <v>0.17799999999999999</v>
      </c>
      <c r="Z217" s="294"/>
      <c r="AA217" s="317"/>
      <c r="AB217" s="298">
        <v>122</v>
      </c>
      <c r="AC217" s="299">
        <f t="shared" si="188"/>
        <v>152</v>
      </c>
      <c r="AD217" s="294"/>
      <c r="AE217" s="317"/>
      <c r="AF217" s="298">
        <v>72</v>
      </c>
      <c r="AG217" s="300">
        <f t="shared" si="189"/>
        <v>50</v>
      </c>
      <c r="AH217" s="294"/>
      <c r="AI217" s="291"/>
      <c r="AJ217" s="340"/>
      <c r="AK217" s="335"/>
      <c r="AL217" s="317"/>
      <c r="AM217" s="336"/>
      <c r="AP217" s="291"/>
      <c r="AR217" s="811"/>
      <c r="AS217" s="816">
        <f>AS216/(Y234+A234)*10000</f>
        <v>108.56762101946948</v>
      </c>
      <c r="AT217" s="817"/>
      <c r="AU217" s="818"/>
      <c r="AV217" s="819">
        <f>AV216/(Y234+A234)*10000</f>
        <v>54.184999173626331</v>
      </c>
      <c r="AW217" s="817"/>
      <c r="AX217" s="818"/>
      <c r="AY217" s="819">
        <f>AS217-AV217</f>
        <v>54.382621845843154</v>
      </c>
      <c r="AZ217" s="817"/>
      <c r="BA217" s="817"/>
      <c r="BB217" s="820"/>
      <c r="BC217" s="821"/>
      <c r="BD217" s="822"/>
      <c r="BE217" s="823">
        <f>R217*R220</f>
        <v>9</v>
      </c>
      <c r="BF217" s="817"/>
      <c r="BG217" s="817"/>
      <c r="BH217" s="819">
        <f>AY217-BE217</f>
        <v>45.382621845843154</v>
      </c>
      <c r="BI217" s="817"/>
      <c r="BJ217" s="824"/>
    </row>
    <row r="218" spans="1:62" ht="66.95" customHeight="1" outlineLevel="1" thickBot="1" x14ac:dyDescent="0.3">
      <c r="A218" s="291"/>
      <c r="B218" s="291"/>
      <c r="C218" s="301" t="s">
        <v>131</v>
      </c>
      <c r="D218" s="309">
        <f>'Working Paper 3'!$C$10</f>
        <v>0.25452682626864803</v>
      </c>
      <c r="E218" s="295">
        <f t="shared" si="183"/>
        <v>0.2545</v>
      </c>
      <c r="F218" s="294"/>
      <c r="G218" s="317"/>
      <c r="H218" s="298">
        <f>'Working Paper 3'!$E$10</f>
        <v>148.69146331982427</v>
      </c>
      <c r="I218" s="299">
        <f t="shared" si="185"/>
        <v>165</v>
      </c>
      <c r="J218" s="294"/>
      <c r="K218" s="317"/>
      <c r="L218" s="298">
        <f>'Working Paper 3'!$G$10</f>
        <v>100.86833162399658</v>
      </c>
      <c r="M218" s="300">
        <f t="shared" si="186"/>
        <v>70</v>
      </c>
      <c r="N218" s="294"/>
      <c r="O218" s="317"/>
      <c r="P218" s="340"/>
      <c r="S218" s="336"/>
      <c r="T218" s="317"/>
      <c r="U218" s="709"/>
      <c r="V218" s="317"/>
      <c r="W218" s="301" t="s">
        <v>50</v>
      </c>
      <c r="X218" s="309">
        <f t="shared" si="187"/>
        <v>0.15</v>
      </c>
      <c r="Y218" s="295">
        <f t="shared" si="184"/>
        <v>0.15</v>
      </c>
      <c r="Z218" s="294"/>
      <c r="AA218" s="317"/>
      <c r="AB218" s="298">
        <v>122</v>
      </c>
      <c r="AC218" s="299">
        <f t="shared" si="188"/>
        <v>65</v>
      </c>
      <c r="AD218" s="294"/>
      <c r="AE218" s="317"/>
      <c r="AF218" s="298">
        <v>72</v>
      </c>
      <c r="AG218" s="300">
        <f t="shared" si="189"/>
        <v>30</v>
      </c>
      <c r="AH218" s="294"/>
      <c r="AI218" s="291"/>
      <c r="AJ218" s="340"/>
      <c r="AK218" s="887" t="s">
        <v>123</v>
      </c>
      <c r="AL218" s="888"/>
      <c r="AM218" s="889"/>
      <c r="AP218" s="291"/>
      <c r="AR218" s="424" t="s">
        <v>124</v>
      </c>
      <c r="AS218" s="787">
        <f t="shared" ref="AS218:AS219" si="191">AS214-AS216</f>
        <v>720980.51107616583</v>
      </c>
      <c r="AT218" s="788"/>
      <c r="AU218" s="789"/>
      <c r="AV218" s="790">
        <f t="shared" ref="AV218:AV219" si="192">AV214-AV216</f>
        <v>441458.3986495249</v>
      </c>
      <c r="AW218" s="791"/>
      <c r="AX218" s="792"/>
      <c r="AY218" s="793">
        <f t="shared" ref="AY218:AY219" si="193">AY214-AY216</f>
        <v>279522.11242664093</v>
      </c>
      <c r="AZ218" s="788"/>
      <c r="BA218" s="788"/>
      <c r="BB218" s="794"/>
      <c r="BC218" s="788"/>
      <c r="BD218" s="789"/>
      <c r="BE218" s="795">
        <f t="shared" ref="BE218:BE219" si="194">BE214-BE216</f>
        <v>397896.96089260012</v>
      </c>
      <c r="BF218" s="788"/>
      <c r="BG218" s="789"/>
      <c r="BH218" s="796">
        <f t="shared" ref="BH218:BH219" si="195">BH214-BH216</f>
        <v>-118374.84846595919</v>
      </c>
      <c r="BI218" s="788"/>
      <c r="BJ218" s="797"/>
    </row>
    <row r="219" spans="1:62" ht="66.95" customHeight="1" outlineLevel="1" thickBot="1" x14ac:dyDescent="0.3">
      <c r="A219" s="291"/>
      <c r="B219" s="291"/>
      <c r="C219" s="301" t="s">
        <v>7</v>
      </c>
      <c r="D219" s="309">
        <f>'Working Paper 3'!$C$11</f>
        <v>6.0059880831170691E-2</v>
      </c>
      <c r="E219" s="295">
        <f t="shared" si="183"/>
        <v>6.0100000000000001E-2</v>
      </c>
      <c r="F219" s="294"/>
      <c r="G219" s="317"/>
      <c r="H219" s="298">
        <f>'Working Paper 3'!$E$11</f>
        <v>142.98844600659757</v>
      </c>
      <c r="I219" s="299">
        <f t="shared" si="185"/>
        <v>65</v>
      </c>
      <c r="J219" s="294"/>
      <c r="K219" s="317"/>
      <c r="L219" s="298">
        <f>'Working Paper 3'!$G$11</f>
        <v>54.90928046317822</v>
      </c>
      <c r="M219" s="300">
        <f t="shared" si="186"/>
        <v>28</v>
      </c>
      <c r="N219" s="294"/>
      <c r="O219" s="317"/>
      <c r="P219" s="340"/>
      <c r="Q219" s="887" t="s">
        <v>123</v>
      </c>
      <c r="R219" s="888"/>
      <c r="S219" s="889"/>
      <c r="T219" s="701"/>
      <c r="U219" s="709"/>
      <c r="V219" s="317"/>
      <c r="W219" s="301" t="s">
        <v>125</v>
      </c>
      <c r="X219" s="309">
        <f t="shared" si="187"/>
        <v>0.15</v>
      </c>
      <c r="Y219" s="295">
        <f t="shared" si="184"/>
        <v>0.15</v>
      </c>
      <c r="Z219" s="294"/>
      <c r="AA219" s="318"/>
      <c r="AB219" s="298">
        <v>122</v>
      </c>
      <c r="AC219" s="299">
        <f t="shared" si="188"/>
        <v>65</v>
      </c>
      <c r="AD219" s="294"/>
      <c r="AE219" s="318"/>
      <c r="AF219" s="298">
        <v>72</v>
      </c>
      <c r="AG219" s="300">
        <f t="shared" si="189"/>
        <v>30</v>
      </c>
      <c r="AH219" s="294"/>
      <c r="AI219" s="291"/>
      <c r="AJ219" s="340"/>
      <c r="AK219" s="384">
        <v>1</v>
      </c>
      <c r="AL219" s="384">
        <f>AK231/100</f>
        <v>1</v>
      </c>
      <c r="AM219" s="383"/>
      <c r="AP219" s="291"/>
      <c r="AR219" s="425" t="s">
        <v>126</v>
      </c>
      <c r="AS219" s="798">
        <f t="shared" si="191"/>
        <v>32.8459314725567</v>
      </c>
      <c r="AT219" s="799"/>
      <c r="AU219" s="800"/>
      <c r="AV219" s="801">
        <f t="shared" si="192"/>
        <v>20.111656400231162</v>
      </c>
      <c r="AW219" s="799"/>
      <c r="AX219" s="800"/>
      <c r="AY219" s="801">
        <f t="shared" si="193"/>
        <v>12.734275072325538</v>
      </c>
      <c r="AZ219" s="799"/>
      <c r="BA219" s="799"/>
      <c r="BB219" s="802"/>
      <c r="BC219" s="803"/>
      <c r="BD219" s="804"/>
      <c r="BE219" s="805">
        <f t="shared" si="194"/>
        <v>9.7899999999999991</v>
      </c>
      <c r="BF219" s="806"/>
      <c r="BG219" s="807"/>
      <c r="BH219" s="808">
        <f t="shared" si="195"/>
        <v>2.9442750723255386</v>
      </c>
      <c r="BI219" s="806"/>
      <c r="BJ219" s="809"/>
    </row>
    <row r="220" spans="1:62" ht="66.95" customHeight="1" outlineLevel="1" thickBot="1" x14ac:dyDescent="0.3">
      <c r="A220" s="291"/>
      <c r="B220" s="291"/>
      <c r="C220" s="301" t="s">
        <v>132</v>
      </c>
      <c r="D220" s="309">
        <f>'Working Paper 3'!$C$12</f>
        <v>2.4773150306096305E-2</v>
      </c>
      <c r="E220" s="295">
        <f t="shared" si="183"/>
        <v>2.4799999999999999E-2</v>
      </c>
      <c r="F220" s="294"/>
      <c r="G220" s="317"/>
      <c r="H220" s="298">
        <f>'Working Paper 3'!$E$12</f>
        <v>145.45695079148425</v>
      </c>
      <c r="I220" s="299">
        <f t="shared" si="185"/>
        <v>295</v>
      </c>
      <c r="J220" s="294"/>
      <c r="K220" s="317"/>
      <c r="L220" s="298">
        <f>'Working Paper 3'!$G$12</f>
        <v>292.619148787516</v>
      </c>
      <c r="M220" s="300">
        <f t="shared" si="186"/>
        <v>260</v>
      </c>
      <c r="N220" s="294"/>
      <c r="O220" s="317"/>
      <c r="P220" s="340"/>
      <c r="Q220" s="384">
        <v>1</v>
      </c>
      <c r="R220" s="384">
        <f>Q223/100</f>
        <v>1</v>
      </c>
      <c r="S220" s="383"/>
      <c r="T220" s="317"/>
      <c r="U220" s="709"/>
      <c r="V220" s="317"/>
      <c r="W220" s="323"/>
      <c r="X220" s="661">
        <v>1500</v>
      </c>
      <c r="Y220" s="662"/>
      <c r="Z220" s="317"/>
      <c r="AA220" s="317"/>
      <c r="AB220" s="663"/>
      <c r="AC220" s="663"/>
      <c r="AD220" s="317"/>
      <c r="AE220" s="317"/>
      <c r="AF220" s="663"/>
      <c r="AG220" s="663"/>
      <c r="AH220" s="317"/>
      <c r="AI220" s="423"/>
      <c r="AJ220" s="340"/>
      <c r="AK220" s="335"/>
      <c r="AL220" s="317"/>
      <c r="AM220" s="336"/>
      <c r="AN220" s="423"/>
      <c r="AO220" s="423"/>
      <c r="AP220" s="291"/>
    </row>
    <row r="221" spans="1:62" ht="66.95" customHeight="1" outlineLevel="1" thickBot="1" x14ac:dyDescent="0.3">
      <c r="A221" s="291"/>
      <c r="B221" s="291"/>
      <c r="C221" s="301" t="s">
        <v>133</v>
      </c>
      <c r="D221" s="309">
        <f>'Working Paper 3'!$C$13</f>
        <v>2.3298914154830527E-2</v>
      </c>
      <c r="E221" s="295">
        <f t="shared" si="183"/>
        <v>2.3300000000000001E-2</v>
      </c>
      <c r="F221" s="294"/>
      <c r="G221" s="317"/>
      <c r="H221" s="298">
        <f>'Working Paper 3'!$E$13</f>
        <v>139.5775929132339</v>
      </c>
      <c r="I221" s="299">
        <f t="shared" si="185"/>
        <v>295</v>
      </c>
      <c r="J221" s="294"/>
      <c r="K221" s="317"/>
      <c r="L221" s="298">
        <f>'Working Paper 3'!$G$13</f>
        <v>285.31047780447233</v>
      </c>
      <c r="M221" s="300">
        <f t="shared" si="186"/>
        <v>260</v>
      </c>
      <c r="N221" s="294"/>
      <c r="O221" s="317"/>
      <c r="P221" s="341"/>
      <c r="Q221" s="337"/>
      <c r="R221" s="318"/>
      <c r="S221" s="338"/>
      <c r="T221" s="317"/>
      <c r="U221" s="709"/>
      <c r="V221" s="317"/>
      <c r="W221" s="323"/>
      <c r="X221" s="661"/>
      <c r="Y221" s="662"/>
      <c r="Z221" s="317"/>
      <c r="AA221" s="317"/>
      <c r="AB221" s="663"/>
      <c r="AC221" s="663"/>
      <c r="AD221" s="317"/>
      <c r="AE221" s="317"/>
      <c r="AF221" s="663"/>
      <c r="AG221" s="663"/>
      <c r="AH221" s="317"/>
      <c r="AI221" s="423"/>
      <c r="AJ221" s="341"/>
      <c r="AK221" s="337"/>
      <c r="AL221" s="318"/>
      <c r="AM221" s="338"/>
      <c r="AN221" s="423"/>
      <c r="AO221" s="423"/>
      <c r="AP221" s="291"/>
    </row>
    <row r="222" spans="1:62" ht="21.95" customHeight="1" outlineLevel="1" thickBot="1" x14ac:dyDescent="0.3">
      <c r="A222" s="291"/>
      <c r="B222" s="291"/>
      <c r="C222" s="291"/>
      <c r="D222" s="291"/>
      <c r="E222" s="291"/>
      <c r="F222" s="291"/>
      <c r="G222" s="317"/>
      <c r="H222" s="291"/>
      <c r="I222" s="291"/>
      <c r="J222" s="291"/>
      <c r="K222" s="317"/>
      <c r="L222" s="291"/>
      <c r="M222" s="291"/>
      <c r="N222" s="291"/>
      <c r="O222" s="317"/>
      <c r="P222" s="317"/>
      <c r="Q222" s="317"/>
      <c r="R222" s="317"/>
      <c r="S222" s="317"/>
      <c r="T222" s="317"/>
      <c r="U222" s="709"/>
      <c r="V222" s="317"/>
      <c r="W222" s="291"/>
      <c r="X222" s="291"/>
      <c r="Y222" s="291"/>
      <c r="Z222" s="291"/>
      <c r="AA222" s="317"/>
      <c r="AB222" s="291"/>
      <c r="AC222" s="291"/>
      <c r="AD222" s="291"/>
      <c r="AE222" s="317"/>
      <c r="AF222" s="291"/>
      <c r="AG222" s="291"/>
      <c r="AH222" s="291"/>
      <c r="AJ222" s="317"/>
      <c r="AK222" s="317"/>
      <c r="AL222" s="317"/>
      <c r="AM222" s="317"/>
      <c r="AP222" s="291"/>
    </row>
    <row r="223" spans="1:62" ht="21.95" customHeight="1" outlineLevel="1" thickBot="1" x14ac:dyDescent="0.3">
      <c r="A223" s="291"/>
      <c r="B223" s="291"/>
      <c r="C223" s="291"/>
      <c r="D223" s="315">
        <f>SUM(D214:D222)</f>
        <v>0.99999999999999978</v>
      </c>
      <c r="E223" s="316">
        <f>SUM(E214:E222)</f>
        <v>1.0001</v>
      </c>
      <c r="F223" s="291"/>
      <c r="G223" s="317"/>
      <c r="H223" s="356">
        <f>I234/A234*10000</f>
        <v>145.09737289553766</v>
      </c>
      <c r="I223" s="314">
        <f>H234</f>
        <v>111.1345</v>
      </c>
      <c r="J223" s="291"/>
      <c r="K223" s="317"/>
      <c r="L223" s="311">
        <f>M234/A234*10000</f>
        <v>77.946175197285811</v>
      </c>
      <c r="M223" s="312">
        <f>L234</f>
        <v>57.915200000000006</v>
      </c>
      <c r="N223" s="291"/>
      <c r="O223" s="317"/>
      <c r="P223" s="291"/>
      <c r="Q223" s="410">
        <v>100</v>
      </c>
      <c r="R223" s="411">
        <f>R220*1</f>
        <v>1</v>
      </c>
      <c r="S223" s="410"/>
      <c r="T223" s="703"/>
      <c r="U223" s="709"/>
      <c r="V223" s="317"/>
      <c r="W223" s="291"/>
      <c r="X223" s="315">
        <f>SUM(X214:X222)</f>
        <v>1501</v>
      </c>
      <c r="Y223" s="316">
        <f>SUM(Y214:Y222)</f>
        <v>1</v>
      </c>
      <c r="Z223" s="291"/>
      <c r="AA223" s="317"/>
      <c r="AB223" s="686">
        <f>AC234/V234*10000</f>
        <v>124.77799999999998</v>
      </c>
      <c r="AC223" s="357">
        <f>AD234/V234*10000</f>
        <v>96.976000000000013</v>
      </c>
      <c r="AD223" s="291"/>
      <c r="AE223" s="317"/>
      <c r="AF223" s="698">
        <f>AF234</f>
        <v>57.815999999999995</v>
      </c>
      <c r="AG223" s="312">
        <f>AH234/Z234*10000</f>
        <v>37.340000000000003</v>
      </c>
      <c r="AH223" s="291"/>
      <c r="AJ223" s="291"/>
      <c r="AK223" s="332">
        <f>AL229/Z234*10000</f>
        <v>64.246210184684585</v>
      </c>
      <c r="AL223" s="413">
        <f>AM229/Z234*10000</f>
        <v>8.4700000000000006</v>
      </c>
      <c r="AM223" s="291"/>
      <c r="AP223" s="291"/>
    </row>
    <row r="224" spans="1:62" ht="21.95" customHeight="1" outlineLevel="1" thickBot="1" x14ac:dyDescent="0.3">
      <c r="A224" s="291"/>
      <c r="B224" s="291"/>
      <c r="C224" s="291"/>
      <c r="D224" s="291"/>
      <c r="E224" s="291"/>
      <c r="F224" s="291"/>
      <c r="G224" s="317"/>
      <c r="H224" s="291"/>
      <c r="I224" s="291"/>
      <c r="J224" s="291"/>
      <c r="K224" s="317"/>
      <c r="L224" s="291"/>
      <c r="M224" s="291"/>
      <c r="N224" s="291"/>
      <c r="O224" s="317"/>
      <c r="P224" s="317"/>
      <c r="Q224" s="317"/>
      <c r="R224" s="317"/>
      <c r="S224" s="317"/>
      <c r="T224" s="317"/>
      <c r="U224" s="709"/>
      <c r="V224" s="670" t="s">
        <v>103</v>
      </c>
      <c r="W224" s="291"/>
      <c r="X224" s="291"/>
      <c r="Y224" s="291"/>
      <c r="Z224" s="291"/>
      <c r="AA224" s="317"/>
      <c r="AB224" s="291"/>
      <c r="AC224" s="291"/>
      <c r="AD224" s="291"/>
      <c r="AE224" s="317"/>
      <c r="AF224" s="291"/>
      <c r="AG224" s="291"/>
      <c r="AH224" s="291"/>
      <c r="AJ224" s="317"/>
      <c r="AK224" s="317"/>
      <c r="AL224" s="414"/>
      <c r="AM224" s="317"/>
      <c r="AP224" s="291"/>
    </row>
    <row r="225" spans="1:42" ht="21.95" customHeight="1" outlineLevel="1" thickBot="1" x14ac:dyDescent="0.3">
      <c r="A225" s="305">
        <f>D214*'Working Paper 3'!$D$15</f>
        <v>9076148.8993999995</v>
      </c>
      <c r="B225" s="305"/>
      <c r="C225" s="291" t="s">
        <v>130</v>
      </c>
      <c r="D225" s="292">
        <v>505</v>
      </c>
      <c r="E225" s="458">
        <f>D214*$A$85</f>
        <v>9076148.8993999995</v>
      </c>
      <c r="F225" s="448">
        <f>E214*$A$85</f>
        <v>9075284.5222000033</v>
      </c>
      <c r="G225" s="449"/>
      <c r="H225" s="450">
        <v>175</v>
      </c>
      <c r="I225" s="448">
        <f t="shared" ref="I225:I232" si="196">H214*A225/10000</f>
        <v>140625.07096306313</v>
      </c>
      <c r="J225" s="455">
        <f>I214*F225/10000</f>
        <v>158817.47913850006</v>
      </c>
      <c r="K225" s="449"/>
      <c r="L225" s="450">
        <v>170</v>
      </c>
      <c r="M225" s="448">
        <f t="shared" ref="M225:M232" si="197">L214*A225/10000</f>
        <v>154038.48510632664</v>
      </c>
      <c r="N225" s="715">
        <f>M214*F225/10000</f>
        <v>154279.83687740006</v>
      </c>
      <c r="O225" s="449"/>
      <c r="P225" s="460" t="s">
        <v>116</v>
      </c>
      <c r="Q225" s="371">
        <v>500</v>
      </c>
      <c r="R225" s="461">
        <f>Q214*$A$85/10000</f>
        <v>191389.66368600004</v>
      </c>
      <c r="S225" s="362">
        <f>Q225*E234/1000000</f>
        <v>89854.30220000002</v>
      </c>
      <c r="T225" s="705"/>
      <c r="U225" s="709"/>
      <c r="V225" s="671">
        <f>'TTV By Card'!$C$55</f>
        <v>557132.03</v>
      </c>
      <c r="W225" s="291" t="str">
        <f>W214</f>
        <v>Amex</v>
      </c>
      <c r="X225" s="369">
        <v>140</v>
      </c>
      <c r="Y225" s="370">
        <f>X214*$V$85</f>
        <v>557132.03</v>
      </c>
      <c r="Z225" s="349">
        <f>Y214*$V$25</f>
        <v>557132.03</v>
      </c>
      <c r="AA225" s="317"/>
      <c r="AB225" s="700">
        <v>150</v>
      </c>
      <c r="AC225" s="348">
        <f>AB214*V225/10000</f>
        <v>7409.8559990000012</v>
      </c>
      <c r="AD225" s="350">
        <f>AC214*Z225/10000</f>
        <v>8356.9804499999991</v>
      </c>
      <c r="AE225" s="317"/>
      <c r="AF225" s="296">
        <v>160</v>
      </c>
      <c r="AG225" s="348">
        <f>AF214*V225/10000</f>
        <v>8914.1124800000016</v>
      </c>
      <c r="AH225" s="351">
        <f>AG214*Z225/10000</f>
        <v>8914.1124800000016</v>
      </c>
      <c r="AI225" s="291"/>
      <c r="AJ225" s="329" t="s">
        <v>116</v>
      </c>
      <c r="AK225" s="371">
        <v>250</v>
      </c>
      <c r="AL225" s="694">
        <f>AK214*$Z$25/10000</f>
        <v>18929</v>
      </c>
      <c r="AM225" s="373">
        <f>AL214*$Z$55/10000</f>
        <v>9948.7862499999992</v>
      </c>
      <c r="AP225" s="291"/>
    </row>
    <row r="226" spans="1:42" ht="21.95" customHeight="1" outlineLevel="1" thickBot="1" x14ac:dyDescent="0.3">
      <c r="A226" s="305">
        <f>D215*'Working Paper 3'!$D$15</f>
        <v>57632231.372800022</v>
      </c>
      <c r="B226" s="305"/>
      <c r="C226" s="291" t="s">
        <v>3</v>
      </c>
      <c r="D226" s="292">
        <v>3207</v>
      </c>
      <c r="E226" s="458">
        <f t="shared" ref="E226:E232" si="198">D215*$A$85</f>
        <v>57632231.372800022</v>
      </c>
      <c r="F226" s="448">
        <f>E215*$A$85</f>
        <v>57632549.431080006</v>
      </c>
      <c r="G226" s="449"/>
      <c r="H226" s="450">
        <v>65</v>
      </c>
      <c r="I226" s="448">
        <f t="shared" si="196"/>
        <v>824097.96201185125</v>
      </c>
      <c r="J226" s="455">
        <f t="shared" ref="J226:J232" si="199">I215*F226/10000</f>
        <v>374611.57130202005</v>
      </c>
      <c r="K226" s="449"/>
      <c r="L226" s="450">
        <v>28</v>
      </c>
      <c r="M226" s="448">
        <f t="shared" si="197"/>
        <v>165177.77053064405</v>
      </c>
      <c r="N226" s="715">
        <f t="shared" ref="N226:N232" si="200">M215*F226/10000</f>
        <v>161371.13840702403</v>
      </c>
      <c r="O226" s="449"/>
      <c r="P226" s="460" t="s">
        <v>118</v>
      </c>
      <c r="Q226" s="374">
        <v>150</v>
      </c>
      <c r="R226" s="461">
        <f t="shared" ref="R226:R227" si="201">Q215*$A$85/10000</f>
        <v>56069.084572800013</v>
      </c>
      <c r="S226" s="362">
        <f>Q226*E234/1000000</f>
        <v>26956.290660000002</v>
      </c>
      <c r="T226" s="705"/>
      <c r="U226" s="710"/>
      <c r="V226" s="672">
        <f>'TTV By Card'!$D$55</f>
        <v>13052807.560000001</v>
      </c>
      <c r="W226" s="291" t="str">
        <f t="shared" ref="W226:W230" si="202">W215</f>
        <v>EFTPOS</v>
      </c>
      <c r="X226" s="369">
        <v>3280</v>
      </c>
      <c r="Y226" s="370">
        <f t="shared" ref="Y226:Y230" si="203">X215*$V$85</f>
        <v>13052807.560000001</v>
      </c>
      <c r="Z226" s="349">
        <f t="shared" ref="Z226:Z230" si="204">Y215*$V$25</f>
        <v>13052807.560000001</v>
      </c>
      <c r="AA226" s="319"/>
      <c r="AB226" s="430">
        <v>65</v>
      </c>
      <c r="AC226" s="348">
        <f t="shared" ref="AC226:AC230" si="205">AB215*V226/10000</f>
        <v>169686.49828</v>
      </c>
      <c r="AD226" s="350">
        <f t="shared" ref="AD226:AD230" si="206">AC215*Z226/10000</f>
        <v>84843.24914</v>
      </c>
      <c r="AE226" s="319"/>
      <c r="AF226" s="297">
        <v>25</v>
      </c>
      <c r="AG226" s="348">
        <f t="shared" ref="AG226:AG230" si="207">AF215*V226/10000</f>
        <v>32632.018899999999</v>
      </c>
      <c r="AH226" s="351">
        <f t="shared" ref="AH226:AH230" si="208">AG215*Z226/10000</f>
        <v>32632.018899999999</v>
      </c>
      <c r="AJ226" s="329" t="s">
        <v>118</v>
      </c>
      <c r="AK226" s="374">
        <v>97</v>
      </c>
      <c r="AL226" s="694">
        <f t="shared" ref="AL226:AL227" si="209">AK215*$Z$25/10000</f>
        <v>198975.72500000001</v>
      </c>
      <c r="AM226" s="373">
        <f t="shared" ref="AM226:AM227" si="210">AL215*$Z$55/10000</f>
        <v>3860.1290649999996</v>
      </c>
    </row>
    <row r="227" spans="1:42" ht="21.95" customHeight="1" outlineLevel="1" thickBot="1" x14ac:dyDescent="0.3">
      <c r="A227" s="305">
        <f>D216*'Working Paper 3'!$D$15</f>
        <v>7287813.9641000004</v>
      </c>
      <c r="B227" s="305"/>
      <c r="C227" s="291" t="s">
        <v>4</v>
      </c>
      <c r="D227" s="292">
        <v>406</v>
      </c>
      <c r="E227" s="458">
        <f t="shared" si="198"/>
        <v>7287813.9641000004</v>
      </c>
      <c r="F227" s="448">
        <f t="shared" ref="F227:F232" si="211">E216*$A$85</f>
        <v>7296169.3386400007</v>
      </c>
      <c r="G227" s="449"/>
      <c r="H227" s="450">
        <v>165</v>
      </c>
      <c r="I227" s="448">
        <f t="shared" si="196"/>
        <v>104549.8989406953</v>
      </c>
      <c r="J227" s="455">
        <f t="shared" si="199"/>
        <v>120386.79408756</v>
      </c>
      <c r="K227" s="449"/>
      <c r="L227" s="450">
        <v>50</v>
      </c>
      <c r="M227" s="448">
        <f t="shared" si="197"/>
        <v>43898.925875452092</v>
      </c>
      <c r="N227" s="715">
        <f t="shared" si="200"/>
        <v>36480.846693200001</v>
      </c>
      <c r="O227" s="449"/>
      <c r="P227" s="462" t="s">
        <v>119</v>
      </c>
      <c r="Q227" s="374">
        <v>250</v>
      </c>
      <c r="R227" s="461">
        <f t="shared" si="201"/>
        <v>90213.719408800011</v>
      </c>
      <c r="S227" s="362">
        <f>Q227*E234/1000000</f>
        <v>44927.15110000001</v>
      </c>
      <c r="T227" s="705"/>
      <c r="U227" s="710"/>
      <c r="V227" s="672">
        <f>'TTV By Card'!$E$55</f>
        <v>7163126.0999999996</v>
      </c>
      <c r="W227" s="291" t="str">
        <f t="shared" si="202"/>
        <v>Credit ViSa</v>
      </c>
      <c r="X227" s="369">
        <v>1800</v>
      </c>
      <c r="Y227" s="370">
        <f t="shared" si="203"/>
        <v>7163126.0999999996</v>
      </c>
      <c r="Z227" s="349">
        <f t="shared" si="204"/>
        <v>7163126.0999999996</v>
      </c>
      <c r="AA227" s="319"/>
      <c r="AB227" s="430">
        <v>150</v>
      </c>
      <c r="AC227" s="348">
        <f t="shared" si="205"/>
        <v>87390.138419999988</v>
      </c>
      <c r="AD227" s="350">
        <f t="shared" si="206"/>
        <v>107446.8915</v>
      </c>
      <c r="AE227" s="319"/>
      <c r="AF227" s="297">
        <v>50</v>
      </c>
      <c r="AG227" s="348">
        <f t="shared" si="207"/>
        <v>51574.507919999996</v>
      </c>
      <c r="AH227" s="351">
        <f t="shared" si="208"/>
        <v>35815.630499999999</v>
      </c>
      <c r="AJ227" s="333" t="s">
        <v>119</v>
      </c>
      <c r="AK227" s="374">
        <v>500</v>
      </c>
      <c r="AL227" s="694">
        <f t="shared" si="209"/>
        <v>37764</v>
      </c>
      <c r="AM227" s="373">
        <f t="shared" si="210"/>
        <v>19897.572499999998</v>
      </c>
    </row>
    <row r="228" spans="1:42" ht="21.95" customHeight="1" outlineLevel="1" x14ac:dyDescent="0.25">
      <c r="A228" s="305">
        <f>D217*'Working Paper 3'!$D$15</f>
        <v>40539508.453100003</v>
      </c>
      <c r="B228" s="305"/>
      <c r="C228" s="291" t="s">
        <v>5</v>
      </c>
      <c r="D228" s="292">
        <v>2256</v>
      </c>
      <c r="E228" s="458">
        <f t="shared" si="198"/>
        <v>40539508.453100003</v>
      </c>
      <c r="F228" s="448">
        <f t="shared" si="211"/>
        <v>40542261.152640007</v>
      </c>
      <c r="G228" s="449"/>
      <c r="H228" s="450">
        <v>65</v>
      </c>
      <c r="I228" s="448">
        <f t="shared" si="196"/>
        <v>580597.69872457779</v>
      </c>
      <c r="J228" s="455">
        <f t="shared" si="199"/>
        <v>263524.69749216002</v>
      </c>
      <c r="K228" s="449"/>
      <c r="L228" s="450">
        <v>28</v>
      </c>
      <c r="M228" s="448">
        <f t="shared" si="197"/>
        <v>267268.66568152525</v>
      </c>
      <c r="N228" s="715">
        <f t="shared" si="200"/>
        <v>113518.33122739203</v>
      </c>
      <c r="O228" s="449"/>
      <c r="P228" s="449"/>
      <c r="Q228" s="449"/>
      <c r="R228" s="449"/>
      <c r="S228" s="451"/>
      <c r="T228" s="449"/>
      <c r="U228" s="710"/>
      <c r="V228" s="672">
        <f>'TTV By Card'!$F$55</f>
        <v>7083535.8099999996</v>
      </c>
      <c r="W228" s="291" t="str">
        <f t="shared" si="202"/>
        <v>Credit MC</v>
      </c>
      <c r="X228" s="369">
        <v>1780</v>
      </c>
      <c r="Y228" s="370">
        <f t="shared" si="203"/>
        <v>7083535.8099999996</v>
      </c>
      <c r="Z228" s="349">
        <f t="shared" si="204"/>
        <v>7083535.8099999996</v>
      </c>
      <c r="AA228" s="319"/>
      <c r="AB228" s="430">
        <v>152</v>
      </c>
      <c r="AC228" s="348">
        <f t="shared" si="205"/>
        <v>86419.136881999992</v>
      </c>
      <c r="AD228" s="350">
        <f t="shared" si="206"/>
        <v>107669.744312</v>
      </c>
      <c r="AE228" s="319"/>
      <c r="AF228" s="297">
        <v>50</v>
      </c>
      <c r="AG228" s="348">
        <f t="shared" si="207"/>
        <v>51001.457832</v>
      </c>
      <c r="AH228" s="351">
        <f t="shared" si="208"/>
        <v>35417.679049999999</v>
      </c>
      <c r="AJ228" s="319"/>
      <c r="AK228" s="319"/>
      <c r="AL228" s="319"/>
      <c r="AM228" s="246"/>
    </row>
    <row r="229" spans="1:42" ht="21.95" customHeight="1" outlineLevel="1" x14ac:dyDescent="0.25">
      <c r="A229" s="305">
        <f>D218*'Working Paper 3'!$D$15</f>
        <v>45740660.731100008</v>
      </c>
      <c r="B229" s="305"/>
      <c r="C229" s="291" t="s">
        <v>131</v>
      </c>
      <c r="D229" s="292">
        <v>2545</v>
      </c>
      <c r="E229" s="458">
        <f t="shared" si="198"/>
        <v>45740660.731100008</v>
      </c>
      <c r="F229" s="448">
        <f t="shared" si="211"/>
        <v>45735839.819800012</v>
      </c>
      <c r="G229" s="449"/>
      <c r="H229" s="450">
        <v>165</v>
      </c>
      <c r="I229" s="448">
        <f t="shared" si="196"/>
        <v>680124.57773228828</v>
      </c>
      <c r="J229" s="455">
        <f t="shared" si="199"/>
        <v>754641.35702670016</v>
      </c>
      <c r="K229" s="449"/>
      <c r="L229" s="450">
        <v>70</v>
      </c>
      <c r="M229" s="448">
        <f t="shared" si="197"/>
        <v>461378.41353253135</v>
      </c>
      <c r="N229" s="715">
        <f t="shared" si="200"/>
        <v>320150.87873860006</v>
      </c>
      <c r="O229" s="449"/>
      <c r="P229" s="449"/>
      <c r="Q229" s="320">
        <f>R229/$A$55*10000</f>
        <v>18.79</v>
      </c>
      <c r="R229" s="695">
        <f>SUM(R225:R228)</f>
        <v>337672.46766760008</v>
      </c>
      <c r="S229" s="377">
        <f>SUM(S225:S227)</f>
        <v>161737.74396000002</v>
      </c>
      <c r="T229" s="449"/>
      <c r="U229" s="710"/>
      <c r="V229" s="672">
        <f>'TTV By Card'!$G$55</f>
        <v>5969271.75</v>
      </c>
      <c r="W229" s="291" t="str">
        <f t="shared" si="202"/>
        <v>Debit VISA</v>
      </c>
      <c r="X229" s="369">
        <v>1500</v>
      </c>
      <c r="Y229" s="370">
        <f t="shared" si="203"/>
        <v>5969271.75</v>
      </c>
      <c r="Z229" s="349">
        <f t="shared" si="204"/>
        <v>5969271.75</v>
      </c>
      <c r="AA229" s="319"/>
      <c r="AB229" s="430">
        <v>65</v>
      </c>
      <c r="AC229" s="348">
        <f t="shared" si="205"/>
        <v>72825.115349999993</v>
      </c>
      <c r="AD229" s="350">
        <f t="shared" si="206"/>
        <v>38800.266374999999</v>
      </c>
      <c r="AE229" s="319"/>
      <c r="AF229" s="297">
        <v>30</v>
      </c>
      <c r="AG229" s="348">
        <f t="shared" si="207"/>
        <v>42978.756600000001</v>
      </c>
      <c r="AH229" s="351">
        <f t="shared" si="208"/>
        <v>17907.81525</v>
      </c>
      <c r="AJ229" s="319"/>
      <c r="AK229" s="320">
        <f>AL235/$Z$25*10000</f>
        <v>15.223967647309742</v>
      </c>
      <c r="AL229" s="695">
        <f>SUM(AL225:AL228)</f>
        <v>255668.72500000001</v>
      </c>
      <c r="AM229" s="699">
        <f>SUM(AM225:AM227)</f>
        <v>33706.487815</v>
      </c>
    </row>
    <row r="230" spans="1:42" ht="21.95" customHeight="1" outlineLevel="1" x14ac:dyDescent="0.25">
      <c r="A230" s="305">
        <f>D219*'Working Paper 3'!$D$15</f>
        <v>10793277.364599999</v>
      </c>
      <c r="B230" s="305"/>
      <c r="C230" s="291" t="s">
        <v>7</v>
      </c>
      <c r="D230" s="292">
        <v>601</v>
      </c>
      <c r="E230" s="458">
        <f t="shared" si="198"/>
        <v>10793277.364599999</v>
      </c>
      <c r="F230" s="448">
        <f t="shared" si="211"/>
        <v>10800487.124440003</v>
      </c>
      <c r="G230" s="449"/>
      <c r="H230" s="450">
        <v>65</v>
      </c>
      <c r="I230" s="448">
        <f t="shared" si="196"/>
        <v>154331.39576823387</v>
      </c>
      <c r="J230" s="455">
        <f t="shared" si="199"/>
        <v>70203.166308860018</v>
      </c>
      <c r="K230" s="449"/>
      <c r="L230" s="450">
        <v>28</v>
      </c>
      <c r="M230" s="448">
        <f t="shared" si="197"/>
        <v>59265.10939296944</v>
      </c>
      <c r="N230" s="715">
        <f t="shared" si="200"/>
        <v>30241.363948432012</v>
      </c>
      <c r="O230" s="449"/>
      <c r="P230" s="449"/>
      <c r="Q230" s="449"/>
      <c r="R230" s="449"/>
      <c r="S230" s="451"/>
      <c r="T230" s="449"/>
      <c r="U230" s="710"/>
      <c r="V230" s="672">
        <f>'TTV By Card'!$H$55</f>
        <v>5969271.75</v>
      </c>
      <c r="W230" s="291" t="str">
        <f t="shared" si="202"/>
        <v>Debit MC</v>
      </c>
      <c r="X230" s="369">
        <v>1500</v>
      </c>
      <c r="Y230" s="370">
        <f t="shared" si="203"/>
        <v>5969271.75</v>
      </c>
      <c r="Z230" s="349">
        <f t="shared" si="204"/>
        <v>5969271.75</v>
      </c>
      <c r="AA230" s="319"/>
      <c r="AB230" s="430">
        <v>65</v>
      </c>
      <c r="AC230" s="348">
        <f t="shared" si="205"/>
        <v>72825.115349999993</v>
      </c>
      <c r="AD230" s="350">
        <f t="shared" si="206"/>
        <v>38800.266374999999</v>
      </c>
      <c r="AE230" s="319"/>
      <c r="AF230" s="297">
        <v>30</v>
      </c>
      <c r="AG230" s="348">
        <f t="shared" si="207"/>
        <v>42978.756600000001</v>
      </c>
      <c r="AH230" s="351">
        <f t="shared" si="208"/>
        <v>17907.81525</v>
      </c>
      <c r="AJ230" s="319"/>
      <c r="AK230" s="319"/>
      <c r="AL230" s="319"/>
      <c r="AM230" s="319"/>
    </row>
    <row r="231" spans="1:42" ht="21.95" customHeight="1" outlineLevel="1" x14ac:dyDescent="0.25">
      <c r="A231" s="305">
        <f>D220*'Working Paper 3'!$D$15</f>
        <v>4451948.2681000009</v>
      </c>
      <c r="B231" s="305"/>
      <c r="C231" s="291" t="s">
        <v>132</v>
      </c>
      <c r="D231" s="292">
        <v>248</v>
      </c>
      <c r="E231" s="458">
        <f t="shared" si="198"/>
        <v>4451948.2681000009</v>
      </c>
      <c r="F231" s="448">
        <f t="shared" si="211"/>
        <v>4456773.3891200004</v>
      </c>
      <c r="G231" s="449"/>
      <c r="H231" s="450">
        <v>295</v>
      </c>
      <c r="I231" s="448">
        <f t="shared" si="196"/>
        <v>64756.682015925537</v>
      </c>
      <c r="J231" s="455">
        <f t="shared" si="199"/>
        <v>131474.81497904001</v>
      </c>
      <c r="K231" s="449"/>
      <c r="L231" s="450">
        <v>260</v>
      </c>
      <c r="M231" s="448">
        <f t="shared" si="197"/>
        <v>130272.53126574784</v>
      </c>
      <c r="N231" s="715">
        <f t="shared" si="200"/>
        <v>115876.10811712001</v>
      </c>
      <c r="O231" s="449"/>
      <c r="P231" s="449"/>
      <c r="R231" s="372">
        <v>155141</v>
      </c>
      <c r="S231" s="451"/>
      <c r="T231" s="449"/>
      <c r="U231" s="710"/>
      <c r="W231" s="317"/>
      <c r="X231" s="660"/>
      <c r="Y231" s="667"/>
      <c r="Z231" s="668"/>
      <c r="AA231" s="319"/>
      <c r="AB231" s="320"/>
      <c r="AC231" s="668"/>
      <c r="AD231" s="668"/>
      <c r="AE231" s="319"/>
      <c r="AF231" s="320"/>
      <c r="AG231" s="668"/>
      <c r="AH231" s="669"/>
      <c r="AJ231" s="319"/>
      <c r="AK231" s="386">
        <v>100</v>
      </c>
      <c r="AL231" s="385">
        <f>AL219*1</f>
        <v>1</v>
      </c>
      <c r="AM231" s="246"/>
    </row>
    <row r="232" spans="1:42" ht="21.95" customHeight="1" outlineLevel="1" x14ac:dyDescent="0.25">
      <c r="A232" s="305">
        <f>D221*'Working Paper 3'!$D$15</f>
        <v>4187015.3468000004</v>
      </c>
      <c r="B232" s="305"/>
      <c r="C232" s="291" t="s">
        <v>133</v>
      </c>
      <c r="D232" s="292">
        <v>233</v>
      </c>
      <c r="E232" s="458">
        <f t="shared" si="198"/>
        <v>4187015.3468000004</v>
      </c>
      <c r="F232" s="448">
        <f t="shared" si="211"/>
        <v>4187210.482520001</v>
      </c>
      <c r="G232" s="449"/>
      <c r="H232" s="450">
        <v>295</v>
      </c>
      <c r="I232" s="448">
        <f t="shared" si="196"/>
        <v>58441.352359711338</v>
      </c>
      <c r="J232" s="455">
        <f t="shared" si="199"/>
        <v>123522.70923434003</v>
      </c>
      <c r="K232" s="449"/>
      <c r="L232" s="450">
        <v>260</v>
      </c>
      <c r="M232" s="448">
        <f t="shared" si="197"/>
        <v>119459.93491701665</v>
      </c>
      <c r="N232" s="715">
        <f t="shared" si="200"/>
        <v>108867.47254552002</v>
      </c>
      <c r="O232" s="449"/>
      <c r="P232" s="449"/>
      <c r="R232" s="372">
        <v>45390</v>
      </c>
      <c r="S232" s="451"/>
      <c r="T232" s="449"/>
      <c r="U232" s="710"/>
      <c r="W232" s="317"/>
      <c r="X232" s="660"/>
      <c r="Y232" s="667"/>
      <c r="Z232" s="668"/>
      <c r="AA232" s="319"/>
      <c r="AB232" s="320"/>
      <c r="AC232" s="668"/>
      <c r="AD232" s="668"/>
      <c r="AE232" s="319"/>
      <c r="AF232" s="320"/>
      <c r="AG232" s="668"/>
      <c r="AH232" s="669"/>
      <c r="AJ232" s="319"/>
      <c r="AK232" s="319"/>
      <c r="AL232" s="372">
        <v>18929</v>
      </c>
      <c r="AM232" s="246"/>
    </row>
    <row r="233" spans="1:42" ht="21.95" customHeight="1" outlineLevel="1" x14ac:dyDescent="0.25">
      <c r="D233" s="278"/>
      <c r="E233" s="278"/>
      <c r="F233" s="278"/>
      <c r="G233" s="449"/>
      <c r="H233" s="450"/>
      <c r="I233" s="278"/>
      <c r="J233" s="278"/>
      <c r="K233" s="449"/>
      <c r="L233" s="278"/>
      <c r="M233" s="278"/>
      <c r="N233" s="716"/>
      <c r="O233" s="449"/>
      <c r="P233" s="449"/>
      <c r="R233" s="372">
        <v>73040</v>
      </c>
      <c r="S233" s="449"/>
      <c r="T233" s="449"/>
      <c r="U233" s="710"/>
      <c r="W233"/>
      <c r="X233" s="291"/>
      <c r="AA233" s="319"/>
      <c r="AE233" s="319"/>
      <c r="AJ233" s="319"/>
      <c r="AK233" s="319"/>
      <c r="AL233" s="372">
        <v>3891</v>
      </c>
      <c r="AM233" s="319"/>
    </row>
    <row r="234" spans="1:42" ht="21.95" customHeight="1" outlineLevel="1" x14ac:dyDescent="0.25">
      <c r="A234" s="429">
        <f>SUM(A225:A233)</f>
        <v>179708604.40000004</v>
      </c>
      <c r="B234" s="429"/>
      <c r="C234" s="98"/>
      <c r="D234" s="463">
        <f>SUM(D225:D233)</f>
        <v>10001</v>
      </c>
      <c r="E234" s="452">
        <f>SUM(E225:E232)</f>
        <v>179708604.40000004</v>
      </c>
      <c r="F234" s="452">
        <f>SUM(F225:F232)</f>
        <v>179726575.26044008</v>
      </c>
      <c r="G234" s="453"/>
      <c r="H234" s="454">
        <f>J234/E234*10000</f>
        <v>111.1345</v>
      </c>
      <c r="I234" s="452">
        <f>SUM(I225:I233)</f>
        <v>2607524.6385163465</v>
      </c>
      <c r="J234" s="452">
        <f>SUM(J225:J233)</f>
        <v>1997182.5895691805</v>
      </c>
      <c r="K234" s="453"/>
      <c r="L234" s="454">
        <f>N234/E234*10000</f>
        <v>57.915200000000006</v>
      </c>
      <c r="M234" s="452">
        <f>SUM(M225:M233)</f>
        <v>1400759.8363022131</v>
      </c>
      <c r="N234" s="719">
        <f>SUM(N225:N233)</f>
        <v>1040785.9765546883</v>
      </c>
      <c r="O234" s="454"/>
      <c r="P234" s="454"/>
      <c r="Q234" s="345">
        <f>R234/A234*10000</f>
        <v>15.223032915612578</v>
      </c>
      <c r="R234" s="377">
        <f>SUM(R231:R233)</f>
        <v>273571</v>
      </c>
      <c r="S234" s="456"/>
      <c r="T234" s="706"/>
      <c r="U234" s="320"/>
      <c r="V234" s="672">
        <f>SUM(V225:V233)</f>
        <v>39795145</v>
      </c>
      <c r="W234" s="343"/>
      <c r="X234" s="344">
        <f>SUM(X225:X233)</f>
        <v>10000</v>
      </c>
      <c r="Y234" s="681">
        <f>SUM(Y225:Y232)</f>
        <v>39795145</v>
      </c>
      <c r="Z234" s="685">
        <f>SUM(Z225:Z232)</f>
        <v>39795145</v>
      </c>
      <c r="AA234" s="319"/>
      <c r="AB234" s="320">
        <f>AC234/Y234*10000</f>
        <v>124.77799999999998</v>
      </c>
      <c r="AC234" s="681">
        <f>SUM(AC225:AC233)</f>
        <v>496555.86028099991</v>
      </c>
      <c r="AD234" s="342">
        <f>SUM(AD225:AD233)</f>
        <v>385917.39815200004</v>
      </c>
      <c r="AE234" s="343"/>
      <c r="AF234" s="320">
        <f>AG234/Z234*10000</f>
        <v>57.815999999999995</v>
      </c>
      <c r="AG234" s="672">
        <f>SUM(AG225:AG233)</f>
        <v>230079.61033199998</v>
      </c>
      <c r="AH234" s="697">
        <f>SUM(AH225:AH233)</f>
        <v>148595.07143000001</v>
      </c>
      <c r="AJ234" s="345"/>
      <c r="AK234" s="319"/>
      <c r="AL234" s="372">
        <v>37764</v>
      </c>
      <c r="AM234" s="319"/>
    </row>
    <row r="235" spans="1:42" ht="21.95" customHeight="1" x14ac:dyDescent="0.25">
      <c r="M235" s="149">
        <f>J234-N234</f>
        <v>956396.61301449221</v>
      </c>
      <c r="V235" s="695"/>
      <c r="AJ235" s="319"/>
      <c r="AK235" s="319"/>
      <c r="AL235" s="377">
        <f>SUM(AL232:AL234)</f>
        <v>60584</v>
      </c>
      <c r="AM235" s="319"/>
    </row>
    <row r="240" spans="1:42" ht="21.95" customHeight="1" outlineLevel="1" x14ac:dyDescent="0.35">
      <c r="D240" s="465" t="s">
        <v>150</v>
      </c>
      <c r="F240" s="894"/>
      <c r="G240" s="893"/>
      <c r="H240" s="893"/>
      <c r="I240" s="893"/>
      <c r="J240" s="893"/>
      <c r="K240" s="893"/>
      <c r="L240" s="893"/>
      <c r="M240" s="893"/>
      <c r="N240" s="893"/>
      <c r="O240" s="893"/>
      <c r="P240" s="893"/>
      <c r="Q240" s="893"/>
      <c r="R240" s="893"/>
      <c r="X240" s="465" t="s">
        <v>151</v>
      </c>
    </row>
    <row r="241" spans="1:62" ht="21.95" customHeight="1" outlineLevel="1" thickBot="1" x14ac:dyDescent="0.3">
      <c r="H241" s="882" t="s">
        <v>102</v>
      </c>
      <c r="I241" s="882"/>
      <c r="J241" s="882"/>
      <c r="K241" s="317"/>
      <c r="L241" s="291"/>
      <c r="M241" s="291"/>
      <c r="N241" s="291"/>
      <c r="O241" s="317"/>
      <c r="P241" s="317"/>
      <c r="Q241" s="317"/>
      <c r="R241" s="317"/>
      <c r="S241" s="317"/>
      <c r="T241" s="317"/>
      <c r="U241" s="317"/>
      <c r="V241" s="317"/>
      <c r="W241" s="317"/>
      <c r="X241" s="291"/>
      <c r="Y241" s="291"/>
      <c r="Z241" s="291"/>
      <c r="AA241" s="291"/>
      <c r="AB241" s="882" t="s">
        <v>103</v>
      </c>
      <c r="AC241" s="882"/>
      <c r="AD241" s="882"/>
    </row>
    <row r="242" spans="1:62" ht="21.95" customHeight="1" outlineLevel="1" thickBot="1" x14ac:dyDescent="0.3">
      <c r="A242" s="291"/>
      <c r="B242" s="291"/>
      <c r="C242" s="291"/>
      <c r="D242" s="883" t="s">
        <v>104</v>
      </c>
      <c r="E242" s="884"/>
      <c r="F242" s="885"/>
      <c r="G242" s="323"/>
      <c r="H242" s="873" t="s">
        <v>105</v>
      </c>
      <c r="I242" s="874"/>
      <c r="J242" s="875"/>
      <c r="K242" s="323"/>
      <c r="L242" s="876" t="s">
        <v>106</v>
      </c>
      <c r="M242" s="877"/>
      <c r="N242" s="878"/>
      <c r="O242" s="323"/>
      <c r="P242" s="323"/>
      <c r="Q242" s="879" t="s">
        <v>107</v>
      </c>
      <c r="R242" s="880"/>
      <c r="S242" s="881"/>
      <c r="T242" s="323"/>
      <c r="U242" s="707"/>
      <c r="V242" s="323"/>
      <c r="W242" s="291"/>
      <c r="X242" s="883" t="s">
        <v>104</v>
      </c>
      <c r="Y242" s="884"/>
      <c r="Z242" s="885"/>
      <c r="AA242" s="323"/>
      <c r="AB242" s="873" t="s">
        <v>105</v>
      </c>
      <c r="AC242" s="874"/>
      <c r="AD242" s="875"/>
      <c r="AE242" s="323"/>
      <c r="AF242" s="876" t="s">
        <v>106</v>
      </c>
      <c r="AG242" s="877"/>
      <c r="AH242" s="878"/>
      <c r="AI242" s="291"/>
      <c r="AJ242" s="323"/>
      <c r="AK242" s="879" t="s">
        <v>107</v>
      </c>
      <c r="AL242" s="880"/>
      <c r="AM242" s="881"/>
      <c r="AP242" s="291"/>
      <c r="AR242" s="321"/>
      <c r="AS242" s="845" t="s">
        <v>108</v>
      </c>
      <c r="AT242" s="846"/>
      <c r="AU242" s="847"/>
      <c r="AV242" s="851" t="s">
        <v>1</v>
      </c>
      <c r="AW242" s="851"/>
      <c r="AX242" s="852"/>
      <c r="AY242" s="853" t="s">
        <v>140</v>
      </c>
      <c r="AZ242" s="851"/>
      <c r="BA242" s="852"/>
      <c r="BB242" s="853" t="s">
        <v>110</v>
      </c>
      <c r="BC242" s="851"/>
      <c r="BD242" s="855"/>
      <c r="BE242" s="857" t="s">
        <v>111</v>
      </c>
      <c r="BF242" s="857"/>
      <c r="BG242" s="858"/>
      <c r="BH242" s="860" t="s">
        <v>112</v>
      </c>
      <c r="BI242" s="861"/>
      <c r="BJ242" s="862"/>
    </row>
    <row r="243" spans="1:62" ht="21.95" customHeight="1" outlineLevel="1" thickBot="1" x14ac:dyDescent="0.3">
      <c r="A243" s="291"/>
      <c r="B243" s="291"/>
      <c r="C243" s="291"/>
      <c r="D243" s="325" t="s">
        <v>113</v>
      </c>
      <c r="E243" s="883" t="s">
        <v>114</v>
      </c>
      <c r="F243" s="890"/>
      <c r="G243" s="322"/>
      <c r="H243" s="302" t="s">
        <v>113</v>
      </c>
      <c r="I243" s="873" t="s">
        <v>115</v>
      </c>
      <c r="J243" s="891"/>
      <c r="K243" s="322"/>
      <c r="L243" s="302" t="s">
        <v>113</v>
      </c>
      <c r="M243" s="876" t="s">
        <v>115</v>
      </c>
      <c r="N243" s="886"/>
      <c r="O243" s="322"/>
      <c r="P243" s="322"/>
      <c r="Q243" s="328" t="s">
        <v>113</v>
      </c>
      <c r="R243" s="871" t="s">
        <v>115</v>
      </c>
      <c r="S243" s="872"/>
      <c r="T243" s="322"/>
      <c r="U243" s="708"/>
      <c r="V243" s="322"/>
      <c r="W243" s="291"/>
      <c r="X243" s="664" t="s">
        <v>113</v>
      </c>
      <c r="Y243" s="865" t="s">
        <v>114</v>
      </c>
      <c r="Z243" s="866"/>
      <c r="AA243" s="322"/>
      <c r="AB243" s="328" t="s">
        <v>113</v>
      </c>
      <c r="AC243" s="867" t="s">
        <v>115</v>
      </c>
      <c r="AD243" s="868"/>
      <c r="AE243" s="322"/>
      <c r="AF243" s="328" t="s">
        <v>113</v>
      </c>
      <c r="AG243" s="869" t="s">
        <v>115</v>
      </c>
      <c r="AH243" s="870"/>
      <c r="AI243" s="291"/>
      <c r="AJ243" s="322"/>
      <c r="AK243" s="328" t="s">
        <v>113</v>
      </c>
      <c r="AL243" s="871" t="s">
        <v>115</v>
      </c>
      <c r="AM243" s="872"/>
      <c r="AP243" s="291"/>
      <c r="AR243" s="322"/>
      <c r="AS243" s="848"/>
      <c r="AT243" s="849"/>
      <c r="AU243" s="850"/>
      <c r="AV243" s="849"/>
      <c r="AW243" s="849"/>
      <c r="AX243" s="849"/>
      <c r="AY243" s="854"/>
      <c r="AZ243" s="849"/>
      <c r="BA243" s="849"/>
      <c r="BB243" s="854"/>
      <c r="BC243" s="849"/>
      <c r="BD243" s="856"/>
      <c r="BE243" s="859"/>
      <c r="BF243" s="859"/>
      <c r="BG243" s="859"/>
      <c r="BH243" s="863"/>
      <c r="BI243" s="864"/>
      <c r="BJ243" s="864"/>
    </row>
    <row r="244" spans="1:62" ht="66.95" customHeight="1" outlineLevel="1" thickBot="1" x14ac:dyDescent="0.3">
      <c r="A244" s="291"/>
      <c r="B244" s="291"/>
      <c r="C244" s="301" t="s">
        <v>130</v>
      </c>
      <c r="D244" s="309">
        <f>'Working Paper 3'!$C$6</f>
        <v>5.0504809882102659E-2</v>
      </c>
      <c r="E244" s="295">
        <f t="shared" ref="E244:E251" si="212">D255/10000</f>
        <v>5.0500000000000003E-2</v>
      </c>
      <c r="F244" s="293"/>
      <c r="G244" s="324"/>
      <c r="H244" s="298">
        <f>'Working Paper 3'!$E$6</f>
        <v>154.93914051185246</v>
      </c>
      <c r="I244" s="299">
        <f>H255</f>
        <v>179</v>
      </c>
      <c r="J244" s="294"/>
      <c r="K244" s="317"/>
      <c r="L244" s="298">
        <f>'Working Paper 3'!$G$6</f>
        <v>169.71789116032431</v>
      </c>
      <c r="M244" s="300">
        <f>L255</f>
        <v>169.72</v>
      </c>
      <c r="N244" s="294"/>
      <c r="O244" s="317"/>
      <c r="P244" s="329" t="s">
        <v>116</v>
      </c>
      <c r="Q244" s="334">
        <v>10.65</v>
      </c>
      <c r="R244" s="352">
        <f>Q255/100</f>
        <v>5</v>
      </c>
      <c r="S244" s="330"/>
      <c r="T244" s="317"/>
      <c r="U244" s="709"/>
      <c r="V244" s="317"/>
      <c r="W244" s="301" t="str">
        <f>'Working Paper 3'!$B$6</f>
        <v>Amex</v>
      </c>
      <c r="X244" s="309">
        <f>V255/$V$85</f>
        <v>1.4E-2</v>
      </c>
      <c r="Y244" s="295">
        <f t="shared" ref="Y244:Y249" si="213">X255/10000</f>
        <v>1.4E-2</v>
      </c>
      <c r="Z244" s="293"/>
      <c r="AA244" s="665"/>
      <c r="AB244" s="298">
        <v>133</v>
      </c>
      <c r="AC244" s="299">
        <f>AB255</f>
        <v>179</v>
      </c>
      <c r="AD244" s="294"/>
      <c r="AE244" s="666"/>
      <c r="AF244" s="298">
        <v>160</v>
      </c>
      <c r="AG244" s="300">
        <f>AF255</f>
        <v>160</v>
      </c>
      <c r="AH244" s="294"/>
      <c r="AI244" s="291"/>
      <c r="AJ244" s="329" t="s">
        <v>116</v>
      </c>
      <c r="AK244" s="334">
        <f>AL262/$Z$25*10000</f>
        <v>4.756610385513107</v>
      </c>
      <c r="AL244" s="352">
        <f>AK255/100</f>
        <v>2.4</v>
      </c>
      <c r="AM244" s="330"/>
      <c r="AP244" s="291"/>
      <c r="AR244" s="825" t="s">
        <v>113</v>
      </c>
      <c r="AS244" s="827">
        <f>+I264+AC264</f>
        <v>3104080.4987973464</v>
      </c>
      <c r="AT244" s="828"/>
      <c r="AU244" s="829"/>
      <c r="AV244" s="830">
        <f>AG264+M264</f>
        <v>1630839.4466342132</v>
      </c>
      <c r="AW244" s="828"/>
      <c r="AX244" s="829"/>
      <c r="AY244" s="830">
        <f>AS244-AV244</f>
        <v>1473241.0521631332</v>
      </c>
      <c r="AZ244" s="828"/>
      <c r="BA244" s="829"/>
      <c r="BB244" s="831">
        <f>AY244/AS244</f>
        <v>0.47461431903390705</v>
      </c>
      <c r="BC244" s="828"/>
      <c r="BD244" s="832"/>
      <c r="BE244" s="827">
        <f>+AL259+R259</f>
        <v>398256.46766760008</v>
      </c>
      <c r="BF244" s="828"/>
      <c r="BG244" s="828"/>
      <c r="BH244" s="833">
        <f>AY244-BE244</f>
        <v>1074984.584495533</v>
      </c>
      <c r="BI244" s="828"/>
      <c r="BJ244" s="832"/>
    </row>
    <row r="245" spans="1:62" ht="66.95" customHeight="1" outlineLevel="1" thickBot="1" x14ac:dyDescent="0.3">
      <c r="A245" s="291"/>
      <c r="B245" s="291"/>
      <c r="C245" s="301" t="s">
        <v>3</v>
      </c>
      <c r="D245" s="309">
        <f>'Working Paper 3'!$C$7</f>
        <v>0.3206982301443993</v>
      </c>
      <c r="E245" s="295">
        <f t="shared" si="212"/>
        <v>0.32069999999999999</v>
      </c>
      <c r="F245" s="294"/>
      <c r="G245" s="317"/>
      <c r="H245" s="298">
        <f>'Working Paper 3'!$E$7</f>
        <v>142.99254815956868</v>
      </c>
      <c r="I245" s="299">
        <f t="shared" ref="I245:I251" si="214">H256</f>
        <v>65</v>
      </c>
      <c r="J245" s="294"/>
      <c r="K245" s="317"/>
      <c r="L245" s="298">
        <f>'Working Paper 3'!$G$7</f>
        <v>28.660658557912612</v>
      </c>
      <c r="M245" s="300">
        <f t="shared" ref="M245:M251" si="215">L256</f>
        <v>28.66</v>
      </c>
      <c r="N245" s="294"/>
      <c r="O245" s="317"/>
      <c r="P245" s="329" t="s">
        <v>118</v>
      </c>
      <c r="Q245" s="334">
        <v>3.12</v>
      </c>
      <c r="R245" s="352">
        <f>Q256/100</f>
        <v>1.5</v>
      </c>
      <c r="S245" s="330"/>
      <c r="T245" s="317"/>
      <c r="U245" s="709"/>
      <c r="V245" s="317"/>
      <c r="W245" s="301" t="str">
        <f>'Working Paper 3'!$B$7</f>
        <v>EFTPOS</v>
      </c>
      <c r="X245" s="309">
        <f t="shared" ref="X245:X249" si="216">V256/$V$85</f>
        <v>0.32800000000000001</v>
      </c>
      <c r="Y245" s="295">
        <f t="shared" si="213"/>
        <v>0.32800000000000001</v>
      </c>
      <c r="Z245" s="294"/>
      <c r="AA245" s="317"/>
      <c r="AB245" s="298">
        <v>130</v>
      </c>
      <c r="AC245" s="299">
        <f t="shared" ref="AC245:AC249" si="217">AB256</f>
        <v>65</v>
      </c>
      <c r="AD245" s="294"/>
      <c r="AE245" s="317"/>
      <c r="AF245" s="298">
        <v>25</v>
      </c>
      <c r="AG245" s="300">
        <f t="shared" ref="AG245:AG249" si="218">AF256</f>
        <v>25</v>
      </c>
      <c r="AH245" s="294"/>
      <c r="AI245" s="291"/>
      <c r="AJ245" s="329" t="s">
        <v>118</v>
      </c>
      <c r="AK245" s="334">
        <f>AL263/$Z$25*10000</f>
        <v>0.97775746262515195</v>
      </c>
      <c r="AL245" s="352">
        <f>AK256/100</f>
        <v>0.5</v>
      </c>
      <c r="AM245" s="330"/>
      <c r="AP245" s="291"/>
      <c r="AR245" s="826"/>
      <c r="AS245" s="834">
        <f>AS244/(Y264+A264)*10000</f>
        <v>141.41355249202618</v>
      </c>
      <c r="AT245" s="835"/>
      <c r="AU245" s="836"/>
      <c r="AV245" s="837">
        <f>AV244/(Y264+A264)*10000</f>
        <v>74.296655573857493</v>
      </c>
      <c r="AW245" s="835"/>
      <c r="AX245" s="836"/>
      <c r="AY245" s="837">
        <f>AS245-AV245</f>
        <v>67.116896918168692</v>
      </c>
      <c r="AZ245" s="838"/>
      <c r="BA245" s="839"/>
      <c r="BB245" s="840"/>
      <c r="BC245" s="841"/>
      <c r="BD245" s="842"/>
      <c r="BE245" s="843">
        <f>Q247</f>
        <v>18.79</v>
      </c>
      <c r="BF245" s="835"/>
      <c r="BG245" s="836"/>
      <c r="BH245" s="837">
        <f>AY245-BE245</f>
        <v>48.326896918168693</v>
      </c>
      <c r="BI245" s="835"/>
      <c r="BJ245" s="844"/>
    </row>
    <row r="246" spans="1:62" ht="66.95" customHeight="1" outlineLevel="1" thickBot="1" x14ac:dyDescent="0.3">
      <c r="A246" s="291"/>
      <c r="B246" s="291"/>
      <c r="C246" s="301" t="s">
        <v>4</v>
      </c>
      <c r="D246" s="309">
        <f>'Working Paper 3'!$C$8</f>
        <v>4.0553505985047866E-2</v>
      </c>
      <c r="E246" s="295">
        <f t="shared" si="212"/>
        <v>4.0599999999999997E-2</v>
      </c>
      <c r="F246" s="326"/>
      <c r="G246" s="317"/>
      <c r="H246" s="298">
        <f>'Working Paper 3'!$E$8</f>
        <v>143.45851781578313</v>
      </c>
      <c r="I246" s="299">
        <f t="shared" si="214"/>
        <v>165</v>
      </c>
      <c r="J246" s="294"/>
      <c r="K246" s="317"/>
      <c r="L246" s="298">
        <f>'Working Paper 3'!$G$8</f>
        <v>60.236068170372583</v>
      </c>
      <c r="M246" s="300">
        <f t="shared" si="215"/>
        <v>60.24</v>
      </c>
      <c r="N246" s="294"/>
      <c r="O246" s="317"/>
      <c r="P246" s="331" t="s">
        <v>119</v>
      </c>
      <c r="Q246" s="334">
        <v>5.0199999999999996</v>
      </c>
      <c r="R246" s="352">
        <f>Q257/100</f>
        <v>2.5</v>
      </c>
      <c r="S246" s="330"/>
      <c r="T246" s="317"/>
      <c r="U246" s="709"/>
      <c r="V246" s="317"/>
      <c r="W246" s="301" t="s">
        <v>120</v>
      </c>
      <c r="X246" s="309">
        <f t="shared" si="216"/>
        <v>0.18</v>
      </c>
      <c r="Y246" s="295">
        <f t="shared" si="213"/>
        <v>0.18</v>
      </c>
      <c r="Z246" s="294"/>
      <c r="AA246" s="317"/>
      <c r="AB246" s="298">
        <v>122</v>
      </c>
      <c r="AC246" s="299">
        <f t="shared" si="217"/>
        <v>179</v>
      </c>
      <c r="AD246" s="294"/>
      <c r="AE246" s="317"/>
      <c r="AF246" s="298">
        <v>72</v>
      </c>
      <c r="AG246" s="300">
        <f t="shared" si="218"/>
        <v>72</v>
      </c>
      <c r="AH246" s="294"/>
      <c r="AI246" s="291"/>
      <c r="AJ246" s="331" t="s">
        <v>119</v>
      </c>
      <c r="AK246" s="334">
        <f>AL264/$Z$25*10000</f>
        <v>9.4895997991714811</v>
      </c>
      <c r="AL246" s="352">
        <f>AK257/100</f>
        <v>5</v>
      </c>
      <c r="AM246" s="330"/>
      <c r="AP246" s="291"/>
      <c r="AR246" s="810" t="s">
        <v>141</v>
      </c>
      <c r="AS246" s="812">
        <f>+(J264+AD264)*R250</f>
        <v>2432566.3887298806</v>
      </c>
      <c r="AT246" s="788"/>
      <c r="AU246" s="789"/>
      <c r="AV246" s="813">
        <f>(AH264+N264)*R250</f>
        <v>1405947.8248909914</v>
      </c>
      <c r="AW246" s="788"/>
      <c r="AX246" s="789"/>
      <c r="AY246" s="813">
        <f>AS246-AV246</f>
        <v>1026618.5638388891</v>
      </c>
      <c r="AZ246" s="788"/>
      <c r="BA246" s="789"/>
      <c r="BB246" s="814">
        <f>AY246/AS246</f>
        <v>0.42203105682756675</v>
      </c>
      <c r="BC246" s="788"/>
      <c r="BD246" s="797"/>
      <c r="BE246" s="812">
        <f>(AM259+S259)*R250</f>
        <v>193175.90851000004</v>
      </c>
      <c r="BF246" s="788"/>
      <c r="BG246" s="788"/>
      <c r="BH246" s="815">
        <f>AY246-BE246</f>
        <v>833442.65532888914</v>
      </c>
      <c r="BI246" s="788"/>
      <c r="BJ246" s="797"/>
    </row>
    <row r="247" spans="1:62" ht="66.95" customHeight="1" outlineLevel="1" thickBot="1" x14ac:dyDescent="0.3">
      <c r="A247" s="291"/>
      <c r="B247" s="291"/>
      <c r="C247" s="301" t="s">
        <v>5</v>
      </c>
      <c r="D247" s="309">
        <f>'Working Paper 3'!$C$9</f>
        <v>0.22558468242770457</v>
      </c>
      <c r="E247" s="295">
        <f t="shared" si="212"/>
        <v>0.22559999999999999</v>
      </c>
      <c r="F247" s="294"/>
      <c r="G247" s="317"/>
      <c r="H247" s="298">
        <f>'Working Paper 3'!$E$9</f>
        <v>143.21774507854948</v>
      </c>
      <c r="I247" s="299">
        <f t="shared" si="214"/>
        <v>65</v>
      </c>
      <c r="J247" s="294"/>
      <c r="K247" s="317"/>
      <c r="L247" s="298">
        <f>'Working Paper 3'!$G$9</f>
        <v>65.927949272184037</v>
      </c>
      <c r="M247" s="300">
        <f t="shared" si="215"/>
        <v>30</v>
      </c>
      <c r="N247" s="294"/>
      <c r="O247" s="317"/>
      <c r="P247" s="340"/>
      <c r="Q247" s="332">
        <f>R259/$A$85*10000</f>
        <v>18.79</v>
      </c>
      <c r="R247" s="339">
        <f>S259/A264*10000</f>
        <v>9</v>
      </c>
      <c r="S247" s="336"/>
      <c r="T247" s="317"/>
      <c r="U247" s="709"/>
      <c r="V247" s="317"/>
      <c r="W247" s="301" t="s">
        <v>122</v>
      </c>
      <c r="X247" s="309">
        <f t="shared" si="216"/>
        <v>0.17799999999999999</v>
      </c>
      <c r="Y247" s="295">
        <f t="shared" si="213"/>
        <v>0.17799999999999999</v>
      </c>
      <c r="Z247" s="294"/>
      <c r="AA247" s="317"/>
      <c r="AB247" s="298">
        <v>122</v>
      </c>
      <c r="AC247" s="299">
        <f t="shared" si="217"/>
        <v>179</v>
      </c>
      <c r="AD247" s="294"/>
      <c r="AE247" s="317"/>
      <c r="AF247" s="298">
        <v>72</v>
      </c>
      <c r="AG247" s="300">
        <f t="shared" si="218"/>
        <v>72</v>
      </c>
      <c r="AH247" s="294"/>
      <c r="AI247" s="291"/>
      <c r="AJ247" s="340"/>
      <c r="AK247" s="335"/>
      <c r="AL247" s="317"/>
      <c r="AM247" s="336"/>
      <c r="AP247" s="291"/>
      <c r="AR247" s="811"/>
      <c r="AS247" s="816">
        <f>AS246/(Y264+A264)*10000</f>
        <v>110.8211771042249</v>
      </c>
      <c r="AT247" s="817"/>
      <c r="AU247" s="818"/>
      <c r="AV247" s="819">
        <f>AV246/(Y264+A264)*10000</f>
        <v>64.051198612053923</v>
      </c>
      <c r="AW247" s="817"/>
      <c r="AX247" s="818"/>
      <c r="AY247" s="819">
        <f>AS247-AV247</f>
        <v>46.769978492170978</v>
      </c>
      <c r="AZ247" s="817"/>
      <c r="BA247" s="817"/>
      <c r="BB247" s="820"/>
      <c r="BC247" s="821"/>
      <c r="BD247" s="822"/>
      <c r="BE247" s="823">
        <f>R247*R250</f>
        <v>9</v>
      </c>
      <c r="BF247" s="817"/>
      <c r="BG247" s="817"/>
      <c r="BH247" s="819">
        <f>AY247-BE247</f>
        <v>37.769978492170978</v>
      </c>
      <c r="BI247" s="817"/>
      <c r="BJ247" s="824"/>
    </row>
    <row r="248" spans="1:62" ht="66.95" customHeight="1" outlineLevel="1" thickBot="1" x14ac:dyDescent="0.3">
      <c r="A248" s="291"/>
      <c r="B248" s="291"/>
      <c r="C248" s="301" t="s">
        <v>131</v>
      </c>
      <c r="D248" s="309">
        <f>'Working Paper 3'!$C$10</f>
        <v>0.25452682626864803</v>
      </c>
      <c r="E248" s="295">
        <f t="shared" si="212"/>
        <v>0.2545</v>
      </c>
      <c r="F248" s="294"/>
      <c r="G248" s="317"/>
      <c r="H248" s="298">
        <f>'Working Paper 3'!$E$10</f>
        <v>148.69146331982427</v>
      </c>
      <c r="I248" s="299">
        <f t="shared" si="214"/>
        <v>165</v>
      </c>
      <c r="J248" s="294"/>
      <c r="K248" s="317"/>
      <c r="L248" s="298">
        <f>'Working Paper 3'!$G$10</f>
        <v>100.86833162399658</v>
      </c>
      <c r="M248" s="300">
        <f t="shared" si="215"/>
        <v>100.87</v>
      </c>
      <c r="N248" s="294"/>
      <c r="O248" s="317"/>
      <c r="P248" s="340"/>
      <c r="S248" s="336"/>
      <c r="T248" s="317"/>
      <c r="U248" s="709"/>
      <c r="V248" s="317"/>
      <c r="W248" s="301" t="s">
        <v>50</v>
      </c>
      <c r="X248" s="309">
        <f t="shared" si="216"/>
        <v>0.15</v>
      </c>
      <c r="Y248" s="295">
        <f t="shared" si="213"/>
        <v>0.15</v>
      </c>
      <c r="Z248" s="294"/>
      <c r="AA248" s="317"/>
      <c r="AB248" s="298">
        <v>122</v>
      </c>
      <c r="AC248" s="299">
        <f t="shared" si="217"/>
        <v>65</v>
      </c>
      <c r="AD248" s="294"/>
      <c r="AE248" s="317"/>
      <c r="AF248" s="298">
        <v>72</v>
      </c>
      <c r="AG248" s="300">
        <f t="shared" si="218"/>
        <v>28</v>
      </c>
      <c r="AH248" s="294"/>
      <c r="AI248" s="291"/>
      <c r="AJ248" s="340"/>
      <c r="AK248" s="887" t="s">
        <v>123</v>
      </c>
      <c r="AL248" s="888"/>
      <c r="AM248" s="889"/>
      <c r="AP248" s="291"/>
      <c r="AR248" s="424" t="s">
        <v>124</v>
      </c>
      <c r="AS248" s="787">
        <f t="shared" ref="AS248:AS249" si="219">AS244-AS246</f>
        <v>671514.11006746581</v>
      </c>
      <c r="AT248" s="788"/>
      <c r="AU248" s="789"/>
      <c r="AV248" s="790">
        <f t="shared" ref="AV248:AV249" si="220">AV244-AV246</f>
        <v>224891.62174322177</v>
      </c>
      <c r="AW248" s="791"/>
      <c r="AX248" s="792"/>
      <c r="AY248" s="793">
        <f t="shared" ref="AY248:AY249" si="221">AY244-AY246</f>
        <v>446622.48832424404</v>
      </c>
      <c r="AZ248" s="788"/>
      <c r="BA248" s="788"/>
      <c r="BB248" s="794"/>
      <c r="BC248" s="788"/>
      <c r="BD248" s="789"/>
      <c r="BE248" s="795">
        <f t="shared" ref="BE248:BE249" si="222">BE244-BE246</f>
        <v>205080.55915760004</v>
      </c>
      <c r="BF248" s="788"/>
      <c r="BG248" s="789"/>
      <c r="BH248" s="796">
        <f t="shared" ref="BH248:BH249" si="223">BH244-BH246</f>
        <v>241541.92916664388</v>
      </c>
      <c r="BI248" s="788"/>
      <c r="BJ248" s="797"/>
    </row>
    <row r="249" spans="1:62" ht="66.95" customHeight="1" outlineLevel="1" thickBot="1" x14ac:dyDescent="0.3">
      <c r="A249" s="291"/>
      <c r="B249" s="291"/>
      <c r="C249" s="301" t="s">
        <v>7</v>
      </c>
      <c r="D249" s="309">
        <f>'Working Paper 3'!$C$11</f>
        <v>6.0059880831170691E-2</v>
      </c>
      <c r="E249" s="295">
        <f t="shared" si="212"/>
        <v>6.0100000000000001E-2</v>
      </c>
      <c r="F249" s="294"/>
      <c r="G249" s="317"/>
      <c r="H249" s="298">
        <f>'Working Paper 3'!$E$11</f>
        <v>142.98844600659757</v>
      </c>
      <c r="I249" s="299">
        <f t="shared" si="214"/>
        <v>65</v>
      </c>
      <c r="J249" s="294"/>
      <c r="K249" s="317"/>
      <c r="L249" s="298">
        <f>'Working Paper 3'!$G$11</f>
        <v>54.90928046317822</v>
      </c>
      <c r="M249" s="300">
        <f t="shared" si="215"/>
        <v>30</v>
      </c>
      <c r="N249" s="294"/>
      <c r="O249" s="317"/>
      <c r="P249" s="340"/>
      <c r="Q249" s="887" t="s">
        <v>123</v>
      </c>
      <c r="R249" s="888"/>
      <c r="S249" s="889"/>
      <c r="T249" s="701"/>
      <c r="U249" s="709"/>
      <c r="V249" s="317"/>
      <c r="W249" s="301" t="s">
        <v>125</v>
      </c>
      <c r="X249" s="309">
        <f t="shared" si="216"/>
        <v>0.15</v>
      </c>
      <c r="Y249" s="295">
        <f t="shared" si="213"/>
        <v>0.15</v>
      </c>
      <c r="Z249" s="294"/>
      <c r="AA249" s="318"/>
      <c r="AB249" s="298">
        <v>122</v>
      </c>
      <c r="AC249" s="299">
        <f t="shared" si="217"/>
        <v>65</v>
      </c>
      <c r="AD249" s="294"/>
      <c r="AE249" s="318"/>
      <c r="AF249" s="298">
        <v>72</v>
      </c>
      <c r="AG249" s="300">
        <f t="shared" si="218"/>
        <v>28</v>
      </c>
      <c r="AH249" s="294"/>
      <c r="AI249" s="291"/>
      <c r="AJ249" s="340"/>
      <c r="AK249" s="384">
        <v>1</v>
      </c>
      <c r="AL249" s="384">
        <f>AK261/100</f>
        <v>1</v>
      </c>
      <c r="AM249" s="383"/>
      <c r="AP249" s="291"/>
      <c r="AR249" s="425" t="s">
        <v>126</v>
      </c>
      <c r="AS249" s="798">
        <f t="shared" si="219"/>
        <v>30.592375387801283</v>
      </c>
      <c r="AT249" s="799"/>
      <c r="AU249" s="800"/>
      <c r="AV249" s="801">
        <f t="shared" si="220"/>
        <v>10.245456961803569</v>
      </c>
      <c r="AW249" s="799"/>
      <c r="AX249" s="800"/>
      <c r="AY249" s="801">
        <f t="shared" si="221"/>
        <v>20.346918425997714</v>
      </c>
      <c r="AZ249" s="799"/>
      <c r="BA249" s="799"/>
      <c r="BB249" s="802"/>
      <c r="BC249" s="803"/>
      <c r="BD249" s="804"/>
      <c r="BE249" s="805">
        <f t="shared" si="222"/>
        <v>9.7899999999999991</v>
      </c>
      <c r="BF249" s="806"/>
      <c r="BG249" s="807"/>
      <c r="BH249" s="808">
        <f t="shared" si="223"/>
        <v>10.556918425997715</v>
      </c>
      <c r="BI249" s="806"/>
      <c r="BJ249" s="809"/>
    </row>
    <row r="250" spans="1:62" ht="66.95" customHeight="1" outlineLevel="1" thickBot="1" x14ac:dyDescent="0.3">
      <c r="A250" s="291"/>
      <c r="B250" s="291"/>
      <c r="C250" s="301" t="s">
        <v>132</v>
      </c>
      <c r="D250" s="309">
        <f>'Working Paper 3'!$C$12</f>
        <v>2.4773150306096305E-2</v>
      </c>
      <c r="E250" s="295">
        <f t="shared" si="212"/>
        <v>2.4799999999999999E-2</v>
      </c>
      <c r="F250" s="294"/>
      <c r="G250" s="317"/>
      <c r="H250" s="298">
        <f>'Working Paper 3'!$E$12</f>
        <v>145.45695079148425</v>
      </c>
      <c r="I250" s="299">
        <f t="shared" si="214"/>
        <v>300</v>
      </c>
      <c r="J250" s="294"/>
      <c r="K250" s="317"/>
      <c r="L250" s="298">
        <f>'Working Paper 3'!$G$12</f>
        <v>292.619148787516</v>
      </c>
      <c r="M250" s="300">
        <f t="shared" si="215"/>
        <v>292.62</v>
      </c>
      <c r="N250" s="294"/>
      <c r="O250" s="317"/>
      <c r="P250" s="340"/>
      <c r="Q250" s="384">
        <v>1</v>
      </c>
      <c r="R250" s="384">
        <f>Q253/100</f>
        <v>1</v>
      </c>
      <c r="S250" s="383"/>
      <c r="T250" s="317"/>
      <c r="U250" s="709"/>
      <c r="V250" s="317"/>
      <c r="W250" s="323"/>
      <c r="X250" s="661">
        <v>1500</v>
      </c>
      <c r="Y250" s="662"/>
      <c r="Z250" s="317"/>
      <c r="AA250" s="317"/>
      <c r="AB250" s="663"/>
      <c r="AC250" s="663"/>
      <c r="AD250" s="317"/>
      <c r="AE250" s="317"/>
      <c r="AF250" s="663"/>
      <c r="AG250" s="663"/>
      <c r="AH250" s="317"/>
      <c r="AI250" s="423"/>
      <c r="AJ250" s="340"/>
      <c r="AK250" s="335"/>
      <c r="AL250" s="317"/>
      <c r="AM250" s="336"/>
      <c r="AN250" s="423"/>
      <c r="AO250" s="423"/>
      <c r="AP250" s="291"/>
    </row>
    <row r="251" spans="1:62" ht="66.95" customHeight="1" outlineLevel="1" thickBot="1" x14ac:dyDescent="0.3">
      <c r="A251" s="291"/>
      <c r="B251" s="291"/>
      <c r="C251" s="301" t="s">
        <v>133</v>
      </c>
      <c r="D251" s="309">
        <f>'Working Paper 3'!$C$13</f>
        <v>2.3298914154830527E-2</v>
      </c>
      <c r="E251" s="295">
        <f t="shared" si="212"/>
        <v>2.3300000000000001E-2</v>
      </c>
      <c r="F251" s="294"/>
      <c r="G251" s="317"/>
      <c r="H251" s="298">
        <f>'Working Paper 3'!$E$13</f>
        <v>139.5775929132339</v>
      </c>
      <c r="I251" s="299">
        <f t="shared" si="214"/>
        <v>300</v>
      </c>
      <c r="J251" s="294"/>
      <c r="K251" s="317"/>
      <c r="L251" s="298">
        <f>'Working Paper 3'!$G$13</f>
        <v>285.31047780447233</v>
      </c>
      <c r="M251" s="300">
        <f t="shared" si="215"/>
        <v>285.31</v>
      </c>
      <c r="N251" s="294"/>
      <c r="O251" s="317"/>
      <c r="P251" s="341"/>
      <c r="Q251" s="337"/>
      <c r="R251" s="318"/>
      <c r="S251" s="338"/>
      <c r="T251" s="317"/>
      <c r="U251" s="709"/>
      <c r="V251" s="317"/>
      <c r="W251" s="323"/>
      <c r="X251" s="661"/>
      <c r="Y251" s="662"/>
      <c r="Z251" s="317"/>
      <c r="AA251" s="317"/>
      <c r="AB251" s="663"/>
      <c r="AC251" s="663"/>
      <c r="AD251" s="317"/>
      <c r="AE251" s="317"/>
      <c r="AF251" s="663"/>
      <c r="AG251" s="663"/>
      <c r="AH251" s="317"/>
      <c r="AI251" s="423"/>
      <c r="AJ251" s="341"/>
      <c r="AK251" s="337"/>
      <c r="AL251" s="318"/>
      <c r="AM251" s="338"/>
      <c r="AN251" s="423"/>
      <c r="AO251" s="423"/>
      <c r="AP251" s="291"/>
    </row>
    <row r="252" spans="1:62" ht="21.95" customHeight="1" outlineLevel="1" thickBot="1" x14ac:dyDescent="0.3">
      <c r="A252" s="291"/>
      <c r="B252" s="291"/>
      <c r="C252" s="291"/>
      <c r="D252" s="291"/>
      <c r="E252" s="291"/>
      <c r="F252" s="291"/>
      <c r="G252" s="317"/>
      <c r="H252" s="291"/>
      <c r="I252" s="291"/>
      <c r="J252" s="291"/>
      <c r="K252" s="317"/>
      <c r="L252" s="291"/>
      <c r="M252" s="291"/>
      <c r="N252" s="291"/>
      <c r="O252" s="317"/>
      <c r="P252" s="317"/>
      <c r="Q252" s="317"/>
      <c r="R252" s="317"/>
      <c r="S252" s="317"/>
      <c r="T252" s="317"/>
      <c r="U252" s="709"/>
      <c r="V252" s="317"/>
      <c r="W252" s="291"/>
      <c r="X252" s="291"/>
      <c r="Y252" s="291"/>
      <c r="Z252" s="291"/>
      <c r="AA252" s="317"/>
      <c r="AB252" s="291"/>
      <c r="AC252" s="291"/>
      <c r="AD252" s="291"/>
      <c r="AE252" s="317"/>
      <c r="AF252" s="291"/>
      <c r="AG252" s="291"/>
      <c r="AH252" s="291"/>
      <c r="AJ252" s="317"/>
      <c r="AK252" s="317"/>
      <c r="AL252" s="317"/>
      <c r="AM252" s="317"/>
      <c r="AP252" s="291"/>
    </row>
    <row r="253" spans="1:62" ht="21.95" customHeight="1" outlineLevel="1" thickBot="1" x14ac:dyDescent="0.3">
      <c r="A253" s="291"/>
      <c r="B253" s="291"/>
      <c r="C253" s="291"/>
      <c r="D253" s="315">
        <f>SUM(D244:D252)</f>
        <v>0.99999999999999978</v>
      </c>
      <c r="E253" s="316">
        <f>SUM(E244:E252)</f>
        <v>1.0001</v>
      </c>
      <c r="F253" s="291"/>
      <c r="G253" s="317"/>
      <c r="H253" s="356">
        <f>I264/A264*10000</f>
        <v>145.09737289553766</v>
      </c>
      <c r="I253" s="314">
        <f>H264</f>
        <v>111.57700000000001</v>
      </c>
      <c r="J253" s="291"/>
      <c r="K253" s="317"/>
      <c r="L253" s="311">
        <f>M264/A264*10000</f>
        <v>77.946175197285811</v>
      </c>
      <c r="M253" s="312">
        <f>L264</f>
        <v>68.354979999999998</v>
      </c>
      <c r="N253" s="291"/>
      <c r="O253" s="317"/>
      <c r="P253" s="291"/>
      <c r="Q253" s="410">
        <v>100</v>
      </c>
      <c r="R253" s="411">
        <f>R250*1</f>
        <v>1</v>
      </c>
      <c r="S253" s="410"/>
      <c r="T253" s="703"/>
      <c r="U253" s="709"/>
      <c r="V253" s="317"/>
      <c r="W253" s="291"/>
      <c r="X253" s="315">
        <f>SUM(X244:X252)</f>
        <v>1501</v>
      </c>
      <c r="Y253" s="316">
        <f>SUM(Y244:Y252)</f>
        <v>1</v>
      </c>
      <c r="Z253" s="291"/>
      <c r="AA253" s="317"/>
      <c r="AB253" s="686">
        <f>AC264/V264*10000</f>
        <v>124.77799999999998</v>
      </c>
      <c r="AC253" s="357">
        <f>AD264/V264*10000</f>
        <v>107.408</v>
      </c>
      <c r="AD253" s="291"/>
      <c r="AE253" s="317"/>
      <c r="AF253" s="698">
        <f>AF264</f>
        <v>57.815999999999995</v>
      </c>
      <c r="AG253" s="312">
        <f>AH264/Z264*10000</f>
        <v>44.616000000000007</v>
      </c>
      <c r="AH253" s="291"/>
      <c r="AJ253" s="291"/>
      <c r="AK253" s="332">
        <f>AL259/Z264*10000</f>
        <v>15.223967647309742</v>
      </c>
      <c r="AL253" s="413">
        <f>AM259/Z264*10000</f>
        <v>7.9</v>
      </c>
      <c r="AM253" s="291"/>
      <c r="AP253" s="291"/>
    </row>
    <row r="254" spans="1:62" ht="21.95" customHeight="1" outlineLevel="1" thickBot="1" x14ac:dyDescent="0.3">
      <c r="A254" s="291"/>
      <c r="B254" s="291"/>
      <c r="C254" s="291"/>
      <c r="D254" s="291"/>
      <c r="E254" s="291"/>
      <c r="F254" s="291"/>
      <c r="G254" s="317"/>
      <c r="H254" s="291"/>
      <c r="I254" s="291"/>
      <c r="J254" s="291"/>
      <c r="K254" s="317"/>
      <c r="L254" s="291"/>
      <c r="M254" s="291"/>
      <c r="N254" s="291"/>
      <c r="O254" s="317"/>
      <c r="P254" s="317"/>
      <c r="Q254" s="317"/>
      <c r="R254" s="317"/>
      <c r="S254" s="317"/>
      <c r="T254" s="317"/>
      <c r="U254" s="709"/>
      <c r="V254" s="670" t="s">
        <v>103</v>
      </c>
      <c r="W254" s="291"/>
      <c r="X254" s="291"/>
      <c r="Y254" s="291"/>
      <c r="Z254" s="291"/>
      <c r="AA254" s="317"/>
      <c r="AB254" s="291"/>
      <c r="AC254" s="291"/>
      <c r="AD254" s="291"/>
      <c r="AE254" s="317"/>
      <c r="AF254" s="291"/>
      <c r="AG254" s="291"/>
      <c r="AH254" s="291"/>
      <c r="AJ254" s="317"/>
      <c r="AK254" s="317"/>
      <c r="AL254" s="414"/>
      <c r="AM254" s="317"/>
      <c r="AP254" s="291"/>
    </row>
    <row r="255" spans="1:62" ht="21.95" customHeight="1" outlineLevel="1" thickBot="1" x14ac:dyDescent="0.3">
      <c r="A255" s="305">
        <f>D244*'Working Paper 3'!$D$15</f>
        <v>9076148.8993999995</v>
      </c>
      <c r="B255" s="305"/>
      <c r="C255" s="291" t="s">
        <v>130</v>
      </c>
      <c r="D255" s="292">
        <v>505</v>
      </c>
      <c r="E255" s="458">
        <f>D244*$A$85</f>
        <v>9076148.8993999995</v>
      </c>
      <c r="F255" s="448">
        <f>E244*$A$85</f>
        <v>9075284.5222000033</v>
      </c>
      <c r="G255" s="449"/>
      <c r="H255" s="450">
        <v>179</v>
      </c>
      <c r="I255" s="448">
        <f t="shared" ref="I255:I262" si="224">H244*A255/10000</f>
        <v>140625.07096306313</v>
      </c>
      <c r="J255" s="455">
        <f>I244*F255/10000</f>
        <v>162447.59294738006</v>
      </c>
      <c r="K255" s="449"/>
      <c r="L255" s="450">
        <v>169.72</v>
      </c>
      <c r="M255" s="448">
        <f t="shared" ref="M255:M262" si="225">L244*A255/10000</f>
        <v>154038.48510632664</v>
      </c>
      <c r="N255" s="715">
        <f>M244*F255/10000</f>
        <v>154025.72891077845</v>
      </c>
      <c r="O255" s="449"/>
      <c r="P255" s="460" t="s">
        <v>116</v>
      </c>
      <c r="Q255" s="371">
        <v>500</v>
      </c>
      <c r="R255" s="461">
        <f>Q244*$A$85/10000</f>
        <v>191389.66368600004</v>
      </c>
      <c r="S255" s="362">
        <f>Q255*E264/1000000</f>
        <v>89854.30220000002</v>
      </c>
      <c r="T255" s="705"/>
      <c r="U255" s="709"/>
      <c r="V255" s="671">
        <f>'TTV By Card'!$C$55</f>
        <v>557132.03</v>
      </c>
      <c r="W255" s="291" t="str">
        <f>W244</f>
        <v>Amex</v>
      </c>
      <c r="X255" s="369">
        <v>140</v>
      </c>
      <c r="Y255" s="370">
        <f>X244*$V$85</f>
        <v>557132.03</v>
      </c>
      <c r="Z255" s="349">
        <f>Y244*$V$25</f>
        <v>557132.03</v>
      </c>
      <c r="AA255" s="317"/>
      <c r="AB255" s="700">
        <v>179</v>
      </c>
      <c r="AC255" s="348">
        <f>AB244*V255/10000</f>
        <v>7409.8559990000012</v>
      </c>
      <c r="AD255" s="350">
        <f>AC244*Z255/10000</f>
        <v>9972.663337</v>
      </c>
      <c r="AE255" s="317"/>
      <c r="AF255" s="296">
        <v>160</v>
      </c>
      <c r="AG255" s="348">
        <f>AF244*V255/10000</f>
        <v>8914.1124800000016</v>
      </c>
      <c r="AH255" s="351">
        <f>AG244*Z255/10000</f>
        <v>8914.1124800000016</v>
      </c>
      <c r="AI255" s="291"/>
      <c r="AJ255" s="329" t="s">
        <v>116</v>
      </c>
      <c r="AK255" s="371">
        <v>240</v>
      </c>
      <c r="AL255" s="694">
        <f>AK244*$Z$25/10000</f>
        <v>18929</v>
      </c>
      <c r="AM255" s="373">
        <f>AL244*$Z$55/10000</f>
        <v>9550.8348000000005</v>
      </c>
      <c r="AP255" s="291"/>
    </row>
    <row r="256" spans="1:62" ht="21.95" customHeight="1" outlineLevel="1" thickBot="1" x14ac:dyDescent="0.3">
      <c r="A256" s="305">
        <f>D245*'Working Paper 3'!$D$15</f>
        <v>57632231.372800022</v>
      </c>
      <c r="B256" s="305"/>
      <c r="C256" s="291" t="s">
        <v>3</v>
      </c>
      <c r="D256" s="292">
        <v>3207</v>
      </c>
      <c r="E256" s="458">
        <f t="shared" ref="E256:E262" si="226">D245*$A$85</f>
        <v>57632231.372800022</v>
      </c>
      <c r="F256" s="448">
        <f>E245*$A$85</f>
        <v>57632549.431080006</v>
      </c>
      <c r="G256" s="449"/>
      <c r="H256" s="450">
        <v>65</v>
      </c>
      <c r="I256" s="448">
        <f t="shared" si="224"/>
        <v>824097.96201185125</v>
      </c>
      <c r="J256" s="455">
        <f t="shared" ref="J256:J262" si="227">I245*F256/10000</f>
        <v>374611.57130202005</v>
      </c>
      <c r="K256" s="449"/>
      <c r="L256" s="450">
        <v>28.66</v>
      </c>
      <c r="M256" s="448">
        <f t="shared" si="225"/>
        <v>165177.77053064405</v>
      </c>
      <c r="N256" s="715">
        <f t="shared" ref="N256:N262" si="228">M245*F256/10000</f>
        <v>165174.88666947529</v>
      </c>
      <c r="O256" s="449"/>
      <c r="P256" s="460" t="s">
        <v>118</v>
      </c>
      <c r="Q256" s="374">
        <v>150</v>
      </c>
      <c r="R256" s="461">
        <f t="shared" ref="R256:R257" si="229">Q245*$A$85/10000</f>
        <v>56069.084572800013</v>
      </c>
      <c r="S256" s="362">
        <f>Q256*E264/1000000</f>
        <v>26956.290660000002</v>
      </c>
      <c r="T256" s="705"/>
      <c r="U256" s="710"/>
      <c r="V256" s="672">
        <f>'TTV By Card'!$D$55</f>
        <v>13052807.560000001</v>
      </c>
      <c r="W256" s="291" t="str">
        <f t="shared" ref="W256:W260" si="230">W245</f>
        <v>EFTPOS</v>
      </c>
      <c r="X256" s="369">
        <v>3280</v>
      </c>
      <c r="Y256" s="370">
        <f t="shared" ref="Y256:Y260" si="231">X245*$V$85</f>
        <v>13052807.560000001</v>
      </c>
      <c r="Z256" s="349">
        <f t="shared" ref="Z256:Z260" si="232">Y245*$V$25</f>
        <v>13052807.560000001</v>
      </c>
      <c r="AA256" s="319"/>
      <c r="AB256" s="430">
        <v>65</v>
      </c>
      <c r="AC256" s="348">
        <f t="shared" ref="AC256:AC260" si="233">AB245*V256/10000</f>
        <v>169686.49828</v>
      </c>
      <c r="AD256" s="350">
        <f t="shared" ref="AD256:AD260" si="234">AC245*Z256/10000</f>
        <v>84843.24914</v>
      </c>
      <c r="AE256" s="319"/>
      <c r="AF256" s="297">
        <v>25</v>
      </c>
      <c r="AG256" s="348">
        <f t="shared" ref="AG256:AG260" si="235">AF245*V256/10000</f>
        <v>32632.018899999999</v>
      </c>
      <c r="AH256" s="351">
        <f t="shared" ref="AH256:AH260" si="236">AG245*Z256/10000</f>
        <v>32632.018899999999</v>
      </c>
      <c r="AJ256" s="329" t="s">
        <v>118</v>
      </c>
      <c r="AK256" s="374">
        <v>50</v>
      </c>
      <c r="AL256" s="694">
        <f>AK245*$Z$25/10000</f>
        <v>3891</v>
      </c>
      <c r="AM256" s="373">
        <f t="shared" ref="AM256:AM257" si="237">AL245*$Z$55/10000</f>
        <v>1989.7572500000001</v>
      </c>
    </row>
    <row r="257" spans="1:39" ht="21.95" customHeight="1" outlineLevel="1" thickBot="1" x14ac:dyDescent="0.3">
      <c r="A257" s="305">
        <f>D246*'Working Paper 3'!$D$15</f>
        <v>7287813.9641000004</v>
      </c>
      <c r="B257" s="305"/>
      <c r="C257" s="291" t="s">
        <v>4</v>
      </c>
      <c r="D257" s="292">
        <v>406</v>
      </c>
      <c r="E257" s="458">
        <f t="shared" si="226"/>
        <v>7287813.9641000004</v>
      </c>
      <c r="F257" s="448">
        <f t="shared" ref="F257:F262" si="238">E246*$A$85</f>
        <v>7296169.3386400007</v>
      </c>
      <c r="G257" s="449"/>
      <c r="H257" s="450">
        <v>165</v>
      </c>
      <c r="I257" s="448">
        <f t="shared" si="224"/>
        <v>104549.8989406953</v>
      </c>
      <c r="J257" s="455">
        <f t="shared" si="227"/>
        <v>120386.79408756</v>
      </c>
      <c r="K257" s="449"/>
      <c r="L257" s="450">
        <v>60.24</v>
      </c>
      <c r="M257" s="448">
        <f t="shared" si="225"/>
        <v>43898.925875452092</v>
      </c>
      <c r="N257" s="715">
        <f t="shared" si="228"/>
        <v>43952.124095967367</v>
      </c>
      <c r="O257" s="449"/>
      <c r="P257" s="462" t="s">
        <v>119</v>
      </c>
      <c r="Q257" s="374">
        <v>250</v>
      </c>
      <c r="R257" s="461">
        <f t="shared" si="229"/>
        <v>90213.719408800011</v>
      </c>
      <c r="S257" s="362">
        <f>Q257*E264/1000000</f>
        <v>44927.15110000001</v>
      </c>
      <c r="T257" s="705"/>
      <c r="U257" s="710"/>
      <c r="V257" s="672">
        <f>'TTV By Card'!$E$55</f>
        <v>7163126.0999999996</v>
      </c>
      <c r="W257" s="291" t="str">
        <f t="shared" si="230"/>
        <v>Credit ViSa</v>
      </c>
      <c r="X257" s="369">
        <v>1800</v>
      </c>
      <c r="Y257" s="370">
        <f t="shared" si="231"/>
        <v>7163126.0999999996</v>
      </c>
      <c r="Z257" s="349">
        <f t="shared" si="232"/>
        <v>7163126.0999999996</v>
      </c>
      <c r="AA257" s="319"/>
      <c r="AB257" s="430">
        <v>179</v>
      </c>
      <c r="AC257" s="348">
        <f t="shared" si="233"/>
        <v>87390.138419999988</v>
      </c>
      <c r="AD257" s="350">
        <f t="shared" si="234"/>
        <v>128219.95718999999</v>
      </c>
      <c r="AE257" s="319"/>
      <c r="AF257" s="297">
        <v>72</v>
      </c>
      <c r="AG257" s="348">
        <f t="shared" si="235"/>
        <v>51574.507919999996</v>
      </c>
      <c r="AH257" s="351">
        <f t="shared" si="236"/>
        <v>51574.507919999996</v>
      </c>
      <c r="AJ257" s="333" t="s">
        <v>119</v>
      </c>
      <c r="AK257" s="374">
        <v>500</v>
      </c>
      <c r="AL257" s="694">
        <f t="shared" ref="AL257" si="239">AK246*$Z$25/10000</f>
        <v>37764</v>
      </c>
      <c r="AM257" s="373">
        <f t="shared" si="237"/>
        <v>19897.572499999998</v>
      </c>
    </row>
    <row r="258" spans="1:39" ht="21.95" customHeight="1" outlineLevel="1" x14ac:dyDescent="0.25">
      <c r="A258" s="305">
        <f>D247*'Working Paper 3'!$D$15</f>
        <v>40539508.453100003</v>
      </c>
      <c r="B258" s="305"/>
      <c r="C258" s="291" t="s">
        <v>5</v>
      </c>
      <c r="D258" s="292">
        <v>2256</v>
      </c>
      <c r="E258" s="458">
        <f t="shared" si="226"/>
        <v>40539508.453100003</v>
      </c>
      <c r="F258" s="448">
        <f t="shared" si="238"/>
        <v>40542261.152640007</v>
      </c>
      <c r="G258" s="449"/>
      <c r="H258" s="450">
        <v>65</v>
      </c>
      <c r="I258" s="448">
        <f t="shared" si="224"/>
        <v>580597.69872457779</v>
      </c>
      <c r="J258" s="455">
        <f t="shared" si="227"/>
        <v>263524.69749216002</v>
      </c>
      <c r="K258" s="449"/>
      <c r="L258" s="450">
        <v>30</v>
      </c>
      <c r="M258" s="448">
        <f t="shared" si="225"/>
        <v>267268.66568152525</v>
      </c>
      <c r="N258" s="715">
        <f t="shared" si="228"/>
        <v>121626.78345792003</v>
      </c>
      <c r="O258" s="449"/>
      <c r="P258" s="449"/>
      <c r="Q258" s="449"/>
      <c r="R258" s="449"/>
      <c r="S258" s="451"/>
      <c r="T258" s="449"/>
      <c r="U258" s="710"/>
      <c r="V258" s="672">
        <f>'TTV By Card'!$F$55</f>
        <v>7083535.8099999996</v>
      </c>
      <c r="W258" s="291" t="str">
        <f t="shared" si="230"/>
        <v>Credit MC</v>
      </c>
      <c r="X258" s="369">
        <v>1780</v>
      </c>
      <c r="Y258" s="370">
        <f t="shared" si="231"/>
        <v>7083535.8099999996</v>
      </c>
      <c r="Z258" s="349">
        <f t="shared" si="232"/>
        <v>7083535.8099999996</v>
      </c>
      <c r="AA258" s="319"/>
      <c r="AB258" s="430">
        <v>179</v>
      </c>
      <c r="AC258" s="348">
        <f t="shared" si="233"/>
        <v>86419.136881999992</v>
      </c>
      <c r="AD258" s="350">
        <f t="shared" si="234"/>
        <v>126795.290999</v>
      </c>
      <c r="AE258" s="319"/>
      <c r="AF258" s="297">
        <v>72</v>
      </c>
      <c r="AG258" s="348">
        <f t="shared" si="235"/>
        <v>51001.457832</v>
      </c>
      <c r="AH258" s="351">
        <f t="shared" si="236"/>
        <v>51001.457832</v>
      </c>
      <c r="AJ258" s="319"/>
      <c r="AK258" s="319"/>
      <c r="AL258" s="319"/>
      <c r="AM258" s="246"/>
    </row>
    <row r="259" spans="1:39" ht="21.95" customHeight="1" outlineLevel="1" x14ac:dyDescent="0.25">
      <c r="A259" s="305">
        <f>D248*'Working Paper 3'!$D$15</f>
        <v>45740660.731100008</v>
      </c>
      <c r="B259" s="305"/>
      <c r="C259" s="291" t="s">
        <v>131</v>
      </c>
      <c r="D259" s="292">
        <v>2545</v>
      </c>
      <c r="E259" s="458">
        <f t="shared" si="226"/>
        <v>45740660.731100008</v>
      </c>
      <c r="F259" s="448">
        <f t="shared" si="238"/>
        <v>45735839.819800012</v>
      </c>
      <c r="G259" s="449"/>
      <c r="H259" s="450">
        <v>165</v>
      </c>
      <c r="I259" s="448">
        <f t="shared" si="224"/>
        <v>680124.57773228828</v>
      </c>
      <c r="J259" s="455">
        <f t="shared" si="227"/>
        <v>754641.35702670016</v>
      </c>
      <c r="K259" s="449"/>
      <c r="L259" s="450">
        <v>100.87</v>
      </c>
      <c r="M259" s="448">
        <f t="shared" si="225"/>
        <v>461378.41353253135</v>
      </c>
      <c r="N259" s="715">
        <f t="shared" si="228"/>
        <v>461337.41626232269</v>
      </c>
      <c r="O259" s="449"/>
      <c r="P259" s="449"/>
      <c r="Q259" s="320">
        <f>R259/$A$55*10000</f>
        <v>18.79</v>
      </c>
      <c r="R259" s="695">
        <f>SUM(R255:R258)</f>
        <v>337672.46766760008</v>
      </c>
      <c r="S259" s="377">
        <f>SUM(S255:S257)</f>
        <v>161737.74396000002</v>
      </c>
      <c r="T259" s="449"/>
      <c r="U259" s="710"/>
      <c r="V259" s="672">
        <f>'TTV By Card'!$G$55</f>
        <v>5969271.75</v>
      </c>
      <c r="W259" s="291" t="str">
        <f t="shared" si="230"/>
        <v>Debit VISA</v>
      </c>
      <c r="X259" s="369">
        <v>1500</v>
      </c>
      <c r="Y259" s="370">
        <f t="shared" si="231"/>
        <v>5969271.75</v>
      </c>
      <c r="Z259" s="349">
        <f t="shared" si="232"/>
        <v>5969271.75</v>
      </c>
      <c r="AA259" s="319"/>
      <c r="AB259" s="430">
        <v>65</v>
      </c>
      <c r="AC259" s="348">
        <f t="shared" si="233"/>
        <v>72825.115349999993</v>
      </c>
      <c r="AD259" s="350">
        <f t="shared" si="234"/>
        <v>38800.266374999999</v>
      </c>
      <c r="AE259" s="319"/>
      <c r="AF259" s="297">
        <v>28</v>
      </c>
      <c r="AG259" s="348">
        <f t="shared" si="235"/>
        <v>42978.756600000001</v>
      </c>
      <c r="AH259" s="351">
        <f t="shared" si="236"/>
        <v>16713.960899999998</v>
      </c>
      <c r="AJ259" s="319"/>
      <c r="AK259" s="320">
        <f>AL265/$Z$25*10000</f>
        <v>15.223967647309742</v>
      </c>
      <c r="AL259" s="695">
        <f>SUM(AL255:AL258)</f>
        <v>60584</v>
      </c>
      <c r="AM259" s="699">
        <f>SUM(AM255:AM257)</f>
        <v>31438.164550000001</v>
      </c>
    </row>
    <row r="260" spans="1:39" ht="21.95" customHeight="1" outlineLevel="1" x14ac:dyDescent="0.25">
      <c r="A260" s="305">
        <f>D249*'Working Paper 3'!$D$15</f>
        <v>10793277.364599999</v>
      </c>
      <c r="B260" s="305"/>
      <c r="C260" s="291" t="s">
        <v>7</v>
      </c>
      <c r="D260" s="292">
        <v>601</v>
      </c>
      <c r="E260" s="458">
        <f t="shared" si="226"/>
        <v>10793277.364599999</v>
      </c>
      <c r="F260" s="448">
        <f t="shared" si="238"/>
        <v>10800487.124440003</v>
      </c>
      <c r="G260" s="449"/>
      <c r="H260" s="450">
        <v>65</v>
      </c>
      <c r="I260" s="448">
        <f t="shared" si="224"/>
        <v>154331.39576823387</v>
      </c>
      <c r="J260" s="455">
        <f t="shared" si="227"/>
        <v>70203.166308860018</v>
      </c>
      <c r="K260" s="449"/>
      <c r="L260" s="450">
        <v>30</v>
      </c>
      <c r="M260" s="448">
        <f t="shared" si="225"/>
        <v>59265.10939296944</v>
      </c>
      <c r="N260" s="715">
        <f t="shared" si="228"/>
        <v>32401.461373320006</v>
      </c>
      <c r="O260" s="449"/>
      <c r="P260" s="449"/>
      <c r="Q260" s="449"/>
      <c r="R260" s="449"/>
      <c r="S260" s="451"/>
      <c r="T260" s="449"/>
      <c r="U260" s="710"/>
      <c r="V260" s="672">
        <f>'TTV By Card'!$H$55</f>
        <v>5969271.75</v>
      </c>
      <c r="W260" s="291" t="str">
        <f t="shared" si="230"/>
        <v>Debit MC</v>
      </c>
      <c r="X260" s="369">
        <v>1500</v>
      </c>
      <c r="Y260" s="370">
        <f t="shared" si="231"/>
        <v>5969271.75</v>
      </c>
      <c r="Z260" s="349">
        <f t="shared" si="232"/>
        <v>5969271.75</v>
      </c>
      <c r="AA260" s="319"/>
      <c r="AB260" s="430">
        <v>65</v>
      </c>
      <c r="AC260" s="348">
        <f t="shared" si="233"/>
        <v>72825.115349999993</v>
      </c>
      <c r="AD260" s="350">
        <f t="shared" si="234"/>
        <v>38800.266374999999</v>
      </c>
      <c r="AE260" s="319"/>
      <c r="AF260" s="297">
        <v>28</v>
      </c>
      <c r="AG260" s="348">
        <f t="shared" si="235"/>
        <v>42978.756600000001</v>
      </c>
      <c r="AH260" s="351">
        <f t="shared" si="236"/>
        <v>16713.960899999998</v>
      </c>
      <c r="AJ260" s="319"/>
      <c r="AK260" s="319"/>
      <c r="AL260" s="319"/>
      <c r="AM260" s="319"/>
    </row>
    <row r="261" spans="1:39" ht="21.95" customHeight="1" outlineLevel="1" x14ac:dyDescent="0.25">
      <c r="A261" s="305">
        <f>D250*'Working Paper 3'!$D$15</f>
        <v>4451948.2681000009</v>
      </c>
      <c r="B261" s="305"/>
      <c r="C261" s="291" t="s">
        <v>132</v>
      </c>
      <c r="D261" s="292">
        <v>248</v>
      </c>
      <c r="E261" s="458">
        <f t="shared" si="226"/>
        <v>4451948.2681000009</v>
      </c>
      <c r="F261" s="448">
        <f t="shared" si="238"/>
        <v>4456773.3891200004</v>
      </c>
      <c r="G261" s="449"/>
      <c r="H261" s="450">
        <v>300</v>
      </c>
      <c r="I261" s="448">
        <f t="shared" si="224"/>
        <v>64756.682015925537</v>
      </c>
      <c r="J261" s="455">
        <f t="shared" si="227"/>
        <v>133703.20167360001</v>
      </c>
      <c r="K261" s="449"/>
      <c r="L261" s="450">
        <v>292.62</v>
      </c>
      <c r="M261" s="448">
        <f t="shared" si="225"/>
        <v>130272.53126574784</v>
      </c>
      <c r="N261" s="715">
        <f t="shared" si="228"/>
        <v>130414.10291242946</v>
      </c>
      <c r="O261" s="449"/>
      <c r="P261" s="449"/>
      <c r="R261" s="372">
        <v>155141</v>
      </c>
      <c r="S261" s="451"/>
      <c r="T261" s="449"/>
      <c r="U261" s="710"/>
      <c r="W261" s="317"/>
      <c r="X261" s="660"/>
      <c r="Y261" s="667"/>
      <c r="Z261" s="668"/>
      <c r="AA261" s="319"/>
      <c r="AB261" s="320"/>
      <c r="AC261" s="668"/>
      <c r="AD261" s="668"/>
      <c r="AE261" s="319"/>
      <c r="AF261" s="320"/>
      <c r="AG261" s="668"/>
      <c r="AH261" s="669"/>
      <c r="AJ261" s="319"/>
      <c r="AK261" s="386">
        <v>100</v>
      </c>
      <c r="AL261" s="385">
        <f>AL249*1</f>
        <v>1</v>
      </c>
      <c r="AM261" s="246"/>
    </row>
    <row r="262" spans="1:39" ht="21.95" customHeight="1" outlineLevel="1" x14ac:dyDescent="0.25">
      <c r="A262" s="305">
        <f>D251*'Working Paper 3'!$D$15</f>
        <v>4187015.3468000004</v>
      </c>
      <c r="B262" s="305"/>
      <c r="C262" s="291" t="s">
        <v>133</v>
      </c>
      <c r="D262" s="292">
        <v>233</v>
      </c>
      <c r="E262" s="458">
        <f t="shared" si="226"/>
        <v>4187015.3468000004</v>
      </c>
      <c r="F262" s="448">
        <f t="shared" si="238"/>
        <v>4187210.482520001</v>
      </c>
      <c r="G262" s="449"/>
      <c r="H262" s="450">
        <v>300</v>
      </c>
      <c r="I262" s="448">
        <f t="shared" si="224"/>
        <v>58441.352359711338</v>
      </c>
      <c r="J262" s="455">
        <f t="shared" si="227"/>
        <v>125616.31447560003</v>
      </c>
      <c r="K262" s="449"/>
      <c r="L262" s="450">
        <v>285.31</v>
      </c>
      <c r="M262" s="448">
        <f t="shared" si="225"/>
        <v>119459.93491701665</v>
      </c>
      <c r="N262" s="715">
        <f t="shared" si="228"/>
        <v>119465.30227677815</v>
      </c>
      <c r="O262" s="449"/>
      <c r="P262" s="449"/>
      <c r="R262" s="372">
        <v>45390</v>
      </c>
      <c r="S262" s="451"/>
      <c r="T262" s="449"/>
      <c r="U262" s="710"/>
      <c r="W262" s="317"/>
      <c r="X262" s="660"/>
      <c r="Y262" s="667"/>
      <c r="Z262" s="668"/>
      <c r="AA262" s="319"/>
      <c r="AB262" s="320"/>
      <c r="AC262" s="668"/>
      <c r="AD262" s="668"/>
      <c r="AE262" s="319"/>
      <c r="AF262" s="320"/>
      <c r="AG262" s="668"/>
      <c r="AH262" s="669"/>
      <c r="AJ262" s="319"/>
      <c r="AK262" s="319"/>
      <c r="AL262" s="372">
        <v>18929</v>
      </c>
      <c r="AM262" s="246"/>
    </row>
    <row r="263" spans="1:39" ht="21.95" customHeight="1" outlineLevel="1" x14ac:dyDescent="0.25">
      <c r="D263" s="278"/>
      <c r="E263" s="278"/>
      <c r="F263" s="278"/>
      <c r="G263" s="449"/>
      <c r="H263" s="450"/>
      <c r="I263" s="278"/>
      <c r="J263" s="278"/>
      <c r="K263" s="449"/>
      <c r="L263" s="278"/>
      <c r="M263" s="278"/>
      <c r="N263" s="716"/>
      <c r="O263" s="449"/>
      <c r="P263" s="449"/>
      <c r="R263" s="372">
        <v>73040</v>
      </c>
      <c r="S263" s="449"/>
      <c r="T263" s="449"/>
      <c r="U263" s="710"/>
      <c r="W263"/>
      <c r="X263" s="291"/>
      <c r="AA263" s="319"/>
      <c r="AE263" s="319"/>
      <c r="AJ263" s="319"/>
      <c r="AK263" s="319"/>
      <c r="AL263" s="372">
        <v>3891</v>
      </c>
      <c r="AM263" s="319"/>
    </row>
    <row r="264" spans="1:39" ht="21.95" customHeight="1" outlineLevel="1" x14ac:dyDescent="0.25">
      <c r="A264" s="429">
        <f>SUM(A255:A263)</f>
        <v>179708604.40000004</v>
      </c>
      <c r="B264" s="429"/>
      <c r="C264" s="98"/>
      <c r="D264" s="463">
        <f>SUM(D255:D263)</f>
        <v>10001</v>
      </c>
      <c r="E264" s="452">
        <f>SUM(E255:E262)</f>
        <v>179708604.40000004</v>
      </c>
      <c r="F264" s="452">
        <f>SUM(F255:F262)</f>
        <v>179726575.26044008</v>
      </c>
      <c r="G264" s="453"/>
      <c r="H264" s="454">
        <f>J264/E264*10000</f>
        <v>111.57700000000001</v>
      </c>
      <c r="I264" s="452">
        <f>SUM(I255:I263)</f>
        <v>2607524.6385163465</v>
      </c>
      <c r="J264" s="452">
        <f>SUM(J255:J263)</f>
        <v>2005134.6953138807</v>
      </c>
      <c r="K264" s="453"/>
      <c r="L264" s="454">
        <f>N264/E264*10000</f>
        <v>68.354979999999998</v>
      </c>
      <c r="M264" s="452">
        <f>SUM(M255:M263)</f>
        <v>1400759.8363022131</v>
      </c>
      <c r="N264" s="719">
        <f>SUM(N255:N263)</f>
        <v>1228397.8059589914</v>
      </c>
      <c r="O264" s="454"/>
      <c r="P264" s="454"/>
      <c r="Q264" s="345">
        <f>R264/A264*10000</f>
        <v>15.223032915612578</v>
      </c>
      <c r="R264" s="377">
        <f>SUM(R261:R263)</f>
        <v>273571</v>
      </c>
      <c r="S264" s="456"/>
      <c r="T264" s="706"/>
      <c r="U264" s="320"/>
      <c r="V264" s="672">
        <f>SUM(V255:V263)</f>
        <v>39795145</v>
      </c>
      <c r="W264" s="343"/>
      <c r="X264" s="344">
        <f>SUM(X255:X263)</f>
        <v>10000</v>
      </c>
      <c r="Y264" s="681">
        <f>SUM(Y255:Y262)</f>
        <v>39795145</v>
      </c>
      <c r="Z264" s="685">
        <f>SUM(Z255:Z262)</f>
        <v>39795145</v>
      </c>
      <c r="AA264" s="319"/>
      <c r="AB264" s="320">
        <f>AC264/Y264*10000</f>
        <v>124.77799999999998</v>
      </c>
      <c r="AC264" s="681">
        <f>SUM(AC255:AC263)</f>
        <v>496555.86028099991</v>
      </c>
      <c r="AD264" s="342">
        <f>SUM(AD255:AD263)</f>
        <v>427431.69341599999</v>
      </c>
      <c r="AE264" s="343"/>
      <c r="AF264" s="320">
        <f>AG264/Z264*10000</f>
        <v>57.815999999999995</v>
      </c>
      <c r="AG264" s="672">
        <f>SUM(AG255:AG263)</f>
        <v>230079.61033199998</v>
      </c>
      <c r="AH264" s="697">
        <f>SUM(AH255:AH263)</f>
        <v>177550.01893200001</v>
      </c>
      <c r="AJ264" s="345"/>
      <c r="AK264" s="319"/>
      <c r="AL264" s="372">
        <v>37764</v>
      </c>
      <c r="AM264" s="319"/>
    </row>
    <row r="265" spans="1:39" ht="21.95" customHeight="1" outlineLevel="1" x14ac:dyDescent="0.25">
      <c r="M265" s="71">
        <f>J264-N264</f>
        <v>776736.88935488928</v>
      </c>
      <c r="V265" s="695"/>
      <c r="AJ265" s="319"/>
      <c r="AK265" s="319"/>
      <c r="AL265" s="377">
        <f>SUM(AL262:AL264)</f>
        <v>60584</v>
      </c>
      <c r="AM265" s="319"/>
    </row>
    <row r="266" spans="1:39" ht="21.95" customHeight="1" outlineLevel="1" x14ac:dyDescent="0.25"/>
  </sheetData>
  <mergeCells count="528">
    <mergeCell ref="AK248:AM248"/>
    <mergeCell ref="AS248:AU248"/>
    <mergeCell ref="AV248:AX248"/>
    <mergeCell ref="AY248:BA248"/>
    <mergeCell ref="BB248:BD248"/>
    <mergeCell ref="BE248:BG248"/>
    <mergeCell ref="BH248:BJ248"/>
    <mergeCell ref="Q249:S249"/>
    <mergeCell ref="AS249:AU249"/>
    <mergeCell ref="AV249:AX249"/>
    <mergeCell ref="AY249:BA249"/>
    <mergeCell ref="BB249:BD249"/>
    <mergeCell ref="BE249:BG249"/>
    <mergeCell ref="BH249:BJ249"/>
    <mergeCell ref="AR246:AR247"/>
    <mergeCell ref="AS246:AU246"/>
    <mergeCell ref="AV246:AX246"/>
    <mergeCell ref="AY246:BA246"/>
    <mergeCell ref="BB246:BD246"/>
    <mergeCell ref="BE246:BG246"/>
    <mergeCell ref="BH246:BJ246"/>
    <mergeCell ref="AS247:AU247"/>
    <mergeCell ref="AV247:AX247"/>
    <mergeCell ref="AY247:BA247"/>
    <mergeCell ref="BB247:BD247"/>
    <mergeCell ref="BE247:BG247"/>
    <mergeCell ref="BH247:BJ247"/>
    <mergeCell ref="AR244:AR245"/>
    <mergeCell ref="AS244:AU244"/>
    <mergeCell ref="AV244:AX244"/>
    <mergeCell ref="AY244:BA244"/>
    <mergeCell ref="BB244:BD244"/>
    <mergeCell ref="BE244:BG244"/>
    <mergeCell ref="BH244:BJ244"/>
    <mergeCell ref="AS245:AU245"/>
    <mergeCell ref="AV245:AX245"/>
    <mergeCell ref="AY245:BA245"/>
    <mergeCell ref="BB245:BD245"/>
    <mergeCell ref="BE245:BG245"/>
    <mergeCell ref="BH245:BJ245"/>
    <mergeCell ref="AF242:AH242"/>
    <mergeCell ref="AK242:AM242"/>
    <mergeCell ref="AS242:AU243"/>
    <mergeCell ref="AV242:AX243"/>
    <mergeCell ref="AY242:BA243"/>
    <mergeCell ref="BB242:BD243"/>
    <mergeCell ref="BE242:BG243"/>
    <mergeCell ref="BH242:BJ243"/>
    <mergeCell ref="E243:F243"/>
    <mergeCell ref="I243:J243"/>
    <mergeCell ref="M243:N243"/>
    <mergeCell ref="R243:S243"/>
    <mergeCell ref="Y243:Z243"/>
    <mergeCell ref="AC243:AD243"/>
    <mergeCell ref="AG243:AH243"/>
    <mergeCell ref="AL243:AM243"/>
    <mergeCell ref="F240:R240"/>
    <mergeCell ref="H241:J241"/>
    <mergeCell ref="AB241:AD241"/>
    <mergeCell ref="D242:F242"/>
    <mergeCell ref="H242:J242"/>
    <mergeCell ref="L242:N242"/>
    <mergeCell ref="Q242:S242"/>
    <mergeCell ref="X242:Z242"/>
    <mergeCell ref="AB242:AD242"/>
    <mergeCell ref="AK218:AM218"/>
    <mergeCell ref="AS218:AU218"/>
    <mergeCell ref="AV218:AX218"/>
    <mergeCell ref="AY218:BA218"/>
    <mergeCell ref="BB218:BD218"/>
    <mergeCell ref="BE218:BG218"/>
    <mergeCell ref="BH218:BJ218"/>
    <mergeCell ref="Q219:S219"/>
    <mergeCell ref="AS219:AU219"/>
    <mergeCell ref="AV219:AX219"/>
    <mergeCell ref="AY219:BA219"/>
    <mergeCell ref="BB219:BD219"/>
    <mergeCell ref="BE219:BG219"/>
    <mergeCell ref="BH219:BJ219"/>
    <mergeCell ref="AR216:AR217"/>
    <mergeCell ref="AS216:AU216"/>
    <mergeCell ref="AV216:AX216"/>
    <mergeCell ref="AY216:BA216"/>
    <mergeCell ref="BB216:BD216"/>
    <mergeCell ref="BE216:BG216"/>
    <mergeCell ref="BH216:BJ216"/>
    <mergeCell ref="AS217:AU217"/>
    <mergeCell ref="AV217:AX217"/>
    <mergeCell ref="AY217:BA217"/>
    <mergeCell ref="BB217:BD217"/>
    <mergeCell ref="BE217:BG217"/>
    <mergeCell ref="BH217:BJ217"/>
    <mergeCell ref="AR214:AR215"/>
    <mergeCell ref="AS214:AU214"/>
    <mergeCell ref="AV214:AX214"/>
    <mergeCell ref="AY214:BA214"/>
    <mergeCell ref="BB214:BD214"/>
    <mergeCell ref="BE214:BG214"/>
    <mergeCell ref="BH214:BJ214"/>
    <mergeCell ref="AS215:AU215"/>
    <mergeCell ref="AV215:AX215"/>
    <mergeCell ref="AY215:BA215"/>
    <mergeCell ref="BB215:BD215"/>
    <mergeCell ref="BE215:BG215"/>
    <mergeCell ref="BH215:BJ215"/>
    <mergeCell ref="AF212:AH212"/>
    <mergeCell ref="AK212:AM212"/>
    <mergeCell ref="AS212:AU213"/>
    <mergeCell ref="AV212:AX213"/>
    <mergeCell ref="AY212:BA213"/>
    <mergeCell ref="BB212:BD213"/>
    <mergeCell ref="BE212:BG213"/>
    <mergeCell ref="BH212:BJ213"/>
    <mergeCell ref="E213:F213"/>
    <mergeCell ref="I213:J213"/>
    <mergeCell ref="M213:N213"/>
    <mergeCell ref="R213:S213"/>
    <mergeCell ref="Y213:Z213"/>
    <mergeCell ref="AC213:AD213"/>
    <mergeCell ref="AG213:AH213"/>
    <mergeCell ref="AL213:AM213"/>
    <mergeCell ref="F210:R210"/>
    <mergeCell ref="H211:J211"/>
    <mergeCell ref="AB211:AD211"/>
    <mergeCell ref="D212:F212"/>
    <mergeCell ref="H212:J212"/>
    <mergeCell ref="L212:N212"/>
    <mergeCell ref="Q212:S212"/>
    <mergeCell ref="X212:Z212"/>
    <mergeCell ref="AB212:AD212"/>
    <mergeCell ref="BB40:BD40"/>
    <mergeCell ref="BE40:BG40"/>
    <mergeCell ref="AK39:AM39"/>
    <mergeCell ref="D3:F3"/>
    <mergeCell ref="H3:J3"/>
    <mergeCell ref="L3:N3"/>
    <mergeCell ref="Q9:S9"/>
    <mergeCell ref="AS9:AU9"/>
    <mergeCell ref="AV9:AX9"/>
    <mergeCell ref="Q3:S3"/>
    <mergeCell ref="R4:S4"/>
    <mergeCell ref="AR7:AR8"/>
    <mergeCell ref="AR5:AR6"/>
    <mergeCell ref="AV7:AX7"/>
    <mergeCell ref="AV8:AX8"/>
    <mergeCell ref="BB10:BD10"/>
    <mergeCell ref="AS10:AU10"/>
    <mergeCell ref="AV10:AX10"/>
    <mergeCell ref="BE10:BG10"/>
    <mergeCell ref="AY10:BA10"/>
    <mergeCell ref="AY7:BA7"/>
    <mergeCell ref="E4:F4"/>
    <mergeCell ref="I4:J4"/>
    <mergeCell ref="E34:F34"/>
    <mergeCell ref="I34:J34"/>
    <mergeCell ref="M34:N34"/>
    <mergeCell ref="D33:F33"/>
    <mergeCell ref="H33:J33"/>
    <mergeCell ref="L33:N33"/>
    <mergeCell ref="AS33:AU34"/>
    <mergeCell ref="AV33:AX34"/>
    <mergeCell ref="AS3:AU4"/>
    <mergeCell ref="AV3:AX4"/>
    <mergeCell ref="AK3:AM3"/>
    <mergeCell ref="AL4:AM4"/>
    <mergeCell ref="AK9:AM9"/>
    <mergeCell ref="BE33:BG34"/>
    <mergeCell ref="Q33:S33"/>
    <mergeCell ref="R34:S34"/>
    <mergeCell ref="AY33:BA34"/>
    <mergeCell ref="BB33:BD34"/>
    <mergeCell ref="AC34:AD34"/>
    <mergeCell ref="AG34:AH34"/>
    <mergeCell ref="Y34:Z34"/>
    <mergeCell ref="AS35:AU35"/>
    <mergeCell ref="AV35:AX35"/>
    <mergeCell ref="BE35:BG35"/>
    <mergeCell ref="AY35:BA35"/>
    <mergeCell ref="BB35:BD35"/>
    <mergeCell ref="AS38:AU38"/>
    <mergeCell ref="AV38:AX38"/>
    <mergeCell ref="BE38:BG38"/>
    <mergeCell ref="AY38:BA38"/>
    <mergeCell ref="BB38:BD38"/>
    <mergeCell ref="BB36:BD36"/>
    <mergeCell ref="AS37:AU37"/>
    <mergeCell ref="AV37:AX37"/>
    <mergeCell ref="BE37:BG37"/>
    <mergeCell ref="AY37:BA37"/>
    <mergeCell ref="BB37:BD37"/>
    <mergeCell ref="AV39:AX39"/>
    <mergeCell ref="AY39:BA39"/>
    <mergeCell ref="BB39:BD39"/>
    <mergeCell ref="BE39:BG39"/>
    <mergeCell ref="AS40:AU40"/>
    <mergeCell ref="AV40:AX40"/>
    <mergeCell ref="AY40:BA40"/>
    <mergeCell ref="E64:F64"/>
    <mergeCell ref="I64:J64"/>
    <mergeCell ref="M64:N64"/>
    <mergeCell ref="D63:F63"/>
    <mergeCell ref="H63:J63"/>
    <mergeCell ref="L63:N63"/>
    <mergeCell ref="AS63:AU64"/>
    <mergeCell ref="AV63:AX64"/>
    <mergeCell ref="Y64:Z64"/>
    <mergeCell ref="AC64:AD64"/>
    <mergeCell ref="AG64:AH64"/>
    <mergeCell ref="AL64:AM64"/>
    <mergeCell ref="R64:S64"/>
    <mergeCell ref="BE63:BG64"/>
    <mergeCell ref="F61:R61"/>
    <mergeCell ref="X63:Z63"/>
    <mergeCell ref="Q40:S40"/>
    <mergeCell ref="BH3:BJ4"/>
    <mergeCell ref="BH5:BJ5"/>
    <mergeCell ref="BH6:BJ6"/>
    <mergeCell ref="BH7:BJ7"/>
    <mergeCell ref="BH8:BJ8"/>
    <mergeCell ref="BH9:BJ9"/>
    <mergeCell ref="BE7:BG7"/>
    <mergeCell ref="BE8:BG8"/>
    <mergeCell ref="E94:F94"/>
    <mergeCell ref="I94:J94"/>
    <mergeCell ref="M94:N94"/>
    <mergeCell ref="D93:F93"/>
    <mergeCell ref="H93:J93"/>
    <mergeCell ref="L93:N93"/>
    <mergeCell ref="AR67:AR68"/>
    <mergeCell ref="AS69:AU69"/>
    <mergeCell ref="AV69:AX69"/>
    <mergeCell ref="Q70:S70"/>
    <mergeCell ref="AS67:AU67"/>
    <mergeCell ref="AV67:AX67"/>
    <mergeCell ref="AS70:AU70"/>
    <mergeCell ref="AV70:AX70"/>
    <mergeCell ref="AK69:AM69"/>
    <mergeCell ref="AS39:AU39"/>
    <mergeCell ref="AY3:BA4"/>
    <mergeCell ref="BB3:BD4"/>
    <mergeCell ref="AY6:BA6"/>
    <mergeCell ref="AS5:AU5"/>
    <mergeCell ref="AV5:AX5"/>
    <mergeCell ref="BE5:BG5"/>
    <mergeCell ref="AY5:BA5"/>
    <mergeCell ref="BE9:BG9"/>
    <mergeCell ref="AY9:BA9"/>
    <mergeCell ref="BB6:BD6"/>
    <mergeCell ref="AS7:AU7"/>
    <mergeCell ref="AS8:AU8"/>
    <mergeCell ref="BB9:BD9"/>
    <mergeCell ref="BE3:BG4"/>
    <mergeCell ref="BH66:BJ66"/>
    <mergeCell ref="BH67:BJ67"/>
    <mergeCell ref="BH68:BJ68"/>
    <mergeCell ref="BH69:BJ69"/>
    <mergeCell ref="AL34:AM34"/>
    <mergeCell ref="BB7:BD7"/>
    <mergeCell ref="AY8:BA8"/>
    <mergeCell ref="BB8:BD8"/>
    <mergeCell ref="BB5:BD5"/>
    <mergeCell ref="AS6:AU6"/>
    <mergeCell ref="AV6:AX6"/>
    <mergeCell ref="BE6:BG6"/>
    <mergeCell ref="BH10:BJ10"/>
    <mergeCell ref="AY69:BA69"/>
    <mergeCell ref="BB69:BD69"/>
    <mergeCell ref="BE69:BG69"/>
    <mergeCell ref="AY63:BA64"/>
    <mergeCell ref="BB63:BD64"/>
    <mergeCell ref="AR37:AR38"/>
    <mergeCell ref="AS36:AU36"/>
    <mergeCell ref="AV36:AX36"/>
    <mergeCell ref="AR35:AR36"/>
    <mergeCell ref="BE36:BG36"/>
    <mergeCell ref="AY36:BA36"/>
    <mergeCell ref="BH33:BJ34"/>
    <mergeCell ref="BH35:BJ35"/>
    <mergeCell ref="BH36:BJ36"/>
    <mergeCell ref="BH37:BJ37"/>
    <mergeCell ref="BH38:BJ38"/>
    <mergeCell ref="BH63:BJ64"/>
    <mergeCell ref="BH39:BJ39"/>
    <mergeCell ref="BH40:BJ40"/>
    <mergeCell ref="BH65:BJ65"/>
    <mergeCell ref="AY67:BA67"/>
    <mergeCell ref="BB67:BD67"/>
    <mergeCell ref="BE67:BG67"/>
    <mergeCell ref="AS68:AU68"/>
    <mergeCell ref="AV68:AX68"/>
    <mergeCell ref="AY68:BA68"/>
    <mergeCell ref="BB68:BD68"/>
    <mergeCell ref="BE68:BG68"/>
    <mergeCell ref="AR65:AR66"/>
    <mergeCell ref="AS65:AU65"/>
    <mergeCell ref="AV65:AX65"/>
    <mergeCell ref="AY65:BA65"/>
    <mergeCell ref="BB65:BD65"/>
    <mergeCell ref="BE65:BG65"/>
    <mergeCell ref="AS66:AU66"/>
    <mergeCell ref="AV66:AX66"/>
    <mergeCell ref="AY66:BA66"/>
    <mergeCell ref="BB66:BD66"/>
    <mergeCell ref="BE66:BG66"/>
    <mergeCell ref="AY70:BA70"/>
    <mergeCell ref="BB70:BD70"/>
    <mergeCell ref="BE70:BG70"/>
    <mergeCell ref="BH70:BJ70"/>
    <mergeCell ref="Q93:S93"/>
    <mergeCell ref="R94:S94"/>
    <mergeCell ref="Q100:S100"/>
    <mergeCell ref="D123:F123"/>
    <mergeCell ref="H123:J123"/>
    <mergeCell ref="L123:N123"/>
    <mergeCell ref="Q123:S123"/>
    <mergeCell ref="AK123:AM123"/>
    <mergeCell ref="AS123:AU124"/>
    <mergeCell ref="AV123:AX124"/>
    <mergeCell ref="AY123:BA124"/>
    <mergeCell ref="BB123:BD124"/>
    <mergeCell ref="BE123:BG124"/>
    <mergeCell ref="BH123:BJ124"/>
    <mergeCell ref="AL124:AM124"/>
    <mergeCell ref="AK129:AM129"/>
    <mergeCell ref="E124:F124"/>
    <mergeCell ref="I124:J124"/>
    <mergeCell ref="M124:N124"/>
    <mergeCell ref="R124:S124"/>
    <mergeCell ref="Q130:S130"/>
    <mergeCell ref="X123:Z123"/>
    <mergeCell ref="AB123:AD123"/>
    <mergeCell ref="AF123:AH123"/>
    <mergeCell ref="Y124:Z124"/>
    <mergeCell ref="AC124:AD124"/>
    <mergeCell ref="AG124:AH124"/>
    <mergeCell ref="AK159:AM159"/>
    <mergeCell ref="D153:F153"/>
    <mergeCell ref="H153:J153"/>
    <mergeCell ref="L153:N153"/>
    <mergeCell ref="Q153:S153"/>
    <mergeCell ref="AK153:AM153"/>
    <mergeCell ref="E154:F154"/>
    <mergeCell ref="I154:J154"/>
    <mergeCell ref="M154:N154"/>
    <mergeCell ref="R154:S154"/>
    <mergeCell ref="F151:N151"/>
    <mergeCell ref="F180:R180"/>
    <mergeCell ref="D182:F182"/>
    <mergeCell ref="H182:J182"/>
    <mergeCell ref="L182:N182"/>
    <mergeCell ref="Q182:S182"/>
    <mergeCell ref="X153:Z153"/>
    <mergeCell ref="AB153:AD153"/>
    <mergeCell ref="AF153:AH153"/>
    <mergeCell ref="H152:J152"/>
    <mergeCell ref="AB152:AD152"/>
    <mergeCell ref="H181:J181"/>
    <mergeCell ref="AB181:AD181"/>
    <mergeCell ref="Q160:S160"/>
    <mergeCell ref="Q189:S189"/>
    <mergeCell ref="AK188:AM188"/>
    <mergeCell ref="E183:F183"/>
    <mergeCell ref="I183:J183"/>
    <mergeCell ref="M183:N183"/>
    <mergeCell ref="R183:S183"/>
    <mergeCell ref="X182:Z182"/>
    <mergeCell ref="AB182:AD182"/>
    <mergeCell ref="AF182:AH182"/>
    <mergeCell ref="AK182:AM182"/>
    <mergeCell ref="H2:J2"/>
    <mergeCell ref="AB2:AD2"/>
    <mergeCell ref="X33:Z33"/>
    <mergeCell ref="AB33:AD33"/>
    <mergeCell ref="AF33:AH33"/>
    <mergeCell ref="AK33:AM33"/>
    <mergeCell ref="H32:J32"/>
    <mergeCell ref="AB32:AD32"/>
    <mergeCell ref="X3:Z3"/>
    <mergeCell ref="AB3:AD3"/>
    <mergeCell ref="AF3:AH3"/>
    <mergeCell ref="Y4:Z4"/>
    <mergeCell ref="AC4:AD4"/>
    <mergeCell ref="AG4:AH4"/>
    <mergeCell ref="M4:N4"/>
    <mergeCell ref="AB63:AD63"/>
    <mergeCell ref="AF63:AH63"/>
    <mergeCell ref="AK63:AM63"/>
    <mergeCell ref="Q63:S63"/>
    <mergeCell ref="H62:J62"/>
    <mergeCell ref="AB62:AD62"/>
    <mergeCell ref="H92:J92"/>
    <mergeCell ref="AB92:AD92"/>
    <mergeCell ref="H122:J122"/>
    <mergeCell ref="AB122:AD122"/>
    <mergeCell ref="AR125:AR126"/>
    <mergeCell ref="AS125:AU125"/>
    <mergeCell ref="AV125:AX125"/>
    <mergeCell ref="AY125:BA125"/>
    <mergeCell ref="BB125:BD125"/>
    <mergeCell ref="BE125:BG125"/>
    <mergeCell ref="BH125:BJ125"/>
    <mergeCell ref="AS126:AU126"/>
    <mergeCell ref="AV126:AX126"/>
    <mergeCell ref="AY126:BA126"/>
    <mergeCell ref="BB126:BD126"/>
    <mergeCell ref="BE126:BG126"/>
    <mergeCell ref="BH126:BJ126"/>
    <mergeCell ref="AR127:AR128"/>
    <mergeCell ref="AS127:AU127"/>
    <mergeCell ref="AV127:AX127"/>
    <mergeCell ref="AY127:BA127"/>
    <mergeCell ref="BB127:BD127"/>
    <mergeCell ref="BE127:BG127"/>
    <mergeCell ref="BH127:BJ127"/>
    <mergeCell ref="AS128:AU128"/>
    <mergeCell ref="AV128:AX128"/>
    <mergeCell ref="AY128:BA128"/>
    <mergeCell ref="BB128:BD128"/>
    <mergeCell ref="BE128:BG128"/>
    <mergeCell ref="BH128:BJ128"/>
    <mergeCell ref="AS129:AU129"/>
    <mergeCell ref="AV129:AX129"/>
    <mergeCell ref="AY129:BA129"/>
    <mergeCell ref="BB129:BD129"/>
    <mergeCell ref="BE129:BG129"/>
    <mergeCell ref="BH129:BJ129"/>
    <mergeCell ref="AS130:AU130"/>
    <mergeCell ref="AV130:AX130"/>
    <mergeCell ref="AY130:BA130"/>
    <mergeCell ref="BB130:BD130"/>
    <mergeCell ref="BE130:BG130"/>
    <mergeCell ref="BH130:BJ130"/>
    <mergeCell ref="AS153:AU154"/>
    <mergeCell ref="AV153:AX154"/>
    <mergeCell ref="AY153:BA154"/>
    <mergeCell ref="BB153:BD154"/>
    <mergeCell ref="BE153:BG154"/>
    <mergeCell ref="BH153:BJ154"/>
    <mergeCell ref="Y154:Z154"/>
    <mergeCell ref="AC154:AD154"/>
    <mergeCell ref="AG154:AH154"/>
    <mergeCell ref="AL154:AM154"/>
    <mergeCell ref="AR155:AR156"/>
    <mergeCell ref="AS155:AU155"/>
    <mergeCell ref="AV155:AX155"/>
    <mergeCell ref="AY155:BA155"/>
    <mergeCell ref="BB155:BD155"/>
    <mergeCell ref="BE155:BG155"/>
    <mergeCell ref="BH155:BJ155"/>
    <mergeCell ref="AS156:AU156"/>
    <mergeCell ref="AV156:AX156"/>
    <mergeCell ref="AY156:BA156"/>
    <mergeCell ref="BB156:BD156"/>
    <mergeCell ref="BE156:BG156"/>
    <mergeCell ref="BH156:BJ156"/>
    <mergeCell ref="AR157:AR158"/>
    <mergeCell ref="AS157:AU157"/>
    <mergeCell ref="AV157:AX157"/>
    <mergeCell ref="AY157:BA157"/>
    <mergeCell ref="BB157:BD157"/>
    <mergeCell ref="BE157:BG157"/>
    <mergeCell ref="BH157:BJ157"/>
    <mergeCell ref="AS158:AU158"/>
    <mergeCell ref="AV158:AX158"/>
    <mergeCell ref="AY158:BA158"/>
    <mergeCell ref="BB158:BD158"/>
    <mergeCell ref="BE158:BG158"/>
    <mergeCell ref="BH158:BJ158"/>
    <mergeCell ref="AS159:AU159"/>
    <mergeCell ref="AV159:AX159"/>
    <mergeCell ref="AY159:BA159"/>
    <mergeCell ref="BB159:BD159"/>
    <mergeCell ref="BE159:BG159"/>
    <mergeCell ref="BH159:BJ159"/>
    <mergeCell ref="AS160:AU160"/>
    <mergeCell ref="AV160:AX160"/>
    <mergeCell ref="AY160:BA160"/>
    <mergeCell ref="BB160:BD160"/>
    <mergeCell ref="BE160:BG160"/>
    <mergeCell ref="BH160:BJ160"/>
    <mergeCell ref="AS182:AU183"/>
    <mergeCell ref="AV182:AX183"/>
    <mergeCell ref="AY182:BA183"/>
    <mergeCell ref="BB182:BD183"/>
    <mergeCell ref="BE182:BG183"/>
    <mergeCell ref="BH182:BJ183"/>
    <mergeCell ref="Y183:Z183"/>
    <mergeCell ref="AC183:AD183"/>
    <mergeCell ref="AG183:AH183"/>
    <mergeCell ref="AL183:AM183"/>
    <mergeCell ref="AR184:AR185"/>
    <mergeCell ref="AS184:AU184"/>
    <mergeCell ref="AV184:AX184"/>
    <mergeCell ref="AY184:BA184"/>
    <mergeCell ref="BB184:BD184"/>
    <mergeCell ref="BE184:BG184"/>
    <mergeCell ref="BH184:BJ184"/>
    <mergeCell ref="AS185:AU185"/>
    <mergeCell ref="AV185:AX185"/>
    <mergeCell ref="AY185:BA185"/>
    <mergeCell ref="BB185:BD185"/>
    <mergeCell ref="BE185:BG185"/>
    <mergeCell ref="BH185:BJ185"/>
    <mergeCell ref="AR186:AR187"/>
    <mergeCell ref="AS186:AU186"/>
    <mergeCell ref="AV186:AX186"/>
    <mergeCell ref="AY186:BA186"/>
    <mergeCell ref="BB186:BD186"/>
    <mergeCell ref="BE186:BG186"/>
    <mergeCell ref="BH186:BJ186"/>
    <mergeCell ref="AS187:AU187"/>
    <mergeCell ref="AV187:AX187"/>
    <mergeCell ref="AY187:BA187"/>
    <mergeCell ref="BB187:BD187"/>
    <mergeCell ref="BE187:BG187"/>
    <mergeCell ref="BH187:BJ187"/>
    <mergeCell ref="AS188:AU188"/>
    <mergeCell ref="AV188:AX188"/>
    <mergeCell ref="AY188:BA188"/>
    <mergeCell ref="BB188:BD188"/>
    <mergeCell ref="BE188:BG188"/>
    <mergeCell ref="BH188:BJ188"/>
    <mergeCell ref="AS189:AU189"/>
    <mergeCell ref="AV189:AX189"/>
    <mergeCell ref="AY189:BA189"/>
    <mergeCell ref="BB189:BD189"/>
    <mergeCell ref="BE189:BG189"/>
    <mergeCell ref="BH189:BJ189"/>
  </mergeCells>
  <conditionalFormatting sqref="X99">
    <cfRule type="cellIs" dxfId="252" priority="229" operator="greaterThan">
      <formula>0</formula>
    </cfRule>
    <cfRule type="cellIs" dxfId="251" priority="228" operator="lessThan">
      <formula>0</formula>
    </cfRule>
  </conditionalFormatting>
  <conditionalFormatting sqref="X101 AD101 AG101">
    <cfRule type="cellIs" dxfId="250" priority="225" operator="greaterThan">
      <formula>0</formula>
    </cfRule>
    <cfRule type="cellIs" dxfId="249" priority="224" operator="lessThan">
      <formula>0</formula>
    </cfRule>
  </conditionalFormatting>
  <conditionalFormatting sqref="AA101">
    <cfRule type="cellIs" dxfId="248" priority="220" operator="lessThan">
      <formula>0</formula>
    </cfRule>
    <cfRule type="cellIs" dxfId="247" priority="221" operator="greaterThan">
      <formula>0</formula>
    </cfRule>
  </conditionalFormatting>
  <conditionalFormatting sqref="AA101:AC101 AV69:AV70 AV9:AV10 AJ101">
    <cfRule type="cellIs" dxfId="246" priority="267" operator="greaterThan">
      <formula>0</formula>
    </cfRule>
  </conditionalFormatting>
  <conditionalFormatting sqref="AA102:AC102">
    <cfRule type="cellIs" dxfId="245" priority="218" operator="greaterThan">
      <formula>0</formula>
    </cfRule>
  </conditionalFormatting>
  <conditionalFormatting sqref="AA99:AO100">
    <cfRule type="cellIs" dxfId="244" priority="211" operator="greaterThan">
      <formula>0</formula>
    </cfRule>
    <cfRule type="cellIs" dxfId="243" priority="210" operator="lessThan">
      <formula>0</formula>
    </cfRule>
  </conditionalFormatting>
  <conditionalFormatting sqref="AJ99 AA99:AC100">
    <cfRule type="cellIs" dxfId="242" priority="207" operator="greaterThan">
      <formula>0</formula>
    </cfRule>
  </conditionalFormatting>
  <conditionalFormatting sqref="AM99">
    <cfRule type="cellIs" dxfId="241" priority="200" operator="greaterThan">
      <formula>0</formula>
    </cfRule>
    <cfRule type="cellIs" dxfId="240" priority="202" operator="greaterThan">
      <formula>0</formula>
    </cfRule>
    <cfRule type="cellIs" dxfId="239" priority="201" operator="lessThan">
      <formula>0</formula>
    </cfRule>
  </conditionalFormatting>
  <conditionalFormatting sqref="AM101">
    <cfRule type="cellIs" dxfId="238" priority="203" operator="greaterThan">
      <formula>0</formula>
    </cfRule>
  </conditionalFormatting>
  <conditionalFormatting sqref="AS69:AS70 BB69:BB70">
    <cfRule type="cellIs" dxfId="237" priority="168" operator="lessThan">
      <formula>0</formula>
    </cfRule>
  </conditionalFormatting>
  <conditionalFormatting sqref="AS69:AS70">
    <cfRule type="cellIs" dxfId="236" priority="169" operator="greaterThan">
      <formula>0</formula>
    </cfRule>
  </conditionalFormatting>
  <conditionalFormatting sqref="AS129:AS130 BB129:BB130">
    <cfRule type="cellIs" dxfId="235" priority="87" operator="lessThan">
      <formula>0</formula>
    </cfRule>
  </conditionalFormatting>
  <conditionalFormatting sqref="AS129:AS130">
    <cfRule type="cellIs" dxfId="234" priority="88" operator="greaterThan">
      <formula>0</formula>
    </cfRule>
  </conditionalFormatting>
  <conditionalFormatting sqref="AS159:AS160 BB159:BB160">
    <cfRule type="cellIs" dxfId="233" priority="69" operator="lessThan">
      <formula>0</formula>
    </cfRule>
  </conditionalFormatting>
  <conditionalFormatting sqref="AS159:AS160">
    <cfRule type="cellIs" dxfId="232" priority="70" operator="greaterThan">
      <formula>0</formula>
    </cfRule>
  </conditionalFormatting>
  <conditionalFormatting sqref="AS188:AS189 BB188:BB189">
    <cfRule type="cellIs" dxfId="231" priority="51" operator="lessThan">
      <formula>0</formula>
    </cfRule>
  </conditionalFormatting>
  <conditionalFormatting sqref="AS188:AS189">
    <cfRule type="cellIs" dxfId="230" priority="52" operator="greaterThan">
      <formula>0</formula>
    </cfRule>
  </conditionalFormatting>
  <conditionalFormatting sqref="AS218:AS219 BB218:BB219">
    <cfRule type="cellIs" dxfId="229" priority="33" operator="lessThan">
      <formula>0</formula>
    </cfRule>
  </conditionalFormatting>
  <conditionalFormatting sqref="AS218:AS219">
    <cfRule type="cellIs" dxfId="228" priority="34" operator="greaterThan">
      <formula>0</formula>
    </cfRule>
  </conditionalFormatting>
  <conditionalFormatting sqref="AS248:AS249 BB248:BB249">
    <cfRule type="cellIs" dxfId="227" priority="15" operator="lessThan">
      <formula>0</formula>
    </cfRule>
  </conditionalFormatting>
  <conditionalFormatting sqref="AS248:AS249">
    <cfRule type="cellIs" dxfId="226" priority="16" operator="greaterThan">
      <formula>0</formula>
    </cfRule>
  </conditionalFormatting>
  <conditionalFormatting sqref="AV9:AV10 AV39:AV40 BE39:BE40 BH39:BH40 AS9:AS10 AS39:AS40">
    <cfRule type="cellIs" dxfId="225" priority="273" operator="greaterThan">
      <formula>0</formula>
    </cfRule>
  </conditionalFormatting>
  <conditionalFormatting sqref="AV69:AV70">
    <cfRule type="cellIs" dxfId="224" priority="164" operator="lessThan">
      <formula>0</formula>
    </cfRule>
    <cfRule type="cellIs" dxfId="223" priority="165" operator="greaterThan">
      <formula>0</formula>
    </cfRule>
  </conditionalFormatting>
  <conditionalFormatting sqref="AV129:AV130">
    <cfRule type="cellIs" dxfId="222" priority="90" operator="greaterThan">
      <formula>0</formula>
    </cfRule>
    <cfRule type="cellIs" dxfId="221" priority="84" operator="greaterThan">
      <formula>0</formula>
    </cfRule>
    <cfRule type="cellIs" dxfId="220" priority="83" operator="lessThan">
      <formula>0</formula>
    </cfRule>
  </conditionalFormatting>
  <conditionalFormatting sqref="AV159:AV160">
    <cfRule type="cellIs" dxfId="219" priority="65" operator="lessThan">
      <formula>0</formula>
    </cfRule>
    <cfRule type="cellIs" dxfId="218" priority="72" operator="greaterThan">
      <formula>0</formula>
    </cfRule>
    <cfRule type="cellIs" dxfId="217" priority="66" operator="greaterThan">
      <formula>0</formula>
    </cfRule>
  </conditionalFormatting>
  <conditionalFormatting sqref="AV188:AV189">
    <cfRule type="cellIs" dxfId="216" priority="48" operator="greaterThan">
      <formula>0</formula>
    </cfRule>
    <cfRule type="cellIs" dxfId="215" priority="47" operator="lessThan">
      <formula>0</formula>
    </cfRule>
    <cfRule type="cellIs" dxfId="214" priority="54" operator="greaterThan">
      <formula>0</formula>
    </cfRule>
  </conditionalFormatting>
  <conditionalFormatting sqref="AV218:AV219">
    <cfRule type="cellIs" dxfId="213" priority="29" operator="lessThan">
      <formula>0</formula>
    </cfRule>
    <cfRule type="cellIs" dxfId="212" priority="30" operator="greaterThan">
      <formula>0</formula>
    </cfRule>
    <cfRule type="cellIs" dxfId="211" priority="36" operator="greaterThan">
      <formula>0</formula>
    </cfRule>
  </conditionalFormatting>
  <conditionalFormatting sqref="AV248:AV249">
    <cfRule type="cellIs" dxfId="210" priority="18" operator="greaterThan">
      <formula>0</formula>
    </cfRule>
    <cfRule type="cellIs" dxfId="209" priority="11" operator="lessThan">
      <formula>0</formula>
    </cfRule>
    <cfRule type="cellIs" dxfId="208" priority="12" operator="greaterThan">
      <formula>0</formula>
    </cfRule>
  </conditionalFormatting>
  <conditionalFormatting sqref="AV69:AX70">
    <cfRule type="cellIs" dxfId="207" priority="97" operator="greaterThan">
      <formula>0</formula>
    </cfRule>
  </conditionalFormatting>
  <conditionalFormatting sqref="AV129:AX130">
    <cfRule type="cellIs" dxfId="206" priority="74" operator="greaterThan">
      <formula>0</formula>
    </cfRule>
  </conditionalFormatting>
  <conditionalFormatting sqref="AV159:AX160">
    <cfRule type="cellIs" dxfId="205" priority="56" operator="greaterThan">
      <formula>0</formula>
    </cfRule>
  </conditionalFormatting>
  <conditionalFormatting sqref="AV188:AX189">
    <cfRule type="cellIs" dxfId="204" priority="38" operator="greaterThan">
      <formula>0</formula>
    </cfRule>
  </conditionalFormatting>
  <conditionalFormatting sqref="AV218:AX219">
    <cfRule type="cellIs" dxfId="203" priority="20" operator="greaterThan">
      <formula>0</formula>
    </cfRule>
  </conditionalFormatting>
  <conditionalFormatting sqref="AV248:AX249">
    <cfRule type="cellIs" dxfId="202" priority="2" operator="greaterThan">
      <formula>0</formula>
    </cfRule>
  </conditionalFormatting>
  <conditionalFormatting sqref="AY9:BA9">
    <cfRule type="cellIs" dxfId="201" priority="199" operator="lessThan">
      <formula>-1821</formula>
    </cfRule>
  </conditionalFormatting>
  <conditionalFormatting sqref="AY39:BA39">
    <cfRule type="cellIs" dxfId="200" priority="180" operator="lessThan">
      <formula>-1821</formula>
    </cfRule>
  </conditionalFormatting>
  <conditionalFormatting sqref="AY69:BA69">
    <cfRule type="cellIs" dxfId="199" priority="161" operator="lessThan">
      <formula>-1821</formula>
    </cfRule>
  </conditionalFormatting>
  <conditionalFormatting sqref="AY69:BA70">
    <cfRule type="cellIs" dxfId="198" priority="160" operator="lessThan">
      <formula>0</formula>
    </cfRule>
  </conditionalFormatting>
  <conditionalFormatting sqref="AY129:BA129">
    <cfRule type="cellIs" dxfId="197" priority="80" operator="lessThan">
      <formula>-1821</formula>
    </cfRule>
  </conditionalFormatting>
  <conditionalFormatting sqref="AY129:BA130">
    <cfRule type="cellIs" dxfId="196" priority="79" operator="lessThan">
      <formula>0</formula>
    </cfRule>
  </conditionalFormatting>
  <conditionalFormatting sqref="AY159:BA159">
    <cfRule type="cellIs" dxfId="195" priority="62" operator="lessThan">
      <formula>-1821</formula>
    </cfRule>
  </conditionalFormatting>
  <conditionalFormatting sqref="AY159:BA160">
    <cfRule type="cellIs" dxfId="194" priority="61" operator="lessThan">
      <formula>0</formula>
    </cfRule>
  </conditionalFormatting>
  <conditionalFormatting sqref="AY188:BA188">
    <cfRule type="cellIs" dxfId="193" priority="44" operator="lessThan">
      <formula>-1821</formula>
    </cfRule>
  </conditionalFormatting>
  <conditionalFormatting sqref="AY188:BA189">
    <cfRule type="cellIs" dxfId="192" priority="43" operator="lessThan">
      <formula>0</formula>
    </cfRule>
  </conditionalFormatting>
  <conditionalFormatting sqref="AY218:BA218">
    <cfRule type="cellIs" dxfId="191" priority="26" operator="lessThan">
      <formula>-1821</formula>
    </cfRule>
  </conditionalFormatting>
  <conditionalFormatting sqref="AY218:BA219">
    <cfRule type="cellIs" dxfId="190" priority="25" operator="lessThan">
      <formula>0</formula>
    </cfRule>
  </conditionalFormatting>
  <conditionalFormatting sqref="AY248:BA248">
    <cfRule type="cellIs" dxfId="189" priority="8" operator="lessThan">
      <formula>-1821</formula>
    </cfRule>
  </conditionalFormatting>
  <conditionalFormatting sqref="AY248:BA249">
    <cfRule type="cellIs" dxfId="188" priority="7" operator="lessThan">
      <formula>0</formula>
    </cfRule>
  </conditionalFormatting>
  <conditionalFormatting sqref="AY9:BB10">
    <cfRule type="cellIs" dxfId="187" priority="101" operator="greaterThan">
      <formula>0</formula>
    </cfRule>
    <cfRule type="cellIs" dxfId="186" priority="99" operator="lessThan">
      <formula>0</formula>
    </cfRule>
  </conditionalFormatting>
  <conditionalFormatting sqref="AY39:BB40">
    <cfRule type="cellIs" dxfId="185" priority="93" operator="greaterThan">
      <formula>0</formula>
    </cfRule>
  </conditionalFormatting>
  <conditionalFormatting sqref="AY69:BB70">
    <cfRule type="cellIs" dxfId="184" priority="95" operator="greaterThan">
      <formula>0</formula>
    </cfRule>
  </conditionalFormatting>
  <conditionalFormatting sqref="AY129:BB130">
    <cfRule type="cellIs" dxfId="183" priority="73" operator="greaterThan">
      <formula>0</formula>
    </cfRule>
  </conditionalFormatting>
  <conditionalFormatting sqref="AY159:BB160">
    <cfRule type="cellIs" dxfId="182" priority="55" operator="greaterThan">
      <formula>0</formula>
    </cfRule>
  </conditionalFormatting>
  <conditionalFormatting sqref="AY188:BB189">
    <cfRule type="cellIs" dxfId="181" priority="37" operator="greaterThan">
      <formula>0</formula>
    </cfRule>
  </conditionalFormatting>
  <conditionalFormatting sqref="AY218:BB219">
    <cfRule type="cellIs" dxfId="180" priority="19" operator="greaterThan">
      <formula>0</formula>
    </cfRule>
  </conditionalFormatting>
  <conditionalFormatting sqref="AY248:BB249">
    <cfRule type="cellIs" dxfId="179" priority="1" operator="greaterThan">
      <formula>0</formula>
    </cfRule>
  </conditionalFormatting>
  <conditionalFormatting sqref="BE9:BE10">
    <cfRule type="cellIs" dxfId="178" priority="271" operator="greaterThan">
      <formula>0</formula>
    </cfRule>
    <cfRule type="cellIs" dxfId="177" priority="270" operator="lessThan">
      <formula>0</formula>
    </cfRule>
  </conditionalFormatting>
  <conditionalFormatting sqref="BE39:BE40 BH39:BH40 AS9:AS10 AV9:AV10 AS39:AS40 AV39:AV40 BB39:BB40">
    <cfRule type="cellIs" dxfId="176" priority="272" operator="lessThan">
      <formula>0</formula>
    </cfRule>
  </conditionalFormatting>
  <conditionalFormatting sqref="BE69:BE70">
    <cfRule type="cellIs" dxfId="175" priority="167" operator="greaterThan">
      <formula>0</formula>
    </cfRule>
    <cfRule type="cellIs" dxfId="174" priority="166" operator="lessThan">
      <formula>0</formula>
    </cfRule>
  </conditionalFormatting>
  <conditionalFormatting sqref="BE129:BE130 BH129:BH130">
    <cfRule type="cellIs" dxfId="173" priority="89" operator="greaterThan">
      <formula>0</formula>
    </cfRule>
  </conditionalFormatting>
  <conditionalFormatting sqref="BE129:BE130">
    <cfRule type="cellIs" dxfId="172" priority="85" operator="lessThan">
      <formula>0</formula>
    </cfRule>
    <cfRule type="cellIs" dxfId="171" priority="86" operator="greaterThan">
      <formula>0</formula>
    </cfRule>
  </conditionalFormatting>
  <conditionalFormatting sqref="BE159:BE160 BH159:BH160">
    <cfRule type="cellIs" dxfId="170" priority="71" operator="greaterThan">
      <formula>0</formula>
    </cfRule>
  </conditionalFormatting>
  <conditionalFormatting sqref="BE159:BE160">
    <cfRule type="cellIs" dxfId="169" priority="67" operator="lessThan">
      <formula>0</formula>
    </cfRule>
    <cfRule type="cellIs" dxfId="168" priority="68" operator="greaterThan">
      <formula>0</formula>
    </cfRule>
  </conditionalFormatting>
  <conditionalFormatting sqref="BE188:BE189 BH188:BH189">
    <cfRule type="cellIs" dxfId="167" priority="53" operator="greaterThan">
      <formula>0</formula>
    </cfRule>
  </conditionalFormatting>
  <conditionalFormatting sqref="BE188:BE189">
    <cfRule type="cellIs" dxfId="166" priority="49" operator="lessThan">
      <formula>0</formula>
    </cfRule>
    <cfRule type="cellIs" dxfId="165" priority="50" operator="greaterThan">
      <formula>0</formula>
    </cfRule>
  </conditionalFormatting>
  <conditionalFormatting sqref="BE218:BE219 BH218:BH219">
    <cfRule type="cellIs" dxfId="164" priority="35" operator="greaterThan">
      <formula>0</formula>
    </cfRule>
  </conditionalFormatting>
  <conditionalFormatting sqref="BE218:BE219">
    <cfRule type="cellIs" dxfId="163" priority="31" operator="lessThan">
      <formula>0</formula>
    </cfRule>
    <cfRule type="cellIs" dxfId="162" priority="32" operator="greaterThan">
      <formula>0</formula>
    </cfRule>
  </conditionalFormatting>
  <conditionalFormatting sqref="BE248:BE249 BH248:BH249">
    <cfRule type="cellIs" dxfId="161" priority="17" operator="greaterThan">
      <formula>0</formula>
    </cfRule>
  </conditionalFormatting>
  <conditionalFormatting sqref="BE248:BE249">
    <cfRule type="cellIs" dxfId="160" priority="13" operator="lessThan">
      <formula>0</formula>
    </cfRule>
    <cfRule type="cellIs" dxfId="159" priority="14" operator="greaterThan">
      <formula>0</formula>
    </cfRule>
  </conditionalFormatting>
  <conditionalFormatting sqref="BE9:BG10 BE39:BG40">
    <cfRule type="cellIs" dxfId="158" priority="189" operator="lessThan">
      <formula>0</formula>
    </cfRule>
  </conditionalFormatting>
  <conditionalFormatting sqref="BE69:BG70">
    <cfRule type="cellIs" dxfId="157" priority="156" operator="lessThan">
      <formula>0</formula>
    </cfRule>
  </conditionalFormatting>
  <conditionalFormatting sqref="BE129:BG130">
    <cfRule type="cellIs" dxfId="156" priority="75" operator="lessThan">
      <formula>0</formula>
    </cfRule>
  </conditionalFormatting>
  <conditionalFormatting sqref="BE159:BG160">
    <cfRule type="cellIs" dxfId="155" priority="57" operator="lessThan">
      <formula>0</formula>
    </cfRule>
  </conditionalFormatting>
  <conditionalFormatting sqref="BE188:BG189">
    <cfRule type="cellIs" dxfId="154" priority="39" operator="lessThan">
      <formula>0</formula>
    </cfRule>
  </conditionalFormatting>
  <conditionalFormatting sqref="BE218:BG219">
    <cfRule type="cellIs" dxfId="153" priority="21" operator="lessThan">
      <formula>0</formula>
    </cfRule>
  </conditionalFormatting>
  <conditionalFormatting sqref="BE248:BG249">
    <cfRule type="cellIs" dxfId="152" priority="3" operator="lessThan">
      <formula>0</formula>
    </cfRule>
  </conditionalFormatting>
  <conditionalFormatting sqref="BE9:BJ10">
    <cfRule type="cellIs" dxfId="151" priority="193" operator="lessThan">
      <formula>0</formula>
    </cfRule>
  </conditionalFormatting>
  <conditionalFormatting sqref="BE39:BJ40 AN41:AO42 AY9:BA10 AY39:BA40">
    <cfRule type="cellIs" dxfId="150" priority="197" operator="lessThan">
      <formula>0</formula>
    </cfRule>
  </conditionalFormatting>
  <conditionalFormatting sqref="BE69:BJ70">
    <cfRule type="cellIs" dxfId="149" priority="159" operator="lessThan">
      <formula>0</formula>
    </cfRule>
  </conditionalFormatting>
  <conditionalFormatting sqref="BE129:BJ130">
    <cfRule type="cellIs" dxfId="148" priority="78" operator="lessThan">
      <formula>0</formula>
    </cfRule>
  </conditionalFormatting>
  <conditionalFormatting sqref="BE159:BJ160">
    <cfRule type="cellIs" dxfId="147" priority="60" operator="lessThan">
      <formula>0</formula>
    </cfRule>
  </conditionalFormatting>
  <conditionalFormatting sqref="BE188:BJ189">
    <cfRule type="cellIs" dxfId="146" priority="42" operator="lessThan">
      <formula>0</formula>
    </cfRule>
  </conditionalFormatting>
  <conditionalFormatting sqref="BE218:BJ219">
    <cfRule type="cellIs" dxfId="145" priority="24" operator="lessThan">
      <formula>0</formula>
    </cfRule>
  </conditionalFormatting>
  <conditionalFormatting sqref="BE248:BJ249">
    <cfRule type="cellIs" dxfId="144" priority="6" operator="lessThan">
      <formula>0</formula>
    </cfRule>
  </conditionalFormatting>
  <conditionalFormatting sqref="BH9:BH10 BE69:BE70 BH69:BH70 BH39:BH40 BE9:BE10 AV39:AV40 BE39:BE40">
    <cfRule type="cellIs" dxfId="143" priority="266" operator="greaterThan">
      <formula>0</formula>
    </cfRule>
  </conditionalFormatting>
  <conditionalFormatting sqref="BH9:BH10">
    <cfRule type="cellIs" dxfId="142" priority="205" operator="greaterThan">
      <formula>0</formula>
    </cfRule>
    <cfRule type="cellIs" dxfId="141" priority="204" operator="lessThan">
      <formula>0</formula>
    </cfRule>
  </conditionalFormatting>
  <conditionalFormatting sqref="BH69:BH70">
    <cfRule type="cellIs" dxfId="140" priority="162" operator="lessThan">
      <formula>0</formula>
    </cfRule>
    <cfRule type="cellIs" dxfId="139" priority="163" operator="greaterThan">
      <formula>0</formula>
    </cfRule>
  </conditionalFormatting>
  <conditionalFormatting sqref="BH129:BH130">
    <cfRule type="cellIs" dxfId="138" priority="82" operator="greaterThan">
      <formula>0</formula>
    </cfRule>
    <cfRule type="cellIs" dxfId="137" priority="81" operator="lessThan">
      <formula>0</formula>
    </cfRule>
  </conditionalFormatting>
  <conditionalFormatting sqref="BH159:BH160">
    <cfRule type="cellIs" dxfId="136" priority="63" operator="lessThan">
      <formula>0</formula>
    </cfRule>
    <cfRule type="cellIs" dxfId="135" priority="64" operator="greaterThan">
      <formula>0</formula>
    </cfRule>
  </conditionalFormatting>
  <conditionalFormatting sqref="BH188:BH189">
    <cfRule type="cellIs" dxfId="134" priority="45" operator="lessThan">
      <formula>0</formula>
    </cfRule>
    <cfRule type="cellIs" dxfId="133" priority="46" operator="greaterThan">
      <formula>0</formula>
    </cfRule>
  </conditionalFormatting>
  <conditionalFormatting sqref="BH218:BH219">
    <cfRule type="cellIs" dxfId="132" priority="27" operator="lessThan">
      <formula>0</formula>
    </cfRule>
    <cfRule type="cellIs" dxfId="131" priority="28" operator="greaterThan">
      <formula>0</formula>
    </cfRule>
  </conditionalFormatting>
  <conditionalFormatting sqref="BH248:BH249">
    <cfRule type="cellIs" dxfId="130" priority="10" operator="greaterThan">
      <formula>0</formula>
    </cfRule>
    <cfRule type="cellIs" dxfId="129" priority="9" operator="lessThan">
      <formula>0</formula>
    </cfRule>
  </conditionalFormatting>
  <conditionalFormatting sqref="BH9:BJ9">
    <cfRule type="cellIs" dxfId="128" priority="192" operator="lessThan">
      <formula>-1688</formula>
    </cfRule>
  </conditionalFormatting>
  <conditionalFormatting sqref="BH10:BJ10">
    <cfRule type="cellIs" dxfId="127" priority="191" operator="lessThan">
      <formula>0</formula>
    </cfRule>
  </conditionalFormatting>
  <conditionalFormatting sqref="BH39:BJ39 AN41:AO41">
    <cfRule type="cellIs" dxfId="126" priority="173" operator="lessThan">
      <formula>-1688</formula>
    </cfRule>
  </conditionalFormatting>
  <conditionalFormatting sqref="BH39:BJ40">
    <cfRule type="cellIs" dxfId="125" priority="91" operator="greaterThan">
      <formula>0</formula>
    </cfRule>
  </conditionalFormatting>
  <conditionalFormatting sqref="BH40:BJ40 AN42:AO42">
    <cfRule type="cellIs" dxfId="124" priority="172" operator="lessThan">
      <formula>0</formula>
    </cfRule>
  </conditionalFormatting>
  <conditionalFormatting sqref="BH69:BJ69">
    <cfRule type="cellIs" dxfId="123" priority="158" operator="lessThan">
      <formula>-1688</formula>
    </cfRule>
  </conditionalFormatting>
  <conditionalFormatting sqref="BH70:BJ70">
    <cfRule type="cellIs" dxfId="122" priority="157" operator="lessThan">
      <formula>0</formula>
    </cfRule>
  </conditionalFormatting>
  <conditionalFormatting sqref="BH129:BJ129">
    <cfRule type="cellIs" dxfId="121" priority="77" operator="lessThan">
      <formula>-1688</formula>
    </cfRule>
  </conditionalFormatting>
  <conditionalFormatting sqref="BH130:BJ130">
    <cfRule type="cellIs" dxfId="120" priority="76" operator="lessThan">
      <formula>0</formula>
    </cfRule>
  </conditionalFormatting>
  <conditionalFormatting sqref="BH159:BJ159">
    <cfRule type="cellIs" dxfId="119" priority="59" operator="lessThan">
      <formula>-1688</formula>
    </cfRule>
  </conditionalFormatting>
  <conditionalFormatting sqref="BH160:BJ160">
    <cfRule type="cellIs" dxfId="118" priority="58" operator="lessThan">
      <formula>0</formula>
    </cfRule>
  </conditionalFormatting>
  <conditionalFormatting sqref="BH188:BJ188">
    <cfRule type="cellIs" dxfId="117" priority="41" operator="lessThan">
      <formula>-1688</formula>
    </cfRule>
  </conditionalFormatting>
  <conditionalFormatting sqref="BH189:BJ189">
    <cfRule type="cellIs" dxfId="116" priority="40" operator="lessThan">
      <formula>0</formula>
    </cfRule>
  </conditionalFormatting>
  <conditionalFormatting sqref="BH218:BJ218">
    <cfRule type="cellIs" dxfId="115" priority="23" operator="lessThan">
      <formula>-1688</formula>
    </cfRule>
  </conditionalFormatting>
  <conditionalFormatting sqref="BH219:BJ219">
    <cfRule type="cellIs" dxfId="114" priority="22" operator="lessThan">
      <formula>0</formula>
    </cfRule>
  </conditionalFormatting>
  <conditionalFormatting sqref="BH248:BJ248">
    <cfRule type="cellIs" dxfId="113" priority="5" operator="lessThan">
      <formula>-1688</formula>
    </cfRule>
  </conditionalFormatting>
  <conditionalFormatting sqref="BH249:BJ249">
    <cfRule type="cellIs" dxfId="112" priority="4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pinner 1">
              <controlPr defaultSize="0" autoPict="0">
                <anchor moveWithCells="1" sizeWithCells="1">
                  <from>
                    <xdr:col>5</xdr:col>
                    <xdr:colOff>85725</xdr:colOff>
                    <xdr:row>4</xdr:row>
                    <xdr:rowOff>38100</xdr:rowOff>
                  </from>
                  <to>
                    <xdr:col>5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pinner 2">
              <controlPr defaultSize="0" autoPict="0">
                <anchor moveWithCells="1" sizeWithCells="1">
                  <from>
                    <xdr:col>5</xdr:col>
                    <xdr:colOff>85725</xdr:colOff>
                    <xdr:row>5</xdr:row>
                    <xdr:rowOff>38100</xdr:rowOff>
                  </from>
                  <to>
                    <xdr:col>5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Spinner 3">
              <controlPr defaultSize="0" autoPict="0">
                <anchor moveWithCells="1" sizeWithCells="1">
                  <from>
                    <xdr:col>5</xdr:col>
                    <xdr:colOff>85725</xdr:colOff>
                    <xdr:row>6</xdr:row>
                    <xdr:rowOff>38100</xdr:rowOff>
                  </from>
                  <to>
                    <xdr:col>5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Spinner 4">
              <controlPr defaultSize="0" autoPict="0">
                <anchor moveWithCells="1" sizeWithCells="1">
                  <from>
                    <xdr:col>5</xdr:col>
                    <xdr:colOff>85725</xdr:colOff>
                    <xdr:row>7</xdr:row>
                    <xdr:rowOff>38100</xdr:rowOff>
                  </from>
                  <to>
                    <xdr:col>5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Spinner 6">
              <controlPr defaultSize="0" autoPict="0">
                <anchor moveWithCells="1" sizeWithCells="1">
                  <from>
                    <xdr:col>5</xdr:col>
                    <xdr:colOff>85725</xdr:colOff>
                    <xdr:row>8</xdr:row>
                    <xdr:rowOff>9525</xdr:rowOff>
                  </from>
                  <to>
                    <xdr:col>5</xdr:col>
                    <xdr:colOff>914400</xdr:colOff>
                    <xdr:row>8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8" name="Spinner 8">
              <controlPr defaultSize="0" autoPict="0">
                <anchor moveWithCells="1" sizeWithCells="1">
                  <from>
                    <xdr:col>5</xdr:col>
                    <xdr:colOff>85725</xdr:colOff>
                    <xdr:row>9</xdr:row>
                    <xdr:rowOff>38100</xdr:rowOff>
                  </from>
                  <to>
                    <xdr:col>5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9" name="Spinner 10">
              <controlPr defaultSize="0" autoPict="0">
                <anchor moveWithCells="1" sizeWithCells="1">
                  <from>
                    <xdr:col>5</xdr:col>
                    <xdr:colOff>85725</xdr:colOff>
                    <xdr:row>10</xdr:row>
                    <xdr:rowOff>38100</xdr:rowOff>
                  </from>
                  <to>
                    <xdr:col>5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0" name="Spinner 12">
              <controlPr defaultSize="0" autoPict="0">
                <anchor moveWithCells="1" sizeWithCells="1">
                  <from>
                    <xdr:col>5</xdr:col>
                    <xdr:colOff>85725</xdr:colOff>
                    <xdr:row>11</xdr:row>
                    <xdr:rowOff>38100</xdr:rowOff>
                  </from>
                  <to>
                    <xdr:col>5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1" name="Spinner 13">
              <controlPr defaultSize="0" autoPict="0">
                <anchor moveWithCells="1" sizeWithCells="1">
                  <from>
                    <xdr:col>9</xdr:col>
                    <xdr:colOff>85725</xdr:colOff>
                    <xdr:row>4</xdr:row>
                    <xdr:rowOff>38100</xdr:rowOff>
                  </from>
                  <to>
                    <xdr:col>9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2" name="Spinner 14">
              <controlPr defaultSize="0" autoPict="0">
                <anchor moveWithCells="1" sizeWithCells="1">
                  <from>
                    <xdr:col>9</xdr:col>
                    <xdr:colOff>85725</xdr:colOff>
                    <xdr:row>5</xdr:row>
                    <xdr:rowOff>38100</xdr:rowOff>
                  </from>
                  <to>
                    <xdr:col>9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3" name="Spinner 15">
              <controlPr defaultSize="0" autoPict="0">
                <anchor moveWithCells="1" sizeWithCells="1">
                  <from>
                    <xdr:col>9</xdr:col>
                    <xdr:colOff>85725</xdr:colOff>
                    <xdr:row>6</xdr:row>
                    <xdr:rowOff>38100</xdr:rowOff>
                  </from>
                  <to>
                    <xdr:col>9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4" name="Spinner 16">
              <controlPr defaultSize="0" autoPict="0">
                <anchor moveWithCells="1" sizeWithCells="1">
                  <from>
                    <xdr:col>9</xdr:col>
                    <xdr:colOff>85725</xdr:colOff>
                    <xdr:row>7</xdr:row>
                    <xdr:rowOff>38100</xdr:rowOff>
                  </from>
                  <to>
                    <xdr:col>9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5" name="Spinner 17">
              <controlPr defaultSize="0" autoPict="0">
                <anchor moveWithCells="1" sizeWithCells="1">
                  <from>
                    <xdr:col>9</xdr:col>
                    <xdr:colOff>85725</xdr:colOff>
                    <xdr:row>8</xdr:row>
                    <xdr:rowOff>38100</xdr:rowOff>
                  </from>
                  <to>
                    <xdr:col>9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6" name="Spinner 18">
              <controlPr defaultSize="0" autoPict="0">
                <anchor moveWithCells="1" sizeWithCells="1">
                  <from>
                    <xdr:col>9</xdr:col>
                    <xdr:colOff>85725</xdr:colOff>
                    <xdr:row>9</xdr:row>
                    <xdr:rowOff>38100</xdr:rowOff>
                  </from>
                  <to>
                    <xdr:col>9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17" name="Spinner 19">
              <controlPr defaultSize="0" autoPict="0">
                <anchor moveWithCells="1" sizeWithCells="1">
                  <from>
                    <xdr:col>9</xdr:col>
                    <xdr:colOff>85725</xdr:colOff>
                    <xdr:row>10</xdr:row>
                    <xdr:rowOff>38100</xdr:rowOff>
                  </from>
                  <to>
                    <xdr:col>9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18" name="Spinner 20">
              <controlPr defaultSize="0" autoPict="0">
                <anchor moveWithCells="1" sizeWithCells="1">
                  <from>
                    <xdr:col>9</xdr:col>
                    <xdr:colOff>85725</xdr:colOff>
                    <xdr:row>11</xdr:row>
                    <xdr:rowOff>38100</xdr:rowOff>
                  </from>
                  <to>
                    <xdr:col>9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Spinner 21">
              <controlPr defaultSize="0" autoPict="0">
                <anchor moveWithCells="1" sizeWithCells="1">
                  <from>
                    <xdr:col>13</xdr:col>
                    <xdr:colOff>85725</xdr:colOff>
                    <xdr:row>4</xdr:row>
                    <xdr:rowOff>38100</xdr:rowOff>
                  </from>
                  <to>
                    <xdr:col>13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0" name="Spinner 22">
              <controlPr defaultSize="0" autoPict="0">
                <anchor moveWithCells="1" sizeWithCells="1">
                  <from>
                    <xdr:col>13</xdr:col>
                    <xdr:colOff>85725</xdr:colOff>
                    <xdr:row>5</xdr:row>
                    <xdr:rowOff>38100</xdr:rowOff>
                  </from>
                  <to>
                    <xdr:col>13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1" name="Spinner 23">
              <controlPr defaultSize="0" autoPict="0">
                <anchor moveWithCells="1" sizeWithCells="1">
                  <from>
                    <xdr:col>13</xdr:col>
                    <xdr:colOff>85725</xdr:colOff>
                    <xdr:row>6</xdr:row>
                    <xdr:rowOff>38100</xdr:rowOff>
                  </from>
                  <to>
                    <xdr:col>13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Spinner 24">
              <controlPr defaultSize="0" autoPict="0">
                <anchor moveWithCells="1" sizeWithCells="1">
                  <from>
                    <xdr:col>13</xdr:col>
                    <xdr:colOff>85725</xdr:colOff>
                    <xdr:row>7</xdr:row>
                    <xdr:rowOff>38100</xdr:rowOff>
                  </from>
                  <to>
                    <xdr:col>13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3" name="Spinner 25">
              <controlPr defaultSize="0" autoPict="0">
                <anchor moveWithCells="1" sizeWithCells="1">
                  <from>
                    <xdr:col>13</xdr:col>
                    <xdr:colOff>85725</xdr:colOff>
                    <xdr:row>8</xdr:row>
                    <xdr:rowOff>38100</xdr:rowOff>
                  </from>
                  <to>
                    <xdr:col>13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4" name="Spinner 26">
              <controlPr defaultSize="0" autoPict="0">
                <anchor moveWithCells="1" sizeWithCells="1">
                  <from>
                    <xdr:col>13</xdr:col>
                    <xdr:colOff>85725</xdr:colOff>
                    <xdr:row>9</xdr:row>
                    <xdr:rowOff>38100</xdr:rowOff>
                  </from>
                  <to>
                    <xdr:col>13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5" name="Spinner 27">
              <controlPr defaultSize="0" autoPict="0">
                <anchor moveWithCells="1" sizeWithCells="1">
                  <from>
                    <xdr:col>13</xdr:col>
                    <xdr:colOff>85725</xdr:colOff>
                    <xdr:row>10</xdr:row>
                    <xdr:rowOff>38100</xdr:rowOff>
                  </from>
                  <to>
                    <xdr:col>13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6" name="Spinner 28">
              <controlPr defaultSize="0" autoPict="0">
                <anchor moveWithCells="1" sizeWithCells="1">
                  <from>
                    <xdr:col>13</xdr:col>
                    <xdr:colOff>85725</xdr:colOff>
                    <xdr:row>11</xdr:row>
                    <xdr:rowOff>38100</xdr:rowOff>
                  </from>
                  <to>
                    <xdr:col>13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27" name="Spinner 85">
              <controlPr defaultSize="0" autoPict="0">
                <anchor moveWithCells="1" sizeWithCells="1">
                  <from>
                    <xdr:col>5</xdr:col>
                    <xdr:colOff>38100</xdr:colOff>
                    <xdr:row>34</xdr:row>
                    <xdr:rowOff>19050</xdr:rowOff>
                  </from>
                  <to>
                    <xdr:col>5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28" name="Spinner 86">
              <controlPr defaultSize="0" autoPict="0">
                <anchor moveWithCells="1" sizeWithCells="1">
                  <from>
                    <xdr:col>5</xdr:col>
                    <xdr:colOff>38100</xdr:colOff>
                    <xdr:row>35</xdr:row>
                    <xdr:rowOff>38100</xdr:rowOff>
                  </from>
                  <to>
                    <xdr:col>5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29" name="Spinner 89">
              <controlPr defaultSize="0" autoPict="0">
                <anchor moveWithCells="1" sizeWithCells="1">
                  <from>
                    <xdr:col>5</xdr:col>
                    <xdr:colOff>38100</xdr:colOff>
                    <xdr:row>36</xdr:row>
                    <xdr:rowOff>38100</xdr:rowOff>
                  </from>
                  <to>
                    <xdr:col>5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30" name="Spinner 90">
              <controlPr defaultSize="0" autoPict="0">
                <anchor moveWithCells="1" sizeWithCells="1">
                  <from>
                    <xdr:col>5</xdr:col>
                    <xdr:colOff>38100</xdr:colOff>
                    <xdr:row>37</xdr:row>
                    <xdr:rowOff>38100</xdr:rowOff>
                  </from>
                  <to>
                    <xdr:col>5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31" name="Spinner 91">
              <controlPr defaultSize="0" autoPict="0">
                <anchor moveWithCells="1" sizeWithCells="1">
                  <from>
                    <xdr:col>5</xdr:col>
                    <xdr:colOff>38100</xdr:colOff>
                    <xdr:row>38</xdr:row>
                    <xdr:rowOff>47625</xdr:rowOff>
                  </from>
                  <to>
                    <xdr:col>5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32" name="Spinner 93">
              <controlPr defaultSize="0" autoPict="0">
                <anchor moveWithCells="1" sizeWithCells="1">
                  <from>
                    <xdr:col>5</xdr:col>
                    <xdr:colOff>38100</xdr:colOff>
                    <xdr:row>39</xdr:row>
                    <xdr:rowOff>19050</xdr:rowOff>
                  </from>
                  <to>
                    <xdr:col>5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8" r:id="rId33" name="Spinner 94">
              <controlPr defaultSize="0" autoPict="0">
                <anchor moveWithCells="1" sizeWithCells="1">
                  <from>
                    <xdr:col>5</xdr:col>
                    <xdr:colOff>38100</xdr:colOff>
                    <xdr:row>40</xdr:row>
                    <xdr:rowOff>19050</xdr:rowOff>
                  </from>
                  <to>
                    <xdr:col>5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34" name="Spinner 95">
              <controlPr defaultSize="0" autoPict="0">
                <anchor moveWithCells="1" sizeWithCells="1">
                  <from>
                    <xdr:col>5</xdr:col>
                    <xdr:colOff>38100</xdr:colOff>
                    <xdr:row>41</xdr:row>
                    <xdr:rowOff>19050</xdr:rowOff>
                  </from>
                  <to>
                    <xdr:col>5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0" r:id="rId35" name="Spinner 96">
              <controlPr defaultSize="0" autoPict="0">
                <anchor moveWithCells="1" sizeWithCells="1">
                  <from>
                    <xdr:col>9</xdr:col>
                    <xdr:colOff>38100</xdr:colOff>
                    <xdr:row>34</xdr:row>
                    <xdr:rowOff>19050</xdr:rowOff>
                  </from>
                  <to>
                    <xdr:col>9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1" r:id="rId36" name="Spinner 97">
              <controlPr defaultSize="0" autoPict="0">
                <anchor moveWithCells="1" sizeWithCells="1">
                  <from>
                    <xdr:col>13</xdr:col>
                    <xdr:colOff>38100</xdr:colOff>
                    <xdr:row>34</xdr:row>
                    <xdr:rowOff>19050</xdr:rowOff>
                  </from>
                  <to>
                    <xdr:col>13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2" r:id="rId37" name="Spinner 98">
              <controlPr defaultSize="0" autoPict="0">
                <anchor moveWithCells="1" sizeWithCells="1">
                  <from>
                    <xdr:col>9</xdr:col>
                    <xdr:colOff>38100</xdr:colOff>
                    <xdr:row>35</xdr:row>
                    <xdr:rowOff>38100</xdr:rowOff>
                  </from>
                  <to>
                    <xdr:col>9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3" r:id="rId38" name="Spinner 99">
              <controlPr defaultSize="0" autoPict="0">
                <anchor moveWithCells="1" sizeWithCells="1">
                  <from>
                    <xdr:col>13</xdr:col>
                    <xdr:colOff>38100</xdr:colOff>
                    <xdr:row>35</xdr:row>
                    <xdr:rowOff>38100</xdr:rowOff>
                  </from>
                  <to>
                    <xdr:col>13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39" name="Spinner 100">
              <controlPr defaultSize="0" autoPict="0">
                <anchor moveWithCells="1" sizeWithCells="1">
                  <from>
                    <xdr:col>9</xdr:col>
                    <xdr:colOff>38100</xdr:colOff>
                    <xdr:row>36</xdr:row>
                    <xdr:rowOff>38100</xdr:rowOff>
                  </from>
                  <to>
                    <xdr:col>9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40" name="Spinner 101">
              <controlPr defaultSize="0" autoPict="0">
                <anchor moveWithCells="1" sizeWithCells="1">
                  <from>
                    <xdr:col>9</xdr:col>
                    <xdr:colOff>38100</xdr:colOff>
                    <xdr:row>37</xdr:row>
                    <xdr:rowOff>38100</xdr:rowOff>
                  </from>
                  <to>
                    <xdr:col>9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6" r:id="rId41" name="Spinner 102">
              <controlPr defaultSize="0" autoPict="0">
                <anchor moveWithCells="1" sizeWithCells="1">
                  <from>
                    <xdr:col>9</xdr:col>
                    <xdr:colOff>38100</xdr:colOff>
                    <xdr:row>38</xdr:row>
                    <xdr:rowOff>47625</xdr:rowOff>
                  </from>
                  <to>
                    <xdr:col>9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42" name="Spinner 103">
              <controlPr defaultSize="0" autoPict="0">
                <anchor moveWithCells="1" sizeWithCells="1">
                  <from>
                    <xdr:col>13</xdr:col>
                    <xdr:colOff>38100</xdr:colOff>
                    <xdr:row>36</xdr:row>
                    <xdr:rowOff>38100</xdr:rowOff>
                  </from>
                  <to>
                    <xdr:col>13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43" name="Spinner 104">
              <controlPr defaultSize="0" autoPict="0">
                <anchor moveWithCells="1" sizeWithCells="1">
                  <from>
                    <xdr:col>13</xdr:col>
                    <xdr:colOff>38100</xdr:colOff>
                    <xdr:row>37</xdr:row>
                    <xdr:rowOff>38100</xdr:rowOff>
                  </from>
                  <to>
                    <xdr:col>13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44" name="Spinner 105">
              <controlPr defaultSize="0" autoPict="0">
                <anchor moveWithCells="1" sizeWithCells="1">
                  <from>
                    <xdr:col>13</xdr:col>
                    <xdr:colOff>38100</xdr:colOff>
                    <xdr:row>38</xdr:row>
                    <xdr:rowOff>47625</xdr:rowOff>
                  </from>
                  <to>
                    <xdr:col>13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45" name="Spinner 106">
              <controlPr defaultSize="0" autoPict="0">
                <anchor moveWithCells="1" sizeWithCells="1">
                  <from>
                    <xdr:col>9</xdr:col>
                    <xdr:colOff>38100</xdr:colOff>
                    <xdr:row>39</xdr:row>
                    <xdr:rowOff>19050</xdr:rowOff>
                  </from>
                  <to>
                    <xdr:col>9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46" name="Spinner 107">
              <controlPr defaultSize="0" autoPict="0">
                <anchor moveWithCells="1" sizeWithCells="1">
                  <from>
                    <xdr:col>9</xdr:col>
                    <xdr:colOff>38100</xdr:colOff>
                    <xdr:row>40</xdr:row>
                    <xdr:rowOff>19050</xdr:rowOff>
                  </from>
                  <to>
                    <xdr:col>9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47" name="Spinner 108">
              <controlPr defaultSize="0" autoPict="0">
                <anchor moveWithCells="1" sizeWithCells="1">
                  <from>
                    <xdr:col>9</xdr:col>
                    <xdr:colOff>38100</xdr:colOff>
                    <xdr:row>41</xdr:row>
                    <xdr:rowOff>19050</xdr:rowOff>
                  </from>
                  <to>
                    <xdr:col>9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48" name="Spinner 109">
              <controlPr defaultSize="0" autoPict="0">
                <anchor moveWithCells="1" sizeWithCells="1">
                  <from>
                    <xdr:col>13</xdr:col>
                    <xdr:colOff>38100</xdr:colOff>
                    <xdr:row>39</xdr:row>
                    <xdr:rowOff>19050</xdr:rowOff>
                  </from>
                  <to>
                    <xdr:col>13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49" name="Spinner 110">
              <controlPr defaultSize="0" autoPict="0">
                <anchor moveWithCells="1" sizeWithCells="1">
                  <from>
                    <xdr:col>13</xdr:col>
                    <xdr:colOff>38100</xdr:colOff>
                    <xdr:row>40</xdr:row>
                    <xdr:rowOff>19050</xdr:rowOff>
                  </from>
                  <to>
                    <xdr:col>13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50" name="Spinner 111">
              <controlPr defaultSize="0" autoPict="0">
                <anchor moveWithCells="1" sizeWithCells="1">
                  <from>
                    <xdr:col>13</xdr:col>
                    <xdr:colOff>38100</xdr:colOff>
                    <xdr:row>41</xdr:row>
                    <xdr:rowOff>19050</xdr:rowOff>
                  </from>
                  <to>
                    <xdr:col>13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6" r:id="rId51" name="Spinner 112">
              <controlPr defaultSize="0" autoPict="0">
                <anchor moveWithCells="1" sizeWithCells="1">
                  <from>
                    <xdr:col>5</xdr:col>
                    <xdr:colOff>38100</xdr:colOff>
                    <xdr:row>71</xdr:row>
                    <xdr:rowOff>19050</xdr:rowOff>
                  </from>
                  <to>
                    <xdr:col>5</xdr:col>
                    <xdr:colOff>428625</xdr:colOff>
                    <xdr:row>71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7" r:id="rId52" name="Spinner 113">
              <controlPr defaultSize="0" autoPict="0">
                <anchor moveWithCells="1" sizeWithCells="1">
                  <from>
                    <xdr:col>5</xdr:col>
                    <xdr:colOff>38100</xdr:colOff>
                    <xdr:row>70</xdr:row>
                    <xdr:rowOff>19050</xdr:rowOff>
                  </from>
                  <to>
                    <xdr:col>5</xdr:col>
                    <xdr:colOff>419100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53" name="Spinner 114">
              <controlPr defaultSize="0" autoPict="0">
                <anchor moveWithCells="1" sizeWithCells="1">
                  <from>
                    <xdr:col>5</xdr:col>
                    <xdr:colOff>38100</xdr:colOff>
                    <xdr:row>69</xdr:row>
                    <xdr:rowOff>19050</xdr:rowOff>
                  </from>
                  <to>
                    <xdr:col>5</xdr:col>
                    <xdr:colOff>428625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0" r:id="rId54" name="Spinner 116">
              <controlPr defaultSize="0" autoPict="0">
                <anchor moveWithCells="1" sizeWithCells="1">
                  <from>
                    <xdr:col>5</xdr:col>
                    <xdr:colOff>38100</xdr:colOff>
                    <xdr:row>68</xdr:row>
                    <xdr:rowOff>19050</xdr:rowOff>
                  </from>
                  <to>
                    <xdr:col>5</xdr:col>
                    <xdr:colOff>428625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1" r:id="rId55" name="Spinner 117">
              <controlPr defaultSize="0" autoPict="0">
                <anchor moveWithCells="1" sizeWithCells="1">
                  <from>
                    <xdr:col>5</xdr:col>
                    <xdr:colOff>38100</xdr:colOff>
                    <xdr:row>67</xdr:row>
                    <xdr:rowOff>19050</xdr:rowOff>
                  </from>
                  <to>
                    <xdr:col>5</xdr:col>
                    <xdr:colOff>428625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56" name="Spinner 118">
              <controlPr defaultSize="0" autoPict="0">
                <anchor moveWithCells="1" sizeWithCells="1">
                  <from>
                    <xdr:col>5</xdr:col>
                    <xdr:colOff>38100</xdr:colOff>
                    <xdr:row>66</xdr:row>
                    <xdr:rowOff>19050</xdr:rowOff>
                  </from>
                  <to>
                    <xdr:col>5</xdr:col>
                    <xdr:colOff>419100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3" r:id="rId57" name="Spinner 119">
              <controlPr defaultSize="0" autoPict="0">
                <anchor moveWithCells="1" sizeWithCells="1">
                  <from>
                    <xdr:col>5</xdr:col>
                    <xdr:colOff>38100</xdr:colOff>
                    <xdr:row>65</xdr:row>
                    <xdr:rowOff>19050</xdr:rowOff>
                  </from>
                  <to>
                    <xdr:col>5</xdr:col>
                    <xdr:colOff>428625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58" name="Spinner 120">
              <controlPr defaultSize="0" autoPict="0">
                <anchor moveWithCells="1" sizeWithCells="1">
                  <from>
                    <xdr:col>5</xdr:col>
                    <xdr:colOff>38100</xdr:colOff>
                    <xdr:row>64</xdr:row>
                    <xdr:rowOff>19050</xdr:rowOff>
                  </from>
                  <to>
                    <xdr:col>5</xdr:col>
                    <xdr:colOff>438150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59" name="Spinner 121">
              <controlPr defaultSize="0" autoPict="0">
                <anchor moveWithCells="1" sizeWithCells="1">
                  <from>
                    <xdr:col>9</xdr:col>
                    <xdr:colOff>38100</xdr:colOff>
                    <xdr:row>71</xdr:row>
                    <xdr:rowOff>19050</xdr:rowOff>
                  </from>
                  <to>
                    <xdr:col>9</xdr:col>
                    <xdr:colOff>428625</xdr:colOff>
                    <xdr:row>71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60" name="Spinner 122">
              <controlPr defaultSize="0" autoPict="0">
                <anchor moveWithCells="1" sizeWithCells="1">
                  <from>
                    <xdr:col>9</xdr:col>
                    <xdr:colOff>47625</xdr:colOff>
                    <xdr:row>70</xdr:row>
                    <xdr:rowOff>19050</xdr:rowOff>
                  </from>
                  <to>
                    <xdr:col>9</xdr:col>
                    <xdr:colOff>428625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61" name="Spinner 123">
              <controlPr defaultSize="0" autoPict="0">
                <anchor moveWithCells="1" sizeWithCells="1">
                  <from>
                    <xdr:col>9</xdr:col>
                    <xdr:colOff>47625</xdr:colOff>
                    <xdr:row>69</xdr:row>
                    <xdr:rowOff>19050</xdr:rowOff>
                  </from>
                  <to>
                    <xdr:col>9</xdr:col>
                    <xdr:colOff>438150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62" name="Spinner 124">
              <controlPr defaultSize="0" autoPict="0">
                <anchor moveWithCells="1" sizeWithCells="1">
                  <from>
                    <xdr:col>9</xdr:col>
                    <xdr:colOff>47625</xdr:colOff>
                    <xdr:row>68</xdr:row>
                    <xdr:rowOff>19050</xdr:rowOff>
                  </from>
                  <to>
                    <xdr:col>9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63" name="Spinner 125">
              <controlPr defaultSize="0" autoPict="0">
                <anchor moveWithCells="1" sizeWithCells="1">
                  <from>
                    <xdr:col>9</xdr:col>
                    <xdr:colOff>47625</xdr:colOff>
                    <xdr:row>67</xdr:row>
                    <xdr:rowOff>19050</xdr:rowOff>
                  </from>
                  <to>
                    <xdr:col>9</xdr:col>
                    <xdr:colOff>438150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64" name="Spinner 126">
              <controlPr defaultSize="0" autoPict="0">
                <anchor moveWithCells="1" sizeWithCells="1">
                  <from>
                    <xdr:col>9</xdr:col>
                    <xdr:colOff>47625</xdr:colOff>
                    <xdr:row>66</xdr:row>
                    <xdr:rowOff>19050</xdr:rowOff>
                  </from>
                  <to>
                    <xdr:col>9</xdr:col>
                    <xdr:colOff>428625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65" name="Spinner 127">
              <controlPr defaultSize="0" autoPict="0">
                <anchor moveWithCells="1" sizeWithCells="1">
                  <from>
                    <xdr:col>9</xdr:col>
                    <xdr:colOff>47625</xdr:colOff>
                    <xdr:row>65</xdr:row>
                    <xdr:rowOff>19050</xdr:rowOff>
                  </from>
                  <to>
                    <xdr:col>9</xdr:col>
                    <xdr:colOff>438150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66" name="Spinner 128">
              <controlPr defaultSize="0" autoPict="0">
                <anchor moveWithCells="1" sizeWithCells="1">
                  <from>
                    <xdr:col>9</xdr:col>
                    <xdr:colOff>47625</xdr:colOff>
                    <xdr:row>64</xdr:row>
                    <xdr:rowOff>19050</xdr:rowOff>
                  </from>
                  <to>
                    <xdr:col>9</xdr:col>
                    <xdr:colOff>447675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67" name="Spinner 129">
              <controlPr defaultSize="0" autoPict="0">
                <anchor moveWithCells="1" sizeWithCells="1">
                  <from>
                    <xdr:col>13</xdr:col>
                    <xdr:colOff>38100</xdr:colOff>
                    <xdr:row>71</xdr:row>
                    <xdr:rowOff>19050</xdr:rowOff>
                  </from>
                  <to>
                    <xdr:col>13</xdr:col>
                    <xdr:colOff>428625</xdr:colOff>
                    <xdr:row>71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68" name="Spinner 130">
              <controlPr defaultSize="0" autoPict="0">
                <anchor moveWithCells="1" sizeWithCells="1">
                  <from>
                    <xdr:col>13</xdr:col>
                    <xdr:colOff>47625</xdr:colOff>
                    <xdr:row>70</xdr:row>
                    <xdr:rowOff>19050</xdr:rowOff>
                  </from>
                  <to>
                    <xdr:col>13</xdr:col>
                    <xdr:colOff>428625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5" r:id="rId69" name="Spinner 131">
              <controlPr defaultSize="0" autoPict="0">
                <anchor moveWithCells="1" sizeWithCells="1">
                  <from>
                    <xdr:col>13</xdr:col>
                    <xdr:colOff>47625</xdr:colOff>
                    <xdr:row>69</xdr:row>
                    <xdr:rowOff>19050</xdr:rowOff>
                  </from>
                  <to>
                    <xdr:col>13</xdr:col>
                    <xdr:colOff>438150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6" r:id="rId70" name="Spinner 132">
              <controlPr defaultSize="0" autoPict="0">
                <anchor moveWithCells="1" sizeWithCells="1">
                  <from>
                    <xdr:col>13</xdr:col>
                    <xdr:colOff>47625</xdr:colOff>
                    <xdr:row>68</xdr:row>
                    <xdr:rowOff>19050</xdr:rowOff>
                  </from>
                  <to>
                    <xdr:col>13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7" r:id="rId71" name="Spinner 133">
              <controlPr defaultSize="0" autoPict="0">
                <anchor moveWithCells="1" sizeWithCells="1">
                  <from>
                    <xdr:col>13</xdr:col>
                    <xdr:colOff>47625</xdr:colOff>
                    <xdr:row>67</xdr:row>
                    <xdr:rowOff>19050</xdr:rowOff>
                  </from>
                  <to>
                    <xdr:col>13</xdr:col>
                    <xdr:colOff>438150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8" r:id="rId72" name="Spinner 134">
              <controlPr defaultSize="0" autoPict="0">
                <anchor moveWithCells="1" sizeWithCells="1">
                  <from>
                    <xdr:col>13</xdr:col>
                    <xdr:colOff>47625</xdr:colOff>
                    <xdr:row>66</xdr:row>
                    <xdr:rowOff>19050</xdr:rowOff>
                  </from>
                  <to>
                    <xdr:col>13</xdr:col>
                    <xdr:colOff>428625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9" r:id="rId73" name="Spinner 135">
              <controlPr defaultSize="0" autoPict="0">
                <anchor moveWithCells="1" sizeWithCells="1">
                  <from>
                    <xdr:col>13</xdr:col>
                    <xdr:colOff>47625</xdr:colOff>
                    <xdr:row>65</xdr:row>
                    <xdr:rowOff>19050</xdr:rowOff>
                  </from>
                  <to>
                    <xdr:col>13</xdr:col>
                    <xdr:colOff>438150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0" r:id="rId74" name="Spinner 136">
              <controlPr defaultSize="0" autoPict="0">
                <anchor moveWithCells="1" sizeWithCells="1">
                  <from>
                    <xdr:col>13</xdr:col>
                    <xdr:colOff>47625</xdr:colOff>
                    <xdr:row>64</xdr:row>
                    <xdr:rowOff>19050</xdr:rowOff>
                  </from>
                  <to>
                    <xdr:col>13</xdr:col>
                    <xdr:colOff>447675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1" r:id="rId75" name="Spinner 137">
              <controlPr defaultSize="0" autoPict="0">
                <anchor moveWithCells="1" sizeWithCells="1">
                  <from>
                    <xdr:col>5</xdr:col>
                    <xdr:colOff>19050</xdr:colOff>
                    <xdr:row>94</xdr:row>
                    <xdr:rowOff>19050</xdr:rowOff>
                  </from>
                  <to>
                    <xdr:col>5</xdr:col>
                    <xdr:colOff>438150</xdr:colOff>
                    <xdr:row>94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2" r:id="rId76" name="Spinner 138">
              <controlPr defaultSize="0" autoPict="0">
                <anchor moveWithCells="1" sizeWithCells="1">
                  <from>
                    <xdr:col>5</xdr:col>
                    <xdr:colOff>28575</xdr:colOff>
                    <xdr:row>95</xdr:row>
                    <xdr:rowOff>28575</xdr:rowOff>
                  </from>
                  <to>
                    <xdr:col>5</xdr:col>
                    <xdr:colOff>447675</xdr:colOff>
                    <xdr:row>95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3" r:id="rId77" name="Spinner 139">
              <controlPr defaultSize="0" autoPict="0">
                <anchor moveWithCells="1" sizeWithCells="1">
                  <from>
                    <xdr:col>5</xdr:col>
                    <xdr:colOff>38100</xdr:colOff>
                    <xdr:row>96</xdr:row>
                    <xdr:rowOff>47625</xdr:rowOff>
                  </from>
                  <to>
                    <xdr:col>5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4" r:id="rId78" name="Spinner 140">
              <controlPr defaultSize="0" autoPict="0">
                <anchor moveWithCells="1" sizeWithCells="1">
                  <from>
                    <xdr:col>5</xdr:col>
                    <xdr:colOff>38100</xdr:colOff>
                    <xdr:row>97</xdr:row>
                    <xdr:rowOff>47625</xdr:rowOff>
                  </from>
                  <to>
                    <xdr:col>5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6" r:id="rId79" name="Spinner 142">
              <controlPr defaultSize="0" autoPict="0">
                <anchor moveWithCells="1" sizeWithCells="1">
                  <from>
                    <xdr:col>5</xdr:col>
                    <xdr:colOff>38100</xdr:colOff>
                    <xdr:row>98</xdr:row>
                    <xdr:rowOff>47625</xdr:rowOff>
                  </from>
                  <to>
                    <xdr:col>5</xdr:col>
                    <xdr:colOff>447675</xdr:colOff>
                    <xdr:row>98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80" name="Spinner 143">
              <controlPr defaultSize="0" autoPict="0">
                <anchor moveWithCells="1" sizeWithCells="1">
                  <from>
                    <xdr:col>5</xdr:col>
                    <xdr:colOff>38100</xdr:colOff>
                    <xdr:row>99</xdr:row>
                    <xdr:rowOff>47625</xdr:rowOff>
                  </from>
                  <to>
                    <xdr:col>5</xdr:col>
                    <xdr:colOff>447675</xdr:colOff>
                    <xdr:row>99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81" name="Spinner 144">
              <controlPr defaultSize="0" autoPict="0">
                <anchor moveWithCells="1" sizeWithCells="1">
                  <from>
                    <xdr:col>5</xdr:col>
                    <xdr:colOff>38100</xdr:colOff>
                    <xdr:row>100</xdr:row>
                    <xdr:rowOff>19050</xdr:rowOff>
                  </from>
                  <to>
                    <xdr:col>5</xdr:col>
                    <xdr:colOff>457200</xdr:colOff>
                    <xdr:row>100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82" name="Spinner 145">
              <controlPr defaultSize="0" autoPict="0">
                <anchor moveWithCells="1" sizeWithCells="1">
                  <from>
                    <xdr:col>5</xdr:col>
                    <xdr:colOff>19050</xdr:colOff>
                    <xdr:row>101</xdr:row>
                    <xdr:rowOff>19050</xdr:rowOff>
                  </from>
                  <to>
                    <xdr:col>5</xdr:col>
                    <xdr:colOff>438150</xdr:colOff>
                    <xdr:row>101</xdr:row>
                    <xdr:rowOff>809625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83" name="Spinner 146">
              <controlPr defaultSize="0" autoPict="0">
                <anchor moveWithCells="1" sizeWithCells="1">
                  <from>
                    <xdr:col>9</xdr:col>
                    <xdr:colOff>38100</xdr:colOff>
                    <xdr:row>94</xdr:row>
                    <xdr:rowOff>47625</xdr:rowOff>
                  </from>
                  <to>
                    <xdr:col>9</xdr:col>
                    <xdr:colOff>447675</xdr:colOff>
                    <xdr:row>94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84" name="Spinner 147">
              <controlPr defaultSize="0" autoPict="0">
                <anchor moveWithCells="1" sizeWithCells="1">
                  <from>
                    <xdr:col>9</xdr:col>
                    <xdr:colOff>38100</xdr:colOff>
                    <xdr:row>95</xdr:row>
                    <xdr:rowOff>47625</xdr:rowOff>
                  </from>
                  <to>
                    <xdr:col>9</xdr:col>
                    <xdr:colOff>447675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85" name="Spinner 148">
              <controlPr defaultSize="0" autoPict="0">
                <anchor moveWithCells="1" sizeWithCells="1">
                  <from>
                    <xdr:col>9</xdr:col>
                    <xdr:colOff>38100</xdr:colOff>
                    <xdr:row>96</xdr:row>
                    <xdr:rowOff>47625</xdr:rowOff>
                  </from>
                  <to>
                    <xdr:col>9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86" name="Spinner 149">
              <controlPr defaultSize="0" autoPict="0">
                <anchor moveWithCells="1" sizeWithCells="1">
                  <from>
                    <xdr:col>9</xdr:col>
                    <xdr:colOff>38100</xdr:colOff>
                    <xdr:row>97</xdr:row>
                    <xdr:rowOff>47625</xdr:rowOff>
                  </from>
                  <to>
                    <xdr:col>9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87" name="Spinner 150">
              <controlPr defaultSize="0" autoPict="0">
                <anchor moveWithCells="1" sizeWithCells="1">
                  <from>
                    <xdr:col>9</xdr:col>
                    <xdr:colOff>38100</xdr:colOff>
                    <xdr:row>98</xdr:row>
                    <xdr:rowOff>47625</xdr:rowOff>
                  </from>
                  <to>
                    <xdr:col>9</xdr:col>
                    <xdr:colOff>447675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88" name="Spinner 151">
              <controlPr defaultSize="0" autoPict="0">
                <anchor moveWithCells="1" sizeWithCells="1">
                  <from>
                    <xdr:col>9</xdr:col>
                    <xdr:colOff>38100</xdr:colOff>
                    <xdr:row>99</xdr:row>
                    <xdr:rowOff>47625</xdr:rowOff>
                  </from>
                  <to>
                    <xdr:col>9</xdr:col>
                    <xdr:colOff>447675</xdr:colOff>
                    <xdr:row>99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89" name="Spinner 152">
              <controlPr defaultSize="0" autoPict="0">
                <anchor moveWithCells="1" sizeWithCells="1">
                  <from>
                    <xdr:col>9</xdr:col>
                    <xdr:colOff>38100</xdr:colOff>
                    <xdr:row>100</xdr:row>
                    <xdr:rowOff>47625</xdr:rowOff>
                  </from>
                  <to>
                    <xdr:col>9</xdr:col>
                    <xdr:colOff>447675</xdr:colOff>
                    <xdr:row>100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90" name="Spinner 154">
              <controlPr defaultSize="0" autoPict="0">
                <anchor moveWithCells="1" sizeWithCells="1">
                  <from>
                    <xdr:col>9</xdr:col>
                    <xdr:colOff>38100</xdr:colOff>
                    <xdr:row>101</xdr:row>
                    <xdr:rowOff>47625</xdr:rowOff>
                  </from>
                  <to>
                    <xdr:col>9</xdr:col>
                    <xdr:colOff>447675</xdr:colOff>
                    <xdr:row>101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91" name="Spinner 155">
              <controlPr defaultSize="0" autoPict="0">
                <anchor moveWithCells="1" sizeWithCells="1">
                  <from>
                    <xdr:col>13</xdr:col>
                    <xdr:colOff>38100</xdr:colOff>
                    <xdr:row>94</xdr:row>
                    <xdr:rowOff>47625</xdr:rowOff>
                  </from>
                  <to>
                    <xdr:col>13</xdr:col>
                    <xdr:colOff>447675</xdr:colOff>
                    <xdr:row>94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92" name="Spinner 156">
              <controlPr defaultSize="0" autoPict="0">
                <anchor moveWithCells="1" sizeWithCells="1">
                  <from>
                    <xdr:col>13</xdr:col>
                    <xdr:colOff>38100</xdr:colOff>
                    <xdr:row>95</xdr:row>
                    <xdr:rowOff>47625</xdr:rowOff>
                  </from>
                  <to>
                    <xdr:col>13</xdr:col>
                    <xdr:colOff>447675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93" name="Spinner 157">
              <controlPr defaultSize="0" autoPict="0">
                <anchor moveWithCells="1" sizeWithCells="1">
                  <from>
                    <xdr:col>13</xdr:col>
                    <xdr:colOff>38100</xdr:colOff>
                    <xdr:row>96</xdr:row>
                    <xdr:rowOff>47625</xdr:rowOff>
                  </from>
                  <to>
                    <xdr:col>13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94" name="Spinner 158">
              <controlPr defaultSize="0" autoPict="0">
                <anchor moveWithCells="1" sizeWithCells="1">
                  <from>
                    <xdr:col>13</xdr:col>
                    <xdr:colOff>38100</xdr:colOff>
                    <xdr:row>97</xdr:row>
                    <xdr:rowOff>47625</xdr:rowOff>
                  </from>
                  <to>
                    <xdr:col>13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95" name="Spinner 159">
              <controlPr defaultSize="0" autoPict="0">
                <anchor moveWithCells="1" sizeWithCells="1">
                  <from>
                    <xdr:col>13</xdr:col>
                    <xdr:colOff>38100</xdr:colOff>
                    <xdr:row>98</xdr:row>
                    <xdr:rowOff>47625</xdr:rowOff>
                  </from>
                  <to>
                    <xdr:col>13</xdr:col>
                    <xdr:colOff>447675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96" name="Spinner 160">
              <controlPr defaultSize="0" autoPict="0">
                <anchor moveWithCells="1" sizeWithCells="1">
                  <from>
                    <xdr:col>13</xdr:col>
                    <xdr:colOff>38100</xdr:colOff>
                    <xdr:row>99</xdr:row>
                    <xdr:rowOff>47625</xdr:rowOff>
                  </from>
                  <to>
                    <xdr:col>13</xdr:col>
                    <xdr:colOff>447675</xdr:colOff>
                    <xdr:row>99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97" name="Spinner 161">
              <controlPr defaultSize="0" autoPict="0">
                <anchor moveWithCells="1" sizeWithCells="1">
                  <from>
                    <xdr:col>13</xdr:col>
                    <xdr:colOff>38100</xdr:colOff>
                    <xdr:row>100</xdr:row>
                    <xdr:rowOff>47625</xdr:rowOff>
                  </from>
                  <to>
                    <xdr:col>13</xdr:col>
                    <xdr:colOff>447675</xdr:colOff>
                    <xdr:row>100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98" name="Spinner 162">
              <controlPr defaultSize="0" autoPict="0">
                <anchor moveWithCells="1" sizeWithCells="1">
                  <from>
                    <xdr:col>13</xdr:col>
                    <xdr:colOff>38100</xdr:colOff>
                    <xdr:row>101</xdr:row>
                    <xdr:rowOff>47625</xdr:rowOff>
                  </from>
                  <to>
                    <xdr:col>13</xdr:col>
                    <xdr:colOff>447675</xdr:colOff>
                    <xdr:row>101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99" name="Spinner 163">
              <controlPr defaultSize="0" autoPict="0">
                <anchor moveWithCells="1" sizeWithCells="1">
                  <from>
                    <xdr:col>18</xdr:col>
                    <xdr:colOff>66675</xdr:colOff>
                    <xdr:row>4</xdr:row>
                    <xdr:rowOff>19050</xdr:rowOff>
                  </from>
                  <to>
                    <xdr:col>18</xdr:col>
                    <xdr:colOff>876300</xdr:colOff>
                    <xdr:row>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100" name="Spinner 164">
              <controlPr defaultSize="0" autoPict="0">
                <anchor moveWithCells="1" sizeWithCells="1">
                  <from>
                    <xdr:col>18</xdr:col>
                    <xdr:colOff>66675</xdr:colOff>
                    <xdr:row>5</xdr:row>
                    <xdr:rowOff>19050</xdr:rowOff>
                  </from>
                  <to>
                    <xdr:col>18</xdr:col>
                    <xdr:colOff>876300</xdr:colOff>
                    <xdr:row>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101" name="Spinner 165">
              <controlPr defaultSize="0" autoPict="0">
                <anchor moveWithCells="1" sizeWithCells="1">
                  <from>
                    <xdr:col>18</xdr:col>
                    <xdr:colOff>66675</xdr:colOff>
                    <xdr:row>6</xdr:row>
                    <xdr:rowOff>19050</xdr:rowOff>
                  </from>
                  <to>
                    <xdr:col>18</xdr:col>
                    <xdr:colOff>876300</xdr:colOff>
                    <xdr:row>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102" name="Spinner 166">
              <controlPr defaultSize="0" autoPict="0">
                <anchor moveWithCells="1" sizeWithCells="1">
                  <from>
                    <xdr:col>18</xdr:col>
                    <xdr:colOff>66675</xdr:colOff>
                    <xdr:row>34</xdr:row>
                    <xdr:rowOff>19050</xdr:rowOff>
                  </from>
                  <to>
                    <xdr:col>18</xdr:col>
                    <xdr:colOff>876300</xdr:colOff>
                    <xdr:row>34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103" name="Spinner 167">
              <controlPr defaultSize="0" autoPict="0">
                <anchor moveWithCells="1" sizeWithCells="1">
                  <from>
                    <xdr:col>18</xdr:col>
                    <xdr:colOff>66675</xdr:colOff>
                    <xdr:row>35</xdr:row>
                    <xdr:rowOff>19050</xdr:rowOff>
                  </from>
                  <to>
                    <xdr:col>18</xdr:col>
                    <xdr:colOff>876300</xdr:colOff>
                    <xdr:row>35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104" name="Spinner 168">
              <controlPr defaultSize="0" autoPict="0">
                <anchor moveWithCells="1" sizeWithCells="1">
                  <from>
                    <xdr:col>18</xdr:col>
                    <xdr:colOff>38100</xdr:colOff>
                    <xdr:row>36</xdr:row>
                    <xdr:rowOff>28575</xdr:rowOff>
                  </from>
                  <to>
                    <xdr:col>18</xdr:col>
                    <xdr:colOff>847725</xdr:colOff>
                    <xdr:row>36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105" name="Spinner 170">
              <controlPr defaultSize="0" autoPict="0">
                <anchor moveWithCells="1" sizeWithCells="1">
                  <from>
                    <xdr:col>18</xdr:col>
                    <xdr:colOff>76200</xdr:colOff>
                    <xdr:row>9</xdr:row>
                    <xdr:rowOff>19050</xdr:rowOff>
                  </from>
                  <to>
                    <xdr:col>19</xdr:col>
                    <xdr:colOff>0</xdr:colOff>
                    <xdr:row>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106" name="Spinner 171">
              <controlPr defaultSize="0" autoPict="0">
                <anchor moveWithCells="1" sizeWithCells="1">
                  <from>
                    <xdr:col>18</xdr:col>
                    <xdr:colOff>38100</xdr:colOff>
                    <xdr:row>40</xdr:row>
                    <xdr:rowOff>28575</xdr:rowOff>
                  </from>
                  <to>
                    <xdr:col>18</xdr:col>
                    <xdr:colOff>847725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107" name="Spinner 173">
              <controlPr defaultSize="0" autoPict="0">
                <anchor moveWithCells="1" sizeWithCells="1">
                  <from>
                    <xdr:col>18</xdr:col>
                    <xdr:colOff>28575</xdr:colOff>
                    <xdr:row>64</xdr:row>
                    <xdr:rowOff>28575</xdr:rowOff>
                  </from>
                  <to>
                    <xdr:col>18</xdr:col>
                    <xdr:colOff>876300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108" name="Spinner 174">
              <controlPr defaultSize="0" autoPict="0">
                <anchor moveWithCells="1" sizeWithCells="1">
                  <from>
                    <xdr:col>18</xdr:col>
                    <xdr:colOff>19050</xdr:colOff>
                    <xdr:row>65</xdr:row>
                    <xdr:rowOff>19050</xdr:rowOff>
                  </from>
                  <to>
                    <xdr:col>18</xdr:col>
                    <xdr:colOff>866775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109" name="Spinner 176">
              <controlPr defaultSize="0" autoPict="0">
                <anchor moveWithCells="1" sizeWithCells="1">
                  <from>
                    <xdr:col>18</xdr:col>
                    <xdr:colOff>19050</xdr:colOff>
                    <xdr:row>66</xdr:row>
                    <xdr:rowOff>38100</xdr:rowOff>
                  </from>
                  <to>
                    <xdr:col>18</xdr:col>
                    <xdr:colOff>876300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110" name="Spinner 177">
              <controlPr defaultSize="0" autoPict="0">
                <anchor moveWithCells="1" sizeWithCells="1">
                  <from>
                    <xdr:col>18</xdr:col>
                    <xdr:colOff>38100</xdr:colOff>
                    <xdr:row>70</xdr:row>
                    <xdr:rowOff>28575</xdr:rowOff>
                  </from>
                  <to>
                    <xdr:col>19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111" name="Spinner 178">
              <controlPr defaultSize="0" autoPict="0">
                <anchor moveWithCells="1" sizeWithCells="1">
                  <from>
                    <xdr:col>18</xdr:col>
                    <xdr:colOff>28575</xdr:colOff>
                    <xdr:row>94</xdr:row>
                    <xdr:rowOff>28575</xdr:rowOff>
                  </from>
                  <to>
                    <xdr:col>19</xdr:col>
                    <xdr:colOff>0</xdr:colOff>
                    <xdr:row>94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112" name="Spinner 179">
              <controlPr defaultSize="0" autoPict="0">
                <anchor moveWithCells="1" sizeWithCells="1">
                  <from>
                    <xdr:col>18</xdr:col>
                    <xdr:colOff>19050</xdr:colOff>
                    <xdr:row>95</xdr:row>
                    <xdr:rowOff>19050</xdr:rowOff>
                  </from>
                  <to>
                    <xdr:col>19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113" name="Spinner 180">
              <controlPr defaultSize="0" autoPict="0">
                <anchor moveWithCells="1" sizeWithCells="1">
                  <from>
                    <xdr:col>18</xdr:col>
                    <xdr:colOff>19050</xdr:colOff>
                    <xdr:row>96</xdr:row>
                    <xdr:rowOff>38100</xdr:rowOff>
                  </from>
                  <to>
                    <xdr:col>19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114" name="Spinner 181">
              <controlPr defaultSize="0" autoPict="0">
                <anchor moveWithCells="1" sizeWithCells="1">
                  <from>
                    <xdr:col>18</xdr:col>
                    <xdr:colOff>38100</xdr:colOff>
                    <xdr:row>100</xdr:row>
                    <xdr:rowOff>28575</xdr:rowOff>
                  </from>
                  <to>
                    <xdr:col>19</xdr:col>
                    <xdr:colOff>0</xdr:colOff>
                    <xdr:row>100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115" name="Spinner 182">
              <controlPr defaultSize="0" autoPict="0">
                <anchor moveWithCells="1" sizeWithCells="1">
                  <from>
                    <xdr:col>5</xdr:col>
                    <xdr:colOff>9525</xdr:colOff>
                    <xdr:row>124</xdr:row>
                    <xdr:rowOff>0</xdr:rowOff>
                  </from>
                  <to>
                    <xdr:col>5</xdr:col>
                    <xdr:colOff>419100</xdr:colOff>
                    <xdr:row>124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116" name="Spinner 183">
              <controlPr defaultSize="0" autoPict="0">
                <anchor moveWithCells="1" sizeWithCells="1">
                  <from>
                    <xdr:col>5</xdr:col>
                    <xdr:colOff>19050</xdr:colOff>
                    <xdr:row>125</xdr:row>
                    <xdr:rowOff>9525</xdr:rowOff>
                  </from>
                  <to>
                    <xdr:col>5</xdr:col>
                    <xdr:colOff>419100</xdr:colOff>
                    <xdr:row>125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117" name="Spinner 185">
              <controlPr defaultSize="0" autoPict="0">
                <anchor moveWithCells="1" sizeWithCells="1">
                  <from>
                    <xdr:col>5</xdr:col>
                    <xdr:colOff>38100</xdr:colOff>
                    <xdr:row>126</xdr:row>
                    <xdr:rowOff>28575</xdr:rowOff>
                  </from>
                  <to>
                    <xdr:col>5</xdr:col>
                    <xdr:colOff>438150</xdr:colOff>
                    <xdr:row>126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118" name="Spinner 186">
              <controlPr defaultSize="0" autoPict="0">
                <anchor moveWithCells="1" sizeWithCells="1">
                  <from>
                    <xdr:col>5</xdr:col>
                    <xdr:colOff>19050</xdr:colOff>
                    <xdr:row>127</xdr:row>
                    <xdr:rowOff>19050</xdr:rowOff>
                  </from>
                  <to>
                    <xdr:col>5</xdr:col>
                    <xdr:colOff>447675</xdr:colOff>
                    <xdr:row>127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119" name="Spinner 187">
              <controlPr defaultSize="0" autoPict="0">
                <anchor moveWithCells="1" sizeWithCells="1">
                  <from>
                    <xdr:col>5</xdr:col>
                    <xdr:colOff>19050</xdr:colOff>
                    <xdr:row>128</xdr:row>
                    <xdr:rowOff>47625</xdr:rowOff>
                  </from>
                  <to>
                    <xdr:col>5</xdr:col>
                    <xdr:colOff>438150</xdr:colOff>
                    <xdr:row>128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120" name="Spinner 188">
              <controlPr defaultSize="0" autoPict="0">
                <anchor moveWithCells="1" sizeWithCells="1">
                  <from>
                    <xdr:col>5</xdr:col>
                    <xdr:colOff>38100</xdr:colOff>
                    <xdr:row>129</xdr:row>
                    <xdr:rowOff>38100</xdr:rowOff>
                  </from>
                  <to>
                    <xdr:col>5</xdr:col>
                    <xdr:colOff>457200</xdr:colOff>
                    <xdr:row>129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121" name="Spinner 189">
              <controlPr defaultSize="0" autoPict="0">
                <anchor moveWithCells="1" sizeWithCells="1">
                  <from>
                    <xdr:col>5</xdr:col>
                    <xdr:colOff>19050</xdr:colOff>
                    <xdr:row>130</xdr:row>
                    <xdr:rowOff>66675</xdr:rowOff>
                  </from>
                  <to>
                    <xdr:col>5</xdr:col>
                    <xdr:colOff>438150</xdr:colOff>
                    <xdr:row>130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122" name="Spinner 190">
              <controlPr defaultSize="0" autoPict="0">
                <anchor moveWithCells="1" sizeWithCells="1">
                  <from>
                    <xdr:col>5</xdr:col>
                    <xdr:colOff>28575</xdr:colOff>
                    <xdr:row>131</xdr:row>
                    <xdr:rowOff>38100</xdr:rowOff>
                  </from>
                  <to>
                    <xdr:col>5</xdr:col>
                    <xdr:colOff>447675</xdr:colOff>
                    <xdr:row>131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123" name="Spinner 199">
              <controlPr defaultSize="0" autoPict="0">
                <anchor moveWithCells="1" sizeWithCells="1">
                  <from>
                    <xdr:col>9</xdr:col>
                    <xdr:colOff>38100</xdr:colOff>
                    <xdr:row>124</xdr:row>
                    <xdr:rowOff>47625</xdr:rowOff>
                  </from>
                  <to>
                    <xdr:col>9</xdr:col>
                    <xdr:colOff>447675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124" name="Spinner 200">
              <controlPr defaultSize="0" autoPict="0">
                <anchor moveWithCells="1" sizeWithCells="1">
                  <from>
                    <xdr:col>9</xdr:col>
                    <xdr:colOff>38100</xdr:colOff>
                    <xdr:row>125</xdr:row>
                    <xdr:rowOff>57150</xdr:rowOff>
                  </from>
                  <to>
                    <xdr:col>9</xdr:col>
                    <xdr:colOff>457200</xdr:colOff>
                    <xdr:row>125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125" name="Spinner 201">
              <controlPr defaultSize="0" autoPict="0">
                <anchor moveWithCells="1" sizeWithCells="1">
                  <from>
                    <xdr:col>9</xdr:col>
                    <xdr:colOff>38100</xdr:colOff>
                    <xdr:row>126</xdr:row>
                    <xdr:rowOff>47625</xdr:rowOff>
                  </from>
                  <to>
                    <xdr:col>9</xdr:col>
                    <xdr:colOff>457200</xdr:colOff>
                    <xdr:row>126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126" name="Spinner 202">
              <controlPr defaultSize="0" autoPict="0">
                <anchor moveWithCells="1" sizeWithCells="1">
                  <from>
                    <xdr:col>9</xdr:col>
                    <xdr:colOff>28575</xdr:colOff>
                    <xdr:row>127</xdr:row>
                    <xdr:rowOff>47625</xdr:rowOff>
                  </from>
                  <to>
                    <xdr:col>9</xdr:col>
                    <xdr:colOff>447675</xdr:colOff>
                    <xdr:row>127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127" name="Spinner 203">
              <controlPr defaultSize="0" autoPict="0">
                <anchor moveWithCells="1" sizeWithCells="1">
                  <from>
                    <xdr:col>9</xdr:col>
                    <xdr:colOff>28575</xdr:colOff>
                    <xdr:row>128</xdr:row>
                    <xdr:rowOff>38100</xdr:rowOff>
                  </from>
                  <to>
                    <xdr:col>9</xdr:col>
                    <xdr:colOff>447675</xdr:colOff>
                    <xdr:row>128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128" name="Spinner 204">
              <controlPr defaultSize="0" autoPict="0">
                <anchor moveWithCells="1" sizeWithCells="1">
                  <from>
                    <xdr:col>9</xdr:col>
                    <xdr:colOff>28575</xdr:colOff>
                    <xdr:row>129</xdr:row>
                    <xdr:rowOff>38100</xdr:rowOff>
                  </from>
                  <to>
                    <xdr:col>9</xdr:col>
                    <xdr:colOff>447675</xdr:colOff>
                    <xdr:row>129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129" name="Spinner 205">
              <controlPr defaultSize="0" autoPict="0">
                <anchor moveWithCells="1" sizeWithCells="1">
                  <from>
                    <xdr:col>9</xdr:col>
                    <xdr:colOff>38100</xdr:colOff>
                    <xdr:row>130</xdr:row>
                    <xdr:rowOff>47625</xdr:rowOff>
                  </from>
                  <to>
                    <xdr:col>9</xdr:col>
                    <xdr:colOff>457200</xdr:colOff>
                    <xdr:row>130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130" name="Spinner 206">
              <controlPr defaultSize="0" autoPict="0">
                <anchor moveWithCells="1" sizeWithCells="1">
                  <from>
                    <xdr:col>9</xdr:col>
                    <xdr:colOff>38100</xdr:colOff>
                    <xdr:row>131</xdr:row>
                    <xdr:rowOff>66675</xdr:rowOff>
                  </from>
                  <to>
                    <xdr:col>9</xdr:col>
                    <xdr:colOff>457200</xdr:colOff>
                    <xdr:row>131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131" name="Spinner 207">
              <controlPr defaultSize="0" autoPict="0">
                <anchor moveWithCells="1" sizeWithCells="1">
                  <from>
                    <xdr:col>13</xdr:col>
                    <xdr:colOff>38100</xdr:colOff>
                    <xdr:row>124</xdr:row>
                    <xdr:rowOff>47625</xdr:rowOff>
                  </from>
                  <to>
                    <xdr:col>13</xdr:col>
                    <xdr:colOff>447675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132" name="Spinner 208">
              <controlPr defaultSize="0" autoPict="0">
                <anchor moveWithCells="1" sizeWithCells="1">
                  <from>
                    <xdr:col>13</xdr:col>
                    <xdr:colOff>38100</xdr:colOff>
                    <xdr:row>125</xdr:row>
                    <xdr:rowOff>57150</xdr:rowOff>
                  </from>
                  <to>
                    <xdr:col>13</xdr:col>
                    <xdr:colOff>457200</xdr:colOff>
                    <xdr:row>125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133" name="Spinner 209">
              <controlPr defaultSize="0" autoPict="0">
                <anchor moveWithCells="1" sizeWithCells="1">
                  <from>
                    <xdr:col>13</xdr:col>
                    <xdr:colOff>47625</xdr:colOff>
                    <xdr:row>126</xdr:row>
                    <xdr:rowOff>57150</xdr:rowOff>
                  </from>
                  <to>
                    <xdr:col>13</xdr:col>
                    <xdr:colOff>466725</xdr:colOff>
                    <xdr:row>126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134" name="Spinner 210">
              <controlPr defaultSize="0" autoPict="0">
                <anchor moveWithCells="1" sizeWithCells="1">
                  <from>
                    <xdr:col>13</xdr:col>
                    <xdr:colOff>47625</xdr:colOff>
                    <xdr:row>127</xdr:row>
                    <xdr:rowOff>57150</xdr:rowOff>
                  </from>
                  <to>
                    <xdr:col>13</xdr:col>
                    <xdr:colOff>466725</xdr:colOff>
                    <xdr:row>127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135" name="Spinner 211">
              <controlPr defaultSize="0" autoPict="0">
                <anchor moveWithCells="1" sizeWithCells="1">
                  <from>
                    <xdr:col>13</xdr:col>
                    <xdr:colOff>47625</xdr:colOff>
                    <xdr:row>128</xdr:row>
                    <xdr:rowOff>47625</xdr:rowOff>
                  </from>
                  <to>
                    <xdr:col>13</xdr:col>
                    <xdr:colOff>466725</xdr:colOff>
                    <xdr:row>128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136" name="Spinner 212">
              <controlPr defaultSize="0" autoPict="0">
                <anchor moveWithCells="1" sizeWithCells="1">
                  <from>
                    <xdr:col>13</xdr:col>
                    <xdr:colOff>47625</xdr:colOff>
                    <xdr:row>129</xdr:row>
                    <xdr:rowOff>66675</xdr:rowOff>
                  </from>
                  <to>
                    <xdr:col>13</xdr:col>
                    <xdr:colOff>466725</xdr:colOff>
                    <xdr:row>129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137" name="Spinner 213">
              <controlPr defaultSize="0" autoPict="0">
                <anchor moveWithCells="1" sizeWithCells="1">
                  <from>
                    <xdr:col>13</xdr:col>
                    <xdr:colOff>57150</xdr:colOff>
                    <xdr:row>130</xdr:row>
                    <xdr:rowOff>66675</xdr:rowOff>
                  </from>
                  <to>
                    <xdr:col>13</xdr:col>
                    <xdr:colOff>476250</xdr:colOff>
                    <xdr:row>130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138" name="Spinner 214">
              <controlPr defaultSize="0" autoPict="0">
                <anchor moveWithCells="1" sizeWithCells="1">
                  <from>
                    <xdr:col>13</xdr:col>
                    <xdr:colOff>38100</xdr:colOff>
                    <xdr:row>131</xdr:row>
                    <xdr:rowOff>66675</xdr:rowOff>
                  </from>
                  <to>
                    <xdr:col>13</xdr:col>
                    <xdr:colOff>457200</xdr:colOff>
                    <xdr:row>131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139" name="Spinner 219">
              <controlPr defaultSize="0" autoPict="0">
                <anchor moveWithCells="1" sizeWithCells="1">
                  <from>
                    <xdr:col>18</xdr:col>
                    <xdr:colOff>28575</xdr:colOff>
                    <xdr:row>124</xdr:row>
                    <xdr:rowOff>28575</xdr:rowOff>
                  </from>
                  <to>
                    <xdr:col>19</xdr:col>
                    <xdr:colOff>0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140" name="Spinner 220">
              <controlPr defaultSize="0" autoPict="0">
                <anchor moveWithCells="1" sizeWithCells="1">
                  <from>
                    <xdr:col>18</xdr:col>
                    <xdr:colOff>19050</xdr:colOff>
                    <xdr:row>125</xdr:row>
                    <xdr:rowOff>38100</xdr:rowOff>
                  </from>
                  <to>
                    <xdr:col>19</xdr:col>
                    <xdr:colOff>0</xdr:colOff>
                    <xdr:row>125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141" name="Spinner 221">
              <controlPr defaultSize="0" autoPict="0">
                <anchor moveWithCells="1" sizeWithCells="1">
                  <from>
                    <xdr:col>18</xdr:col>
                    <xdr:colOff>19050</xdr:colOff>
                    <xdr:row>126</xdr:row>
                    <xdr:rowOff>0</xdr:rowOff>
                  </from>
                  <to>
                    <xdr:col>19</xdr:col>
                    <xdr:colOff>0</xdr:colOff>
                    <xdr:row>126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142" name="Spinner 222">
              <controlPr defaultSize="0" autoPict="0">
                <anchor moveWithCells="1" sizeWithCells="1">
                  <from>
                    <xdr:col>18</xdr:col>
                    <xdr:colOff>38100</xdr:colOff>
                    <xdr:row>130</xdr:row>
                    <xdr:rowOff>38100</xdr:rowOff>
                  </from>
                  <to>
                    <xdr:col>18</xdr:col>
                    <xdr:colOff>781050</xdr:colOff>
                    <xdr:row>130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143" name="Spinner 223">
              <controlPr defaultSize="0" autoPict="0">
                <anchor moveWithCells="1" sizeWithCells="1">
                  <from>
                    <xdr:col>18</xdr:col>
                    <xdr:colOff>28575</xdr:colOff>
                    <xdr:row>160</xdr:row>
                    <xdr:rowOff>38100</xdr:rowOff>
                  </from>
                  <to>
                    <xdr:col>18</xdr:col>
                    <xdr:colOff>781050</xdr:colOff>
                    <xdr:row>160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144" name="Spinner 224">
              <controlPr defaultSize="0" autoPict="0">
                <anchor moveWithCells="1" sizeWithCells="1">
                  <from>
                    <xdr:col>5</xdr:col>
                    <xdr:colOff>47625</xdr:colOff>
                    <xdr:row>190</xdr:row>
                    <xdr:rowOff>76200</xdr:rowOff>
                  </from>
                  <to>
                    <xdr:col>5</xdr:col>
                    <xdr:colOff>447675</xdr:colOff>
                    <xdr:row>190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145" name="Spinner 225">
              <controlPr defaultSize="0" autoPict="0">
                <anchor moveWithCells="1" sizeWithCells="1">
                  <from>
                    <xdr:col>5</xdr:col>
                    <xdr:colOff>47625</xdr:colOff>
                    <xdr:row>189</xdr:row>
                    <xdr:rowOff>76200</xdr:rowOff>
                  </from>
                  <to>
                    <xdr:col>5</xdr:col>
                    <xdr:colOff>428625</xdr:colOff>
                    <xdr:row>189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146" name="Spinner 226">
              <controlPr defaultSize="0" autoPict="0">
                <anchor moveWithCells="1" sizeWithCells="1">
                  <from>
                    <xdr:col>5</xdr:col>
                    <xdr:colOff>38100</xdr:colOff>
                    <xdr:row>188</xdr:row>
                    <xdr:rowOff>66675</xdr:rowOff>
                  </from>
                  <to>
                    <xdr:col>5</xdr:col>
                    <xdr:colOff>438150</xdr:colOff>
                    <xdr:row>188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147" name="Spinner 227">
              <controlPr defaultSize="0" autoPict="0">
                <anchor moveWithCells="1" sizeWithCells="1">
                  <from>
                    <xdr:col>5</xdr:col>
                    <xdr:colOff>28575</xdr:colOff>
                    <xdr:row>187</xdr:row>
                    <xdr:rowOff>66675</xdr:rowOff>
                  </from>
                  <to>
                    <xdr:col>5</xdr:col>
                    <xdr:colOff>428625</xdr:colOff>
                    <xdr:row>187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148" name="Spinner 228">
              <controlPr defaultSize="0" autoPict="0">
                <anchor moveWithCells="1" sizeWithCells="1">
                  <from>
                    <xdr:col>5</xdr:col>
                    <xdr:colOff>47625</xdr:colOff>
                    <xdr:row>186</xdr:row>
                    <xdr:rowOff>47625</xdr:rowOff>
                  </from>
                  <to>
                    <xdr:col>5</xdr:col>
                    <xdr:colOff>447675</xdr:colOff>
                    <xdr:row>186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149" name="Spinner 229">
              <controlPr defaultSize="0" autoPict="0">
                <anchor moveWithCells="1" sizeWithCells="1">
                  <from>
                    <xdr:col>5</xdr:col>
                    <xdr:colOff>66675</xdr:colOff>
                    <xdr:row>185</xdr:row>
                    <xdr:rowOff>47625</xdr:rowOff>
                  </from>
                  <to>
                    <xdr:col>5</xdr:col>
                    <xdr:colOff>447675</xdr:colOff>
                    <xdr:row>185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150" name="Spinner 230">
              <controlPr defaultSize="0" autoPict="0">
                <anchor moveWithCells="1" sizeWithCells="1">
                  <from>
                    <xdr:col>5</xdr:col>
                    <xdr:colOff>47625</xdr:colOff>
                    <xdr:row>184</xdr:row>
                    <xdr:rowOff>57150</xdr:rowOff>
                  </from>
                  <to>
                    <xdr:col>5</xdr:col>
                    <xdr:colOff>447675</xdr:colOff>
                    <xdr:row>184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151" name="Spinner 231">
              <controlPr defaultSize="0" autoPict="0">
                <anchor moveWithCells="1" sizeWithCells="1">
                  <from>
                    <xdr:col>5</xdr:col>
                    <xdr:colOff>38100</xdr:colOff>
                    <xdr:row>183</xdr:row>
                    <xdr:rowOff>19050</xdr:rowOff>
                  </from>
                  <to>
                    <xdr:col>5</xdr:col>
                    <xdr:colOff>438150</xdr:colOff>
                    <xdr:row>183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152" name="Spinner 232">
              <controlPr defaultSize="0" autoPict="0">
                <anchor moveWithCells="1" sizeWithCells="1">
                  <from>
                    <xdr:col>9</xdr:col>
                    <xdr:colOff>19050</xdr:colOff>
                    <xdr:row>183</xdr:row>
                    <xdr:rowOff>0</xdr:rowOff>
                  </from>
                  <to>
                    <xdr:col>9</xdr:col>
                    <xdr:colOff>438150</xdr:colOff>
                    <xdr:row>183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153" name="Spinner 233">
              <controlPr defaultSize="0" autoPict="0">
                <anchor moveWithCells="1" sizeWithCells="1">
                  <from>
                    <xdr:col>9</xdr:col>
                    <xdr:colOff>28575</xdr:colOff>
                    <xdr:row>184</xdr:row>
                    <xdr:rowOff>9525</xdr:rowOff>
                  </from>
                  <to>
                    <xdr:col>9</xdr:col>
                    <xdr:colOff>447675</xdr:colOff>
                    <xdr:row>184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154" name="Spinner 234">
              <controlPr defaultSize="0" autoPict="0">
                <anchor moveWithCells="1" sizeWithCells="1">
                  <from>
                    <xdr:col>9</xdr:col>
                    <xdr:colOff>28575</xdr:colOff>
                    <xdr:row>185</xdr:row>
                    <xdr:rowOff>9525</xdr:rowOff>
                  </from>
                  <to>
                    <xdr:col>9</xdr:col>
                    <xdr:colOff>447675</xdr:colOff>
                    <xdr:row>185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155" name="Spinner 235">
              <controlPr defaultSize="0" autoPict="0">
                <anchor moveWithCells="1" sizeWithCells="1">
                  <from>
                    <xdr:col>9</xdr:col>
                    <xdr:colOff>47625</xdr:colOff>
                    <xdr:row>186</xdr:row>
                    <xdr:rowOff>28575</xdr:rowOff>
                  </from>
                  <to>
                    <xdr:col>9</xdr:col>
                    <xdr:colOff>466725</xdr:colOff>
                    <xdr:row>186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156" name="Spinner 236">
              <controlPr defaultSize="0" autoPict="0">
                <anchor moveWithCells="1" sizeWithCells="1">
                  <from>
                    <xdr:col>9</xdr:col>
                    <xdr:colOff>47625</xdr:colOff>
                    <xdr:row>187</xdr:row>
                    <xdr:rowOff>19050</xdr:rowOff>
                  </from>
                  <to>
                    <xdr:col>9</xdr:col>
                    <xdr:colOff>466725</xdr:colOff>
                    <xdr:row>187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157" name="Spinner 237">
              <controlPr defaultSize="0" autoPict="0">
                <anchor moveWithCells="1" sizeWithCells="1">
                  <from>
                    <xdr:col>9</xdr:col>
                    <xdr:colOff>28575</xdr:colOff>
                    <xdr:row>188</xdr:row>
                    <xdr:rowOff>19050</xdr:rowOff>
                  </from>
                  <to>
                    <xdr:col>9</xdr:col>
                    <xdr:colOff>447675</xdr:colOff>
                    <xdr:row>188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158" name="Spinner 238">
              <controlPr defaultSize="0" autoPict="0">
                <anchor moveWithCells="1" sizeWithCells="1">
                  <from>
                    <xdr:col>9</xdr:col>
                    <xdr:colOff>38100</xdr:colOff>
                    <xdr:row>189</xdr:row>
                    <xdr:rowOff>19050</xdr:rowOff>
                  </from>
                  <to>
                    <xdr:col>9</xdr:col>
                    <xdr:colOff>457200</xdr:colOff>
                    <xdr:row>189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59" name="Spinner 239">
              <controlPr defaultSize="0" autoPict="0">
                <anchor moveWithCells="1" sizeWithCells="1">
                  <from>
                    <xdr:col>9</xdr:col>
                    <xdr:colOff>28575</xdr:colOff>
                    <xdr:row>190</xdr:row>
                    <xdr:rowOff>28575</xdr:rowOff>
                  </from>
                  <to>
                    <xdr:col>9</xdr:col>
                    <xdr:colOff>447675</xdr:colOff>
                    <xdr:row>190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60" name="Spinner 248">
              <controlPr defaultSize="0" autoPict="0">
                <anchor moveWithCells="1" sizeWithCells="1">
                  <from>
                    <xdr:col>13</xdr:col>
                    <xdr:colOff>38100</xdr:colOff>
                    <xdr:row>183</xdr:row>
                    <xdr:rowOff>47625</xdr:rowOff>
                  </from>
                  <to>
                    <xdr:col>13</xdr:col>
                    <xdr:colOff>447675</xdr:colOff>
                    <xdr:row>183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61" name="Spinner 249">
              <controlPr defaultSize="0" autoPict="0">
                <anchor moveWithCells="1" sizeWithCells="1">
                  <from>
                    <xdr:col>13</xdr:col>
                    <xdr:colOff>57150</xdr:colOff>
                    <xdr:row>184</xdr:row>
                    <xdr:rowOff>19050</xdr:rowOff>
                  </from>
                  <to>
                    <xdr:col>13</xdr:col>
                    <xdr:colOff>476250</xdr:colOff>
                    <xdr:row>184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62" name="Spinner 250">
              <controlPr defaultSize="0" autoPict="0">
                <anchor moveWithCells="1" sizeWithCells="1">
                  <from>
                    <xdr:col>13</xdr:col>
                    <xdr:colOff>47625</xdr:colOff>
                    <xdr:row>185</xdr:row>
                    <xdr:rowOff>28575</xdr:rowOff>
                  </from>
                  <to>
                    <xdr:col>13</xdr:col>
                    <xdr:colOff>466725</xdr:colOff>
                    <xdr:row>185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63" name="Spinner 251">
              <controlPr defaultSize="0" autoPict="0">
                <anchor moveWithCells="1" sizeWithCells="1">
                  <from>
                    <xdr:col>13</xdr:col>
                    <xdr:colOff>38100</xdr:colOff>
                    <xdr:row>186</xdr:row>
                    <xdr:rowOff>28575</xdr:rowOff>
                  </from>
                  <to>
                    <xdr:col>13</xdr:col>
                    <xdr:colOff>457200</xdr:colOff>
                    <xdr:row>186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64" name="Spinner 252">
              <controlPr defaultSize="0" autoPict="0">
                <anchor moveWithCells="1" sizeWithCells="1">
                  <from>
                    <xdr:col>13</xdr:col>
                    <xdr:colOff>47625</xdr:colOff>
                    <xdr:row>187</xdr:row>
                    <xdr:rowOff>19050</xdr:rowOff>
                  </from>
                  <to>
                    <xdr:col>13</xdr:col>
                    <xdr:colOff>466725</xdr:colOff>
                    <xdr:row>187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65" name="Spinner 253">
              <controlPr defaultSize="0" autoPict="0">
                <anchor moveWithCells="1" sizeWithCells="1">
                  <from>
                    <xdr:col>13</xdr:col>
                    <xdr:colOff>47625</xdr:colOff>
                    <xdr:row>188</xdr:row>
                    <xdr:rowOff>28575</xdr:rowOff>
                  </from>
                  <to>
                    <xdr:col>13</xdr:col>
                    <xdr:colOff>466725</xdr:colOff>
                    <xdr:row>188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66" name="Spinner 254">
              <controlPr defaultSize="0" autoPict="0">
                <anchor moveWithCells="1" sizeWithCells="1">
                  <from>
                    <xdr:col>13</xdr:col>
                    <xdr:colOff>47625</xdr:colOff>
                    <xdr:row>189</xdr:row>
                    <xdr:rowOff>28575</xdr:rowOff>
                  </from>
                  <to>
                    <xdr:col>13</xdr:col>
                    <xdr:colOff>466725</xdr:colOff>
                    <xdr:row>189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67" name="Spinner 255">
              <controlPr defaultSize="0" autoPict="0">
                <anchor moveWithCells="1" sizeWithCells="1">
                  <from>
                    <xdr:col>13</xdr:col>
                    <xdr:colOff>47625</xdr:colOff>
                    <xdr:row>190</xdr:row>
                    <xdr:rowOff>28575</xdr:rowOff>
                  </from>
                  <to>
                    <xdr:col>13</xdr:col>
                    <xdr:colOff>466725</xdr:colOff>
                    <xdr:row>190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68" name="Spinner 256">
              <controlPr defaultSize="0" autoPict="0">
                <anchor moveWithCells="1" sizeWithCells="1">
                  <from>
                    <xdr:col>18</xdr:col>
                    <xdr:colOff>28575</xdr:colOff>
                    <xdr:row>183</xdr:row>
                    <xdr:rowOff>28575</xdr:rowOff>
                  </from>
                  <to>
                    <xdr:col>18</xdr:col>
                    <xdr:colOff>752475</xdr:colOff>
                    <xdr:row>183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69" name="Spinner 257">
              <controlPr defaultSize="0" autoPict="0">
                <anchor moveWithCells="1" sizeWithCells="1">
                  <from>
                    <xdr:col>18</xdr:col>
                    <xdr:colOff>19050</xdr:colOff>
                    <xdr:row>184</xdr:row>
                    <xdr:rowOff>9525</xdr:rowOff>
                  </from>
                  <to>
                    <xdr:col>19</xdr:col>
                    <xdr:colOff>0</xdr:colOff>
                    <xdr:row>184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70" name="Spinner 258">
              <controlPr defaultSize="0" autoPict="0">
                <anchor moveWithCells="1" sizeWithCells="1">
                  <from>
                    <xdr:col>18</xdr:col>
                    <xdr:colOff>19050</xdr:colOff>
                    <xdr:row>185</xdr:row>
                    <xdr:rowOff>19050</xdr:rowOff>
                  </from>
                  <to>
                    <xdr:col>19</xdr:col>
                    <xdr:colOff>0</xdr:colOff>
                    <xdr:row>186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71" name="Spinner 259">
              <controlPr defaultSize="0" autoPict="0">
                <anchor moveWithCells="1" sizeWithCells="1">
                  <from>
                    <xdr:col>18</xdr:col>
                    <xdr:colOff>28575</xdr:colOff>
                    <xdr:row>189</xdr:row>
                    <xdr:rowOff>38100</xdr:rowOff>
                  </from>
                  <to>
                    <xdr:col>18</xdr:col>
                    <xdr:colOff>781050</xdr:colOff>
                    <xdr:row>189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172" name="Spinner 260">
              <controlPr defaultSize="0" autoPict="0">
                <anchor moveWithCells="1" sizeWithCells="1">
                  <from>
                    <xdr:col>25</xdr:col>
                    <xdr:colOff>85725</xdr:colOff>
                    <xdr:row>4</xdr:row>
                    <xdr:rowOff>38100</xdr:rowOff>
                  </from>
                  <to>
                    <xdr:col>25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173" name="Spinner 262">
              <controlPr defaultSize="0" autoPict="0">
                <anchor moveWithCells="1" sizeWithCells="1">
                  <from>
                    <xdr:col>25</xdr:col>
                    <xdr:colOff>85725</xdr:colOff>
                    <xdr:row>5</xdr:row>
                    <xdr:rowOff>38100</xdr:rowOff>
                  </from>
                  <to>
                    <xdr:col>25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174" name="Spinner 263">
              <controlPr defaultSize="0" autoPict="0">
                <anchor moveWithCells="1" sizeWithCells="1">
                  <from>
                    <xdr:col>25</xdr:col>
                    <xdr:colOff>85725</xdr:colOff>
                    <xdr:row>6</xdr:row>
                    <xdr:rowOff>38100</xdr:rowOff>
                  </from>
                  <to>
                    <xdr:col>25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175" name="Spinner 264">
              <controlPr defaultSize="0" autoPict="0">
                <anchor moveWithCells="1" sizeWithCells="1">
                  <from>
                    <xdr:col>25</xdr:col>
                    <xdr:colOff>85725</xdr:colOff>
                    <xdr:row>7</xdr:row>
                    <xdr:rowOff>38100</xdr:rowOff>
                  </from>
                  <to>
                    <xdr:col>25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176" name="Spinner 265">
              <controlPr defaultSize="0" autoPict="0">
                <anchor moveWithCells="1" sizeWithCells="1">
                  <from>
                    <xdr:col>25</xdr:col>
                    <xdr:colOff>85725</xdr:colOff>
                    <xdr:row>8</xdr:row>
                    <xdr:rowOff>38100</xdr:rowOff>
                  </from>
                  <to>
                    <xdr:col>25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177" name="Spinner 266">
              <controlPr defaultSize="0" autoPict="0">
                <anchor moveWithCells="1" sizeWithCells="1">
                  <from>
                    <xdr:col>25</xdr:col>
                    <xdr:colOff>85725</xdr:colOff>
                    <xdr:row>9</xdr:row>
                    <xdr:rowOff>38100</xdr:rowOff>
                  </from>
                  <to>
                    <xdr:col>25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178" name="Spinner 267">
              <controlPr defaultSize="0" autoPict="0">
                <anchor moveWithCells="1" sizeWithCells="1">
                  <from>
                    <xdr:col>29</xdr:col>
                    <xdr:colOff>85725</xdr:colOff>
                    <xdr:row>4</xdr:row>
                    <xdr:rowOff>38100</xdr:rowOff>
                  </from>
                  <to>
                    <xdr:col>29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179" name="Spinner 268">
              <controlPr defaultSize="0" autoPict="0">
                <anchor moveWithCells="1" sizeWithCells="1">
                  <from>
                    <xdr:col>29</xdr:col>
                    <xdr:colOff>85725</xdr:colOff>
                    <xdr:row>5</xdr:row>
                    <xdr:rowOff>38100</xdr:rowOff>
                  </from>
                  <to>
                    <xdr:col>29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180" name="Spinner 269">
              <controlPr defaultSize="0" autoPict="0">
                <anchor moveWithCells="1" sizeWithCells="1">
                  <from>
                    <xdr:col>29</xdr:col>
                    <xdr:colOff>85725</xdr:colOff>
                    <xdr:row>6</xdr:row>
                    <xdr:rowOff>38100</xdr:rowOff>
                  </from>
                  <to>
                    <xdr:col>29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181" name="Spinner 270">
              <controlPr defaultSize="0" autoPict="0">
                <anchor moveWithCells="1" sizeWithCells="1">
                  <from>
                    <xdr:col>29</xdr:col>
                    <xdr:colOff>85725</xdr:colOff>
                    <xdr:row>7</xdr:row>
                    <xdr:rowOff>38100</xdr:rowOff>
                  </from>
                  <to>
                    <xdr:col>29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182" name="Spinner 271">
              <controlPr defaultSize="0" autoPict="0">
                <anchor moveWithCells="1" sizeWithCells="1">
                  <from>
                    <xdr:col>29</xdr:col>
                    <xdr:colOff>85725</xdr:colOff>
                    <xdr:row>8</xdr:row>
                    <xdr:rowOff>38100</xdr:rowOff>
                  </from>
                  <to>
                    <xdr:col>29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183" name="Spinner 272">
              <controlPr defaultSize="0" autoPict="0">
                <anchor moveWithCells="1" sizeWithCells="1">
                  <from>
                    <xdr:col>29</xdr:col>
                    <xdr:colOff>85725</xdr:colOff>
                    <xdr:row>9</xdr:row>
                    <xdr:rowOff>38100</xdr:rowOff>
                  </from>
                  <to>
                    <xdr:col>29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1" r:id="rId184" name="Spinner 317">
              <controlPr defaultSize="0" autoPict="0">
                <anchor moveWithCells="1" sizeWithCells="1">
                  <from>
                    <xdr:col>38</xdr:col>
                    <xdr:colOff>76200</xdr:colOff>
                    <xdr:row>4</xdr:row>
                    <xdr:rowOff>19050</xdr:rowOff>
                  </from>
                  <to>
                    <xdr:col>38</xdr:col>
                    <xdr:colOff>723900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9" r:id="rId185" name="Spinner 365">
              <controlPr defaultSize="0" autoPict="0">
                <anchor moveWithCells="1" sizeWithCells="1">
                  <from>
                    <xdr:col>33</xdr:col>
                    <xdr:colOff>85725</xdr:colOff>
                    <xdr:row>4</xdr:row>
                    <xdr:rowOff>38100</xdr:rowOff>
                  </from>
                  <to>
                    <xdr:col>33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0" r:id="rId186" name="Spinner 366">
              <controlPr defaultSize="0" autoPict="0">
                <anchor moveWithCells="1" sizeWithCells="1">
                  <from>
                    <xdr:col>33</xdr:col>
                    <xdr:colOff>85725</xdr:colOff>
                    <xdr:row>5</xdr:row>
                    <xdr:rowOff>38100</xdr:rowOff>
                  </from>
                  <to>
                    <xdr:col>33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1" r:id="rId187" name="Spinner 367">
              <controlPr defaultSize="0" autoPict="0">
                <anchor moveWithCells="1" sizeWithCells="1">
                  <from>
                    <xdr:col>33</xdr:col>
                    <xdr:colOff>85725</xdr:colOff>
                    <xdr:row>6</xdr:row>
                    <xdr:rowOff>38100</xdr:rowOff>
                  </from>
                  <to>
                    <xdr:col>33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2" r:id="rId188" name="Spinner 368">
              <controlPr defaultSize="0" autoPict="0">
                <anchor moveWithCells="1" sizeWithCells="1">
                  <from>
                    <xdr:col>33</xdr:col>
                    <xdr:colOff>85725</xdr:colOff>
                    <xdr:row>7</xdr:row>
                    <xdr:rowOff>38100</xdr:rowOff>
                  </from>
                  <to>
                    <xdr:col>33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3" r:id="rId189" name="Spinner 369">
              <controlPr defaultSize="0" autoPict="0">
                <anchor moveWithCells="1" sizeWithCells="1">
                  <from>
                    <xdr:col>33</xdr:col>
                    <xdr:colOff>85725</xdr:colOff>
                    <xdr:row>8</xdr:row>
                    <xdr:rowOff>38100</xdr:rowOff>
                  </from>
                  <to>
                    <xdr:col>33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4" r:id="rId190" name="Spinner 370">
              <controlPr defaultSize="0" autoPict="0">
                <anchor moveWithCells="1" sizeWithCells="1">
                  <from>
                    <xdr:col>33</xdr:col>
                    <xdr:colOff>85725</xdr:colOff>
                    <xdr:row>9</xdr:row>
                    <xdr:rowOff>38100</xdr:rowOff>
                  </from>
                  <to>
                    <xdr:col>33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9" r:id="rId191" name="Spinner 875">
              <controlPr defaultSize="0" autoPict="0">
                <anchor moveWithCells="1" sizeWithCells="1">
                  <from>
                    <xdr:col>38</xdr:col>
                    <xdr:colOff>28575</xdr:colOff>
                    <xdr:row>34</xdr:row>
                    <xdr:rowOff>19050</xdr:rowOff>
                  </from>
                  <to>
                    <xdr:col>38</xdr:col>
                    <xdr:colOff>800100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0" r:id="rId192" name="Spinner 876">
              <controlPr defaultSize="0" autoPict="0">
                <anchor moveWithCells="1" sizeWithCells="1">
                  <from>
                    <xdr:col>38</xdr:col>
                    <xdr:colOff>28575</xdr:colOff>
                    <xdr:row>35</xdr:row>
                    <xdr:rowOff>19050</xdr:rowOff>
                  </from>
                  <to>
                    <xdr:col>38</xdr:col>
                    <xdr:colOff>800100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1" r:id="rId193" name="Spinner 877">
              <controlPr defaultSize="0" autoPict="0">
                <anchor moveWithCells="1" sizeWithCells="1">
                  <from>
                    <xdr:col>38</xdr:col>
                    <xdr:colOff>28575</xdr:colOff>
                    <xdr:row>36</xdr:row>
                    <xdr:rowOff>28575</xdr:rowOff>
                  </from>
                  <to>
                    <xdr:col>38</xdr:col>
                    <xdr:colOff>828675</xdr:colOff>
                    <xdr:row>36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2" r:id="rId194" name="Spinner 878">
              <controlPr defaultSize="0" autoPict="0">
                <anchor moveWithCells="1" sizeWithCells="1">
                  <from>
                    <xdr:col>25</xdr:col>
                    <xdr:colOff>66675</xdr:colOff>
                    <xdr:row>34</xdr:row>
                    <xdr:rowOff>133350</xdr:rowOff>
                  </from>
                  <to>
                    <xdr:col>25</xdr:col>
                    <xdr:colOff>885825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3" r:id="rId195" name="Spinner 879">
              <controlPr defaultSize="0" autoPict="0">
                <anchor moveWithCells="1" sizeWithCells="1">
                  <from>
                    <xdr:col>25</xdr:col>
                    <xdr:colOff>57150</xdr:colOff>
                    <xdr:row>35</xdr:row>
                    <xdr:rowOff>85725</xdr:rowOff>
                  </from>
                  <to>
                    <xdr:col>25</xdr:col>
                    <xdr:colOff>876300</xdr:colOff>
                    <xdr:row>35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4" r:id="rId196" name="Spinner 880">
              <controlPr defaultSize="0" autoPict="0">
                <anchor moveWithCells="1" sizeWithCells="1">
                  <from>
                    <xdr:col>25</xdr:col>
                    <xdr:colOff>57150</xdr:colOff>
                    <xdr:row>36</xdr:row>
                    <xdr:rowOff>66675</xdr:rowOff>
                  </from>
                  <to>
                    <xdr:col>25</xdr:col>
                    <xdr:colOff>876300</xdr:colOff>
                    <xdr:row>36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5" r:id="rId197" name="Spinner 881">
              <controlPr defaultSize="0" autoPict="0">
                <anchor moveWithCells="1" sizeWithCells="1">
                  <from>
                    <xdr:col>25</xdr:col>
                    <xdr:colOff>66675</xdr:colOff>
                    <xdr:row>37</xdr:row>
                    <xdr:rowOff>66675</xdr:rowOff>
                  </from>
                  <to>
                    <xdr:col>25</xdr:col>
                    <xdr:colOff>885825</xdr:colOff>
                    <xdr:row>37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6" r:id="rId198" name="Spinner 882">
              <controlPr defaultSize="0" autoPict="0">
                <anchor moveWithCells="1" sizeWithCells="1">
                  <from>
                    <xdr:col>25</xdr:col>
                    <xdr:colOff>66675</xdr:colOff>
                    <xdr:row>38</xdr:row>
                    <xdr:rowOff>85725</xdr:rowOff>
                  </from>
                  <to>
                    <xdr:col>25</xdr:col>
                    <xdr:colOff>885825</xdr:colOff>
                    <xdr:row>38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7" r:id="rId199" name="Spinner 883">
              <controlPr defaultSize="0" autoPict="0">
                <anchor moveWithCells="1" sizeWithCells="1">
                  <from>
                    <xdr:col>25</xdr:col>
                    <xdr:colOff>57150</xdr:colOff>
                    <xdr:row>39</xdr:row>
                    <xdr:rowOff>19050</xdr:rowOff>
                  </from>
                  <to>
                    <xdr:col>25</xdr:col>
                    <xdr:colOff>876300</xdr:colOff>
                    <xdr:row>39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8" r:id="rId200" name="Spinner 884">
              <controlPr defaultSize="0" autoPict="0">
                <anchor moveWithCells="1" sizeWithCells="1">
                  <from>
                    <xdr:col>29</xdr:col>
                    <xdr:colOff>66675</xdr:colOff>
                    <xdr:row>34</xdr:row>
                    <xdr:rowOff>104775</xdr:rowOff>
                  </from>
                  <to>
                    <xdr:col>29</xdr:col>
                    <xdr:colOff>885825</xdr:colOff>
                    <xdr:row>34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9" r:id="rId201" name="Spinner 885">
              <controlPr defaultSize="0" autoPict="0">
                <anchor moveWithCells="1" sizeWithCells="1">
                  <from>
                    <xdr:col>29</xdr:col>
                    <xdr:colOff>66675</xdr:colOff>
                    <xdr:row>35</xdr:row>
                    <xdr:rowOff>95250</xdr:rowOff>
                  </from>
                  <to>
                    <xdr:col>29</xdr:col>
                    <xdr:colOff>885825</xdr:colOff>
                    <xdr:row>35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0" r:id="rId202" name="Spinner 886">
              <controlPr defaultSize="0" autoPict="0">
                <anchor moveWithCells="1" sizeWithCells="1">
                  <from>
                    <xdr:col>29</xdr:col>
                    <xdr:colOff>57150</xdr:colOff>
                    <xdr:row>36</xdr:row>
                    <xdr:rowOff>123825</xdr:rowOff>
                  </from>
                  <to>
                    <xdr:col>29</xdr:col>
                    <xdr:colOff>876300</xdr:colOff>
                    <xdr:row>36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1" r:id="rId203" name="Spinner 887">
              <controlPr defaultSize="0" autoPict="0">
                <anchor moveWithCells="1" sizeWithCells="1">
                  <from>
                    <xdr:col>29</xdr:col>
                    <xdr:colOff>57150</xdr:colOff>
                    <xdr:row>37</xdr:row>
                    <xdr:rowOff>104775</xdr:rowOff>
                  </from>
                  <to>
                    <xdr:col>29</xdr:col>
                    <xdr:colOff>876300</xdr:colOff>
                    <xdr:row>37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2" r:id="rId204" name="Spinner 888">
              <controlPr defaultSize="0" autoPict="0">
                <anchor moveWithCells="1" sizeWithCells="1">
                  <from>
                    <xdr:col>29</xdr:col>
                    <xdr:colOff>57150</xdr:colOff>
                    <xdr:row>38</xdr:row>
                    <xdr:rowOff>76200</xdr:rowOff>
                  </from>
                  <to>
                    <xdr:col>29</xdr:col>
                    <xdr:colOff>876300</xdr:colOff>
                    <xdr:row>38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3" r:id="rId205" name="Spinner 889">
              <controlPr defaultSize="0" autoPict="0">
                <anchor moveWithCells="1" sizeWithCells="1">
                  <from>
                    <xdr:col>29</xdr:col>
                    <xdr:colOff>66675</xdr:colOff>
                    <xdr:row>39</xdr:row>
                    <xdr:rowOff>19050</xdr:rowOff>
                  </from>
                  <to>
                    <xdr:col>29</xdr:col>
                    <xdr:colOff>885825</xdr:colOff>
                    <xdr:row>39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4" r:id="rId206" name="Spinner 890">
              <controlPr defaultSize="0" autoPict="0">
                <anchor moveWithCells="1" sizeWithCells="1">
                  <from>
                    <xdr:col>33</xdr:col>
                    <xdr:colOff>76200</xdr:colOff>
                    <xdr:row>34</xdr:row>
                    <xdr:rowOff>104775</xdr:rowOff>
                  </from>
                  <to>
                    <xdr:col>33</xdr:col>
                    <xdr:colOff>895350</xdr:colOff>
                    <xdr:row>34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5" r:id="rId207" name="Spinner 891">
              <controlPr defaultSize="0" autoPict="0">
                <anchor moveWithCells="1" sizeWithCells="1">
                  <from>
                    <xdr:col>33</xdr:col>
                    <xdr:colOff>76200</xdr:colOff>
                    <xdr:row>35</xdr:row>
                    <xdr:rowOff>133350</xdr:rowOff>
                  </from>
                  <to>
                    <xdr:col>33</xdr:col>
                    <xdr:colOff>895350</xdr:colOff>
                    <xdr:row>35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6" r:id="rId208" name="Spinner 892">
              <controlPr defaultSize="0" autoPict="0">
                <anchor moveWithCells="1" sizeWithCells="1">
                  <from>
                    <xdr:col>33</xdr:col>
                    <xdr:colOff>76200</xdr:colOff>
                    <xdr:row>36</xdr:row>
                    <xdr:rowOff>104775</xdr:rowOff>
                  </from>
                  <to>
                    <xdr:col>33</xdr:col>
                    <xdr:colOff>895350</xdr:colOff>
                    <xdr:row>36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7" r:id="rId209" name="Spinner 893">
              <controlPr defaultSize="0" autoPict="0">
                <anchor moveWithCells="1" sizeWithCells="1">
                  <from>
                    <xdr:col>33</xdr:col>
                    <xdr:colOff>66675</xdr:colOff>
                    <xdr:row>37</xdr:row>
                    <xdr:rowOff>104775</xdr:rowOff>
                  </from>
                  <to>
                    <xdr:col>33</xdr:col>
                    <xdr:colOff>885825</xdr:colOff>
                    <xdr:row>37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8" r:id="rId210" name="Spinner 894">
              <controlPr defaultSize="0" autoPict="0">
                <anchor moveWithCells="1" sizeWithCells="1">
                  <from>
                    <xdr:col>33</xdr:col>
                    <xdr:colOff>66675</xdr:colOff>
                    <xdr:row>38</xdr:row>
                    <xdr:rowOff>104775</xdr:rowOff>
                  </from>
                  <to>
                    <xdr:col>33</xdr:col>
                    <xdr:colOff>885825</xdr:colOff>
                    <xdr:row>38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9" r:id="rId211" name="Spinner 895">
              <controlPr defaultSize="0" autoPict="0">
                <anchor moveWithCells="1" sizeWithCells="1">
                  <from>
                    <xdr:col>33</xdr:col>
                    <xdr:colOff>66675</xdr:colOff>
                    <xdr:row>39</xdr:row>
                    <xdr:rowOff>76200</xdr:rowOff>
                  </from>
                  <to>
                    <xdr:col>33</xdr:col>
                    <xdr:colOff>885825</xdr:colOff>
                    <xdr:row>39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0" r:id="rId212" name="Spinner 896">
              <controlPr defaultSize="0" autoPict="0">
                <anchor moveWithCells="1" sizeWithCells="1">
                  <from>
                    <xdr:col>25</xdr:col>
                    <xdr:colOff>57150</xdr:colOff>
                    <xdr:row>64</xdr:row>
                    <xdr:rowOff>47625</xdr:rowOff>
                  </from>
                  <to>
                    <xdr:col>25</xdr:col>
                    <xdr:colOff>876300</xdr:colOff>
                    <xdr:row>64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1" r:id="rId213" name="Spinner 897">
              <controlPr defaultSize="0" autoPict="0">
                <anchor moveWithCells="1" sizeWithCells="1">
                  <from>
                    <xdr:col>25</xdr:col>
                    <xdr:colOff>47625</xdr:colOff>
                    <xdr:row>65</xdr:row>
                    <xdr:rowOff>19050</xdr:rowOff>
                  </from>
                  <to>
                    <xdr:col>25</xdr:col>
                    <xdr:colOff>866775</xdr:colOff>
                    <xdr:row>65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2" r:id="rId214" name="Spinner 898">
              <controlPr defaultSize="0" autoPict="0">
                <anchor moveWithCells="1" sizeWithCells="1">
                  <from>
                    <xdr:col>25</xdr:col>
                    <xdr:colOff>57150</xdr:colOff>
                    <xdr:row>66</xdr:row>
                    <xdr:rowOff>38100</xdr:rowOff>
                  </from>
                  <to>
                    <xdr:col>25</xdr:col>
                    <xdr:colOff>876300</xdr:colOff>
                    <xdr:row>66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3" r:id="rId215" name="Spinner 899">
              <controlPr defaultSize="0" autoPict="0">
                <anchor moveWithCells="1" sizeWithCells="1">
                  <from>
                    <xdr:col>25</xdr:col>
                    <xdr:colOff>66675</xdr:colOff>
                    <xdr:row>67</xdr:row>
                    <xdr:rowOff>57150</xdr:rowOff>
                  </from>
                  <to>
                    <xdr:col>25</xdr:col>
                    <xdr:colOff>885825</xdr:colOff>
                    <xdr:row>67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4" r:id="rId216" name="Spinner 900">
              <controlPr defaultSize="0" autoPict="0">
                <anchor moveWithCells="1" sizeWithCells="1">
                  <from>
                    <xdr:col>25</xdr:col>
                    <xdr:colOff>66675</xdr:colOff>
                    <xdr:row>68</xdr:row>
                    <xdr:rowOff>47625</xdr:rowOff>
                  </from>
                  <to>
                    <xdr:col>25</xdr:col>
                    <xdr:colOff>885825</xdr:colOff>
                    <xdr:row>68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5" r:id="rId217" name="Spinner 901">
              <controlPr defaultSize="0" autoPict="0">
                <anchor moveWithCells="1" sizeWithCells="1">
                  <from>
                    <xdr:col>25</xdr:col>
                    <xdr:colOff>66675</xdr:colOff>
                    <xdr:row>69</xdr:row>
                    <xdr:rowOff>47625</xdr:rowOff>
                  </from>
                  <to>
                    <xdr:col>25</xdr:col>
                    <xdr:colOff>885825</xdr:colOff>
                    <xdr:row>69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2" r:id="rId218" name="Spinner 908">
              <controlPr defaultSize="0" autoPict="0">
                <anchor moveWithCells="1" sizeWithCells="1">
                  <from>
                    <xdr:col>29</xdr:col>
                    <xdr:colOff>76200</xdr:colOff>
                    <xdr:row>64</xdr:row>
                    <xdr:rowOff>180975</xdr:rowOff>
                  </from>
                  <to>
                    <xdr:col>29</xdr:col>
                    <xdr:colOff>895350</xdr:colOff>
                    <xdr:row>64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3" r:id="rId219" name="Spinner 909">
              <controlPr defaultSize="0" autoPict="0">
                <anchor moveWithCells="1" sizeWithCells="1">
                  <from>
                    <xdr:col>29</xdr:col>
                    <xdr:colOff>76200</xdr:colOff>
                    <xdr:row>65</xdr:row>
                    <xdr:rowOff>114300</xdr:rowOff>
                  </from>
                  <to>
                    <xdr:col>29</xdr:col>
                    <xdr:colOff>895350</xdr:colOff>
                    <xdr:row>65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4" r:id="rId220" name="Spinner 910">
              <controlPr defaultSize="0" autoPict="0">
                <anchor moveWithCells="1" sizeWithCells="1">
                  <from>
                    <xdr:col>29</xdr:col>
                    <xdr:colOff>66675</xdr:colOff>
                    <xdr:row>66</xdr:row>
                    <xdr:rowOff>114300</xdr:rowOff>
                  </from>
                  <to>
                    <xdr:col>29</xdr:col>
                    <xdr:colOff>885825</xdr:colOff>
                    <xdr:row>66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5" r:id="rId221" name="Spinner 911">
              <controlPr defaultSize="0" autoPict="0">
                <anchor moveWithCells="1" sizeWithCells="1">
                  <from>
                    <xdr:col>29</xdr:col>
                    <xdr:colOff>57150</xdr:colOff>
                    <xdr:row>67</xdr:row>
                    <xdr:rowOff>66675</xdr:rowOff>
                  </from>
                  <to>
                    <xdr:col>29</xdr:col>
                    <xdr:colOff>876300</xdr:colOff>
                    <xdr:row>67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6" r:id="rId222" name="Spinner 912">
              <controlPr defaultSize="0" autoPict="0">
                <anchor moveWithCells="1" sizeWithCells="1">
                  <from>
                    <xdr:col>29</xdr:col>
                    <xdr:colOff>57150</xdr:colOff>
                    <xdr:row>68</xdr:row>
                    <xdr:rowOff>66675</xdr:rowOff>
                  </from>
                  <to>
                    <xdr:col>29</xdr:col>
                    <xdr:colOff>876300</xdr:colOff>
                    <xdr:row>68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7" r:id="rId223" name="Spinner 913">
              <controlPr defaultSize="0" autoPict="0">
                <anchor moveWithCells="1" sizeWithCells="1">
                  <from>
                    <xdr:col>29</xdr:col>
                    <xdr:colOff>66675</xdr:colOff>
                    <xdr:row>69</xdr:row>
                    <xdr:rowOff>47625</xdr:rowOff>
                  </from>
                  <to>
                    <xdr:col>29</xdr:col>
                    <xdr:colOff>885825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8" r:id="rId224" name="Spinner 914">
              <controlPr defaultSize="0" autoPict="0">
                <anchor moveWithCells="1" sizeWithCells="1">
                  <from>
                    <xdr:col>33</xdr:col>
                    <xdr:colOff>76200</xdr:colOff>
                    <xdr:row>64</xdr:row>
                    <xdr:rowOff>104775</xdr:rowOff>
                  </from>
                  <to>
                    <xdr:col>33</xdr:col>
                    <xdr:colOff>895350</xdr:colOff>
                    <xdr:row>64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9" r:id="rId225" name="Spinner 915">
              <controlPr defaultSize="0" autoPict="0">
                <anchor moveWithCells="1" sizeWithCells="1">
                  <from>
                    <xdr:col>33</xdr:col>
                    <xdr:colOff>66675</xdr:colOff>
                    <xdr:row>65</xdr:row>
                    <xdr:rowOff>142875</xdr:rowOff>
                  </from>
                  <to>
                    <xdr:col>33</xdr:col>
                    <xdr:colOff>885825</xdr:colOff>
                    <xdr:row>65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0" r:id="rId226" name="Spinner 916">
              <controlPr defaultSize="0" autoPict="0">
                <anchor moveWithCells="1" sizeWithCells="1">
                  <from>
                    <xdr:col>33</xdr:col>
                    <xdr:colOff>57150</xdr:colOff>
                    <xdr:row>66</xdr:row>
                    <xdr:rowOff>190500</xdr:rowOff>
                  </from>
                  <to>
                    <xdr:col>33</xdr:col>
                    <xdr:colOff>876300</xdr:colOff>
                    <xdr:row>66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1" r:id="rId227" name="Spinner 917">
              <controlPr defaultSize="0" autoPict="0">
                <anchor moveWithCells="1" sizeWithCells="1">
                  <from>
                    <xdr:col>33</xdr:col>
                    <xdr:colOff>76200</xdr:colOff>
                    <xdr:row>67</xdr:row>
                    <xdr:rowOff>85725</xdr:rowOff>
                  </from>
                  <to>
                    <xdr:col>33</xdr:col>
                    <xdr:colOff>895350</xdr:colOff>
                    <xdr:row>67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2" r:id="rId228" name="Spinner 918">
              <controlPr defaultSize="0" autoPict="0">
                <anchor moveWithCells="1" sizeWithCells="1">
                  <from>
                    <xdr:col>33</xdr:col>
                    <xdr:colOff>85725</xdr:colOff>
                    <xdr:row>68</xdr:row>
                    <xdr:rowOff>38100</xdr:rowOff>
                  </from>
                  <to>
                    <xdr:col>33</xdr:col>
                    <xdr:colOff>904875</xdr:colOff>
                    <xdr:row>68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3" r:id="rId229" name="Spinner 919">
              <controlPr defaultSize="0" autoPict="0">
                <anchor moveWithCells="1" sizeWithCells="1">
                  <from>
                    <xdr:col>33</xdr:col>
                    <xdr:colOff>66675</xdr:colOff>
                    <xdr:row>69</xdr:row>
                    <xdr:rowOff>38100</xdr:rowOff>
                  </from>
                  <to>
                    <xdr:col>33</xdr:col>
                    <xdr:colOff>885825</xdr:colOff>
                    <xdr:row>69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4" r:id="rId230" name="Spinner 920">
              <controlPr defaultSize="0" autoPict="0">
                <anchor moveWithCells="1" sizeWithCells="1">
                  <from>
                    <xdr:col>38</xdr:col>
                    <xdr:colOff>38100</xdr:colOff>
                    <xdr:row>64</xdr:row>
                    <xdr:rowOff>28575</xdr:rowOff>
                  </from>
                  <to>
                    <xdr:col>38</xdr:col>
                    <xdr:colOff>809625</xdr:colOff>
                    <xdr:row>64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" r:id="rId231" name="Spinner 921">
              <controlPr defaultSize="0" autoPict="0">
                <anchor moveWithCells="1" sizeWithCells="1">
                  <from>
                    <xdr:col>38</xdr:col>
                    <xdr:colOff>28575</xdr:colOff>
                    <xdr:row>65</xdr:row>
                    <xdr:rowOff>28575</xdr:rowOff>
                  </from>
                  <to>
                    <xdr:col>38</xdr:col>
                    <xdr:colOff>800100</xdr:colOff>
                    <xdr:row>65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" r:id="rId232" name="Spinner 922">
              <controlPr defaultSize="0" autoPict="0">
                <anchor moveWithCells="1" sizeWithCells="1">
                  <from>
                    <xdr:col>38</xdr:col>
                    <xdr:colOff>19050</xdr:colOff>
                    <xdr:row>66</xdr:row>
                    <xdr:rowOff>19050</xdr:rowOff>
                  </from>
                  <to>
                    <xdr:col>38</xdr:col>
                    <xdr:colOff>819150</xdr:colOff>
                    <xdr:row>66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3" r:id="rId233" name="Spinner 929">
              <controlPr defaultSize="0" autoPict="0">
                <anchor moveWithCells="1" sizeWithCells="1">
                  <from>
                    <xdr:col>25</xdr:col>
                    <xdr:colOff>57150</xdr:colOff>
                    <xdr:row>124</xdr:row>
                    <xdr:rowOff>47625</xdr:rowOff>
                  </from>
                  <to>
                    <xdr:col>25</xdr:col>
                    <xdr:colOff>876300</xdr:colOff>
                    <xdr:row>124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4" r:id="rId234" name="Spinner 930">
              <controlPr defaultSize="0" autoPict="0">
                <anchor moveWithCells="1" sizeWithCells="1">
                  <from>
                    <xdr:col>25</xdr:col>
                    <xdr:colOff>57150</xdr:colOff>
                    <xdr:row>125</xdr:row>
                    <xdr:rowOff>57150</xdr:rowOff>
                  </from>
                  <to>
                    <xdr:col>25</xdr:col>
                    <xdr:colOff>876300</xdr:colOff>
                    <xdr:row>125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5" r:id="rId235" name="Spinner 931">
              <controlPr defaultSize="0" autoPict="0">
                <anchor moveWithCells="1" sizeWithCells="1">
                  <from>
                    <xdr:col>25</xdr:col>
                    <xdr:colOff>66675</xdr:colOff>
                    <xdr:row>126</xdr:row>
                    <xdr:rowOff>95250</xdr:rowOff>
                  </from>
                  <to>
                    <xdr:col>25</xdr:col>
                    <xdr:colOff>885825</xdr:colOff>
                    <xdr:row>126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6" r:id="rId236" name="Spinner 932">
              <controlPr defaultSize="0" autoPict="0">
                <anchor moveWithCells="1" sizeWithCells="1">
                  <from>
                    <xdr:col>25</xdr:col>
                    <xdr:colOff>76200</xdr:colOff>
                    <xdr:row>127</xdr:row>
                    <xdr:rowOff>114300</xdr:rowOff>
                  </from>
                  <to>
                    <xdr:col>25</xdr:col>
                    <xdr:colOff>895350</xdr:colOff>
                    <xdr:row>127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7" r:id="rId237" name="Spinner 933">
              <controlPr defaultSize="0" autoPict="0">
                <anchor moveWithCells="1" sizeWithCells="1">
                  <from>
                    <xdr:col>25</xdr:col>
                    <xdr:colOff>76200</xdr:colOff>
                    <xdr:row>128</xdr:row>
                    <xdr:rowOff>28575</xdr:rowOff>
                  </from>
                  <to>
                    <xdr:col>25</xdr:col>
                    <xdr:colOff>895350</xdr:colOff>
                    <xdr:row>128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8" r:id="rId238" name="Spinner 934">
              <controlPr defaultSize="0" autoPict="0">
                <anchor moveWithCells="1" sizeWithCells="1">
                  <from>
                    <xdr:col>25</xdr:col>
                    <xdr:colOff>76200</xdr:colOff>
                    <xdr:row>129</xdr:row>
                    <xdr:rowOff>28575</xdr:rowOff>
                  </from>
                  <to>
                    <xdr:col>25</xdr:col>
                    <xdr:colOff>895350</xdr:colOff>
                    <xdr:row>129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9" r:id="rId239" name="Spinner 935">
              <controlPr defaultSize="0" autoPict="0">
                <anchor moveWithCells="1" sizeWithCells="1">
                  <from>
                    <xdr:col>29</xdr:col>
                    <xdr:colOff>66675</xdr:colOff>
                    <xdr:row>124</xdr:row>
                    <xdr:rowOff>38100</xdr:rowOff>
                  </from>
                  <to>
                    <xdr:col>29</xdr:col>
                    <xdr:colOff>885825</xdr:colOff>
                    <xdr:row>124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0" r:id="rId240" name="Spinner 936">
              <controlPr defaultSize="0" autoPict="0">
                <anchor moveWithCells="1" sizeWithCells="1">
                  <from>
                    <xdr:col>29</xdr:col>
                    <xdr:colOff>76200</xdr:colOff>
                    <xdr:row>125</xdr:row>
                    <xdr:rowOff>57150</xdr:rowOff>
                  </from>
                  <to>
                    <xdr:col>29</xdr:col>
                    <xdr:colOff>895350</xdr:colOff>
                    <xdr:row>125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1" r:id="rId241" name="Spinner 937">
              <controlPr defaultSize="0" autoPict="0">
                <anchor moveWithCells="1" sizeWithCells="1">
                  <from>
                    <xdr:col>29</xdr:col>
                    <xdr:colOff>66675</xdr:colOff>
                    <xdr:row>126</xdr:row>
                    <xdr:rowOff>28575</xdr:rowOff>
                  </from>
                  <to>
                    <xdr:col>29</xdr:col>
                    <xdr:colOff>885825</xdr:colOff>
                    <xdr:row>126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2" r:id="rId242" name="Spinner 938">
              <controlPr defaultSize="0" autoPict="0">
                <anchor moveWithCells="1" sizeWithCells="1">
                  <from>
                    <xdr:col>29</xdr:col>
                    <xdr:colOff>66675</xdr:colOff>
                    <xdr:row>127</xdr:row>
                    <xdr:rowOff>38100</xdr:rowOff>
                  </from>
                  <to>
                    <xdr:col>29</xdr:col>
                    <xdr:colOff>885825</xdr:colOff>
                    <xdr:row>127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3" r:id="rId243" name="Spinner 939">
              <controlPr defaultSize="0" autoPict="0">
                <anchor moveWithCells="1" sizeWithCells="1">
                  <from>
                    <xdr:col>29</xdr:col>
                    <xdr:colOff>66675</xdr:colOff>
                    <xdr:row>128</xdr:row>
                    <xdr:rowOff>19050</xdr:rowOff>
                  </from>
                  <to>
                    <xdr:col>29</xdr:col>
                    <xdr:colOff>885825</xdr:colOff>
                    <xdr:row>128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4" r:id="rId244" name="Spinner 940">
              <controlPr defaultSize="0" autoPict="0">
                <anchor moveWithCells="1" sizeWithCells="1">
                  <from>
                    <xdr:col>29</xdr:col>
                    <xdr:colOff>66675</xdr:colOff>
                    <xdr:row>129</xdr:row>
                    <xdr:rowOff>57150</xdr:rowOff>
                  </from>
                  <to>
                    <xdr:col>29</xdr:col>
                    <xdr:colOff>885825</xdr:colOff>
                    <xdr:row>129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7" r:id="rId245" name="Spinner 943">
              <controlPr defaultSize="0" autoPict="0">
                <anchor moveWithCells="1" sizeWithCells="1">
                  <from>
                    <xdr:col>33</xdr:col>
                    <xdr:colOff>66675</xdr:colOff>
                    <xdr:row>124</xdr:row>
                    <xdr:rowOff>76200</xdr:rowOff>
                  </from>
                  <to>
                    <xdr:col>33</xdr:col>
                    <xdr:colOff>885825</xdr:colOff>
                    <xdr:row>124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8" r:id="rId246" name="Spinner 944">
              <controlPr defaultSize="0" autoPict="0">
                <anchor moveWithCells="1" sizeWithCells="1">
                  <from>
                    <xdr:col>33</xdr:col>
                    <xdr:colOff>66675</xdr:colOff>
                    <xdr:row>125</xdr:row>
                    <xdr:rowOff>38100</xdr:rowOff>
                  </from>
                  <to>
                    <xdr:col>33</xdr:col>
                    <xdr:colOff>885825</xdr:colOff>
                    <xdr:row>125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9" r:id="rId247" name="Spinner 945">
              <controlPr defaultSize="0" autoPict="0">
                <anchor moveWithCells="1" sizeWithCells="1">
                  <from>
                    <xdr:col>33</xdr:col>
                    <xdr:colOff>66675</xdr:colOff>
                    <xdr:row>126</xdr:row>
                    <xdr:rowOff>57150</xdr:rowOff>
                  </from>
                  <to>
                    <xdr:col>33</xdr:col>
                    <xdr:colOff>885825</xdr:colOff>
                    <xdr:row>126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0" r:id="rId248" name="Spinner 946">
              <controlPr defaultSize="0" autoPict="0">
                <anchor moveWithCells="1" sizeWithCells="1">
                  <from>
                    <xdr:col>33</xdr:col>
                    <xdr:colOff>57150</xdr:colOff>
                    <xdr:row>127</xdr:row>
                    <xdr:rowOff>85725</xdr:rowOff>
                  </from>
                  <to>
                    <xdr:col>33</xdr:col>
                    <xdr:colOff>876300</xdr:colOff>
                    <xdr:row>127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1" r:id="rId249" name="Spinner 947">
              <controlPr defaultSize="0" autoPict="0">
                <anchor moveWithCells="1" sizeWithCells="1">
                  <from>
                    <xdr:col>33</xdr:col>
                    <xdr:colOff>66675</xdr:colOff>
                    <xdr:row>128</xdr:row>
                    <xdr:rowOff>76200</xdr:rowOff>
                  </from>
                  <to>
                    <xdr:col>33</xdr:col>
                    <xdr:colOff>885825</xdr:colOff>
                    <xdr:row>128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2" r:id="rId250" name="Spinner 948">
              <controlPr defaultSize="0" autoPict="0">
                <anchor moveWithCells="1" sizeWithCells="1">
                  <from>
                    <xdr:col>33</xdr:col>
                    <xdr:colOff>85725</xdr:colOff>
                    <xdr:row>129</xdr:row>
                    <xdr:rowOff>66675</xdr:rowOff>
                  </from>
                  <to>
                    <xdr:col>33</xdr:col>
                    <xdr:colOff>904875</xdr:colOff>
                    <xdr:row>129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3" r:id="rId251" name="Spinner 949">
              <controlPr defaultSize="0" autoPict="0">
                <anchor moveWithCells="1" sizeWithCells="1">
                  <from>
                    <xdr:col>38</xdr:col>
                    <xdr:colOff>38100</xdr:colOff>
                    <xdr:row>124</xdr:row>
                    <xdr:rowOff>28575</xdr:rowOff>
                  </from>
                  <to>
                    <xdr:col>38</xdr:col>
                    <xdr:colOff>809625</xdr:colOff>
                    <xdr:row>124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4" r:id="rId252" name="Spinner 950">
              <controlPr defaultSize="0" autoPict="0">
                <anchor moveWithCells="1" sizeWithCells="1">
                  <from>
                    <xdr:col>38</xdr:col>
                    <xdr:colOff>28575</xdr:colOff>
                    <xdr:row>125</xdr:row>
                    <xdr:rowOff>28575</xdr:rowOff>
                  </from>
                  <to>
                    <xdr:col>38</xdr:col>
                    <xdr:colOff>800100</xdr:colOff>
                    <xdr:row>125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5" r:id="rId253" name="Spinner 951">
              <controlPr defaultSize="0" autoPict="0">
                <anchor moveWithCells="1" sizeWithCells="1">
                  <from>
                    <xdr:col>38</xdr:col>
                    <xdr:colOff>19050</xdr:colOff>
                    <xdr:row>126</xdr:row>
                    <xdr:rowOff>19050</xdr:rowOff>
                  </from>
                  <to>
                    <xdr:col>38</xdr:col>
                    <xdr:colOff>819150</xdr:colOff>
                    <xdr:row>126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6" r:id="rId254" name="Spinner 952">
              <controlPr defaultSize="0" autoPict="0">
                <anchor moveWithCells="1" sizeWithCells="1">
                  <from>
                    <xdr:col>5</xdr:col>
                    <xdr:colOff>9525</xdr:colOff>
                    <xdr:row>154</xdr:row>
                    <xdr:rowOff>0</xdr:rowOff>
                  </from>
                  <to>
                    <xdr:col>5</xdr:col>
                    <xdr:colOff>419100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7" r:id="rId255" name="Spinner 953">
              <controlPr defaultSize="0" autoPict="0">
                <anchor moveWithCells="1" sizeWithCells="1">
                  <from>
                    <xdr:col>5</xdr:col>
                    <xdr:colOff>38100</xdr:colOff>
                    <xdr:row>156</xdr:row>
                    <xdr:rowOff>47625</xdr:rowOff>
                  </from>
                  <to>
                    <xdr:col>5</xdr:col>
                    <xdr:colOff>438150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8" r:id="rId256" name="Spinner 954">
              <controlPr defaultSize="0" autoPict="0">
                <anchor moveWithCells="1" sizeWithCells="1">
                  <from>
                    <xdr:col>5</xdr:col>
                    <xdr:colOff>19050</xdr:colOff>
                    <xdr:row>157</xdr:row>
                    <xdr:rowOff>47625</xdr:rowOff>
                  </from>
                  <to>
                    <xdr:col>5</xdr:col>
                    <xdr:colOff>457200</xdr:colOff>
                    <xdr:row>157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9" r:id="rId257" name="Spinner 955">
              <controlPr defaultSize="0" autoPict="0">
                <anchor moveWithCells="1" sizeWithCells="1">
                  <from>
                    <xdr:col>5</xdr:col>
                    <xdr:colOff>19050</xdr:colOff>
                    <xdr:row>158</xdr:row>
                    <xdr:rowOff>104775</xdr:rowOff>
                  </from>
                  <to>
                    <xdr:col>5</xdr:col>
                    <xdr:colOff>438150</xdr:colOff>
                    <xdr:row>158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0" r:id="rId258" name="Spinner 956">
              <controlPr defaultSize="0" autoPict="0">
                <anchor moveWithCells="1" sizeWithCells="1">
                  <from>
                    <xdr:col>5</xdr:col>
                    <xdr:colOff>19050</xdr:colOff>
                    <xdr:row>159</xdr:row>
                    <xdr:rowOff>85725</xdr:rowOff>
                  </from>
                  <to>
                    <xdr:col>5</xdr:col>
                    <xdr:colOff>438150</xdr:colOff>
                    <xdr:row>159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1" r:id="rId259" name="Spinner 957">
              <controlPr defaultSize="0" autoPict="0">
                <anchor moveWithCells="1" sizeWithCells="1">
                  <from>
                    <xdr:col>5</xdr:col>
                    <xdr:colOff>19050</xdr:colOff>
                    <xdr:row>160</xdr:row>
                    <xdr:rowOff>95250</xdr:rowOff>
                  </from>
                  <to>
                    <xdr:col>5</xdr:col>
                    <xdr:colOff>438150</xdr:colOff>
                    <xdr:row>160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2" r:id="rId260" name="Spinner 958">
              <controlPr defaultSize="0" autoPict="0">
                <anchor moveWithCells="1" sizeWithCells="1">
                  <from>
                    <xdr:col>5</xdr:col>
                    <xdr:colOff>19050</xdr:colOff>
                    <xdr:row>161</xdr:row>
                    <xdr:rowOff>28575</xdr:rowOff>
                  </from>
                  <to>
                    <xdr:col>5</xdr:col>
                    <xdr:colOff>438150</xdr:colOff>
                    <xdr:row>161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3" r:id="rId261" name="Spinner 959">
              <controlPr defaultSize="0" autoPict="0">
                <anchor moveWithCells="1" sizeWithCells="1">
                  <from>
                    <xdr:col>5</xdr:col>
                    <xdr:colOff>19050</xdr:colOff>
                    <xdr:row>155</xdr:row>
                    <xdr:rowOff>9525</xdr:rowOff>
                  </from>
                  <to>
                    <xdr:col>5</xdr:col>
                    <xdr:colOff>419100</xdr:colOff>
                    <xdr:row>155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4" r:id="rId262" name="Spinner 960">
              <controlPr defaultSize="0" autoPict="0">
                <anchor moveWithCells="1" sizeWithCells="1">
                  <from>
                    <xdr:col>9</xdr:col>
                    <xdr:colOff>38100</xdr:colOff>
                    <xdr:row>154</xdr:row>
                    <xdr:rowOff>47625</xdr:rowOff>
                  </from>
                  <to>
                    <xdr:col>9</xdr:col>
                    <xdr:colOff>447675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5" r:id="rId263" name="Spinner 961">
              <controlPr defaultSize="0" autoPict="0">
                <anchor moveWithCells="1" sizeWithCells="1">
                  <from>
                    <xdr:col>9</xdr:col>
                    <xdr:colOff>47625</xdr:colOff>
                    <xdr:row>155</xdr:row>
                    <xdr:rowOff>85725</xdr:rowOff>
                  </from>
                  <to>
                    <xdr:col>9</xdr:col>
                    <xdr:colOff>466725</xdr:colOff>
                    <xdr:row>155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6" r:id="rId264" name="Spinner 962">
              <controlPr defaultSize="0" autoPict="0">
                <anchor moveWithCells="1" sizeWithCells="1">
                  <from>
                    <xdr:col>9</xdr:col>
                    <xdr:colOff>57150</xdr:colOff>
                    <xdr:row>156</xdr:row>
                    <xdr:rowOff>85725</xdr:rowOff>
                  </from>
                  <to>
                    <xdr:col>9</xdr:col>
                    <xdr:colOff>476250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7" r:id="rId265" name="Spinner 963">
              <controlPr defaultSize="0" autoPict="0">
                <anchor moveWithCells="1" sizeWithCells="1">
                  <from>
                    <xdr:col>9</xdr:col>
                    <xdr:colOff>47625</xdr:colOff>
                    <xdr:row>157</xdr:row>
                    <xdr:rowOff>38100</xdr:rowOff>
                  </from>
                  <to>
                    <xdr:col>9</xdr:col>
                    <xdr:colOff>466725</xdr:colOff>
                    <xdr:row>157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8" r:id="rId266" name="Spinner 964">
              <controlPr defaultSize="0" autoPict="0">
                <anchor moveWithCells="1" sizeWithCells="1">
                  <from>
                    <xdr:col>9</xdr:col>
                    <xdr:colOff>38100</xdr:colOff>
                    <xdr:row>158</xdr:row>
                    <xdr:rowOff>47625</xdr:rowOff>
                  </from>
                  <to>
                    <xdr:col>9</xdr:col>
                    <xdr:colOff>457200</xdr:colOff>
                    <xdr:row>158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9" r:id="rId267" name="Spinner 965">
              <controlPr defaultSize="0" autoPict="0">
                <anchor moveWithCells="1" sizeWithCells="1">
                  <from>
                    <xdr:col>9</xdr:col>
                    <xdr:colOff>47625</xdr:colOff>
                    <xdr:row>159</xdr:row>
                    <xdr:rowOff>57150</xdr:rowOff>
                  </from>
                  <to>
                    <xdr:col>9</xdr:col>
                    <xdr:colOff>466725</xdr:colOff>
                    <xdr:row>159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0" r:id="rId268" name="Spinner 966">
              <controlPr defaultSize="0" autoPict="0">
                <anchor moveWithCells="1" sizeWithCells="1">
                  <from>
                    <xdr:col>9</xdr:col>
                    <xdr:colOff>57150</xdr:colOff>
                    <xdr:row>160</xdr:row>
                    <xdr:rowOff>47625</xdr:rowOff>
                  </from>
                  <to>
                    <xdr:col>9</xdr:col>
                    <xdr:colOff>476250</xdr:colOff>
                    <xdr:row>160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1" r:id="rId269" name="Spinner 967">
              <controlPr defaultSize="0" autoPict="0">
                <anchor moveWithCells="1" sizeWithCells="1">
                  <from>
                    <xdr:col>9</xdr:col>
                    <xdr:colOff>28575</xdr:colOff>
                    <xdr:row>161</xdr:row>
                    <xdr:rowOff>104775</xdr:rowOff>
                  </from>
                  <to>
                    <xdr:col>9</xdr:col>
                    <xdr:colOff>447675</xdr:colOff>
                    <xdr:row>161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2" r:id="rId270" name="Spinner 968">
              <controlPr defaultSize="0" autoPict="0">
                <anchor moveWithCells="1" sizeWithCells="1">
                  <from>
                    <xdr:col>13</xdr:col>
                    <xdr:colOff>38100</xdr:colOff>
                    <xdr:row>154</xdr:row>
                    <xdr:rowOff>47625</xdr:rowOff>
                  </from>
                  <to>
                    <xdr:col>13</xdr:col>
                    <xdr:colOff>447675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3" r:id="rId271" name="Spinner 969">
              <controlPr defaultSize="0" autoPict="0">
                <anchor moveWithCells="1" sizeWithCells="1">
                  <from>
                    <xdr:col>13</xdr:col>
                    <xdr:colOff>47625</xdr:colOff>
                    <xdr:row>155</xdr:row>
                    <xdr:rowOff>95250</xdr:rowOff>
                  </from>
                  <to>
                    <xdr:col>13</xdr:col>
                    <xdr:colOff>466725</xdr:colOff>
                    <xdr:row>155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4" r:id="rId272" name="Spinner 970">
              <controlPr defaultSize="0" autoPict="0">
                <anchor moveWithCells="1" sizeWithCells="1">
                  <from>
                    <xdr:col>13</xdr:col>
                    <xdr:colOff>57150</xdr:colOff>
                    <xdr:row>156</xdr:row>
                    <xdr:rowOff>28575</xdr:rowOff>
                  </from>
                  <to>
                    <xdr:col>13</xdr:col>
                    <xdr:colOff>476250</xdr:colOff>
                    <xdr:row>156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5" r:id="rId273" name="Spinner 971">
              <controlPr defaultSize="0" autoPict="0">
                <anchor moveWithCells="1" sizeWithCells="1">
                  <from>
                    <xdr:col>13</xdr:col>
                    <xdr:colOff>57150</xdr:colOff>
                    <xdr:row>157</xdr:row>
                    <xdr:rowOff>28575</xdr:rowOff>
                  </from>
                  <to>
                    <xdr:col>13</xdr:col>
                    <xdr:colOff>476250</xdr:colOff>
                    <xdr:row>157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6" r:id="rId274" name="Spinner 972">
              <controlPr defaultSize="0" autoPict="0">
                <anchor moveWithCells="1" sizeWithCells="1">
                  <from>
                    <xdr:col>13</xdr:col>
                    <xdr:colOff>66675</xdr:colOff>
                    <xdr:row>158</xdr:row>
                    <xdr:rowOff>57150</xdr:rowOff>
                  </from>
                  <to>
                    <xdr:col>13</xdr:col>
                    <xdr:colOff>485775</xdr:colOff>
                    <xdr:row>158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7" r:id="rId275" name="Spinner 973">
              <controlPr defaultSize="0" autoPict="0">
                <anchor moveWithCells="1" sizeWithCells="1">
                  <from>
                    <xdr:col>13</xdr:col>
                    <xdr:colOff>66675</xdr:colOff>
                    <xdr:row>159</xdr:row>
                    <xdr:rowOff>28575</xdr:rowOff>
                  </from>
                  <to>
                    <xdr:col>13</xdr:col>
                    <xdr:colOff>485775</xdr:colOff>
                    <xdr:row>159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8" r:id="rId276" name="Spinner 974">
              <controlPr defaultSize="0" autoPict="0">
                <anchor moveWithCells="1" sizeWithCells="1">
                  <from>
                    <xdr:col>13</xdr:col>
                    <xdr:colOff>66675</xdr:colOff>
                    <xdr:row>160</xdr:row>
                    <xdr:rowOff>66675</xdr:rowOff>
                  </from>
                  <to>
                    <xdr:col>13</xdr:col>
                    <xdr:colOff>485775</xdr:colOff>
                    <xdr:row>160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9" r:id="rId277" name="Spinner 975">
              <controlPr defaultSize="0" autoPict="0">
                <anchor moveWithCells="1" sizeWithCells="1">
                  <from>
                    <xdr:col>13</xdr:col>
                    <xdr:colOff>47625</xdr:colOff>
                    <xdr:row>161</xdr:row>
                    <xdr:rowOff>38100</xdr:rowOff>
                  </from>
                  <to>
                    <xdr:col>13</xdr:col>
                    <xdr:colOff>466725</xdr:colOff>
                    <xdr:row>161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0" r:id="rId278" name="Spinner 976">
              <controlPr defaultSize="0" autoPict="0">
                <anchor moveWithCells="1" sizeWithCells="1">
                  <from>
                    <xdr:col>18</xdr:col>
                    <xdr:colOff>28575</xdr:colOff>
                    <xdr:row>154</xdr:row>
                    <xdr:rowOff>47625</xdr:rowOff>
                  </from>
                  <to>
                    <xdr:col>18</xdr:col>
                    <xdr:colOff>857250</xdr:colOff>
                    <xdr:row>154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1" r:id="rId279" name="Spinner 977">
              <controlPr defaultSize="0" autoPict="0">
                <anchor moveWithCells="1" sizeWithCells="1">
                  <from>
                    <xdr:col>18</xdr:col>
                    <xdr:colOff>9525</xdr:colOff>
                    <xdr:row>155</xdr:row>
                    <xdr:rowOff>57150</xdr:rowOff>
                  </from>
                  <to>
                    <xdr:col>18</xdr:col>
                    <xdr:colOff>857250</xdr:colOff>
                    <xdr:row>155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2" r:id="rId280" name="Spinner 978">
              <controlPr defaultSize="0" autoPict="0">
                <anchor moveWithCells="1" sizeWithCells="1">
                  <from>
                    <xdr:col>18</xdr:col>
                    <xdr:colOff>19050</xdr:colOff>
                    <xdr:row>156</xdr:row>
                    <xdr:rowOff>9525</xdr:rowOff>
                  </from>
                  <to>
                    <xdr:col>19</xdr:col>
                    <xdr:colOff>0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3" r:id="rId281" name="Spinner 979">
              <controlPr defaultSize="0" autoPict="0">
                <anchor moveWithCells="1" sizeWithCells="1">
                  <from>
                    <xdr:col>25</xdr:col>
                    <xdr:colOff>57150</xdr:colOff>
                    <xdr:row>154</xdr:row>
                    <xdr:rowOff>104775</xdr:rowOff>
                  </from>
                  <to>
                    <xdr:col>25</xdr:col>
                    <xdr:colOff>876300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4" r:id="rId282" name="Spinner 980">
              <controlPr defaultSize="0" autoPict="0">
                <anchor moveWithCells="1" sizeWithCells="1">
                  <from>
                    <xdr:col>25</xdr:col>
                    <xdr:colOff>57150</xdr:colOff>
                    <xdr:row>155</xdr:row>
                    <xdr:rowOff>76200</xdr:rowOff>
                  </from>
                  <to>
                    <xdr:col>25</xdr:col>
                    <xdr:colOff>876300</xdr:colOff>
                    <xdr:row>155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5" r:id="rId283" name="Spinner 981">
              <controlPr defaultSize="0" autoPict="0">
                <anchor moveWithCells="1" sizeWithCells="1">
                  <from>
                    <xdr:col>25</xdr:col>
                    <xdr:colOff>66675</xdr:colOff>
                    <xdr:row>156</xdr:row>
                    <xdr:rowOff>28575</xdr:rowOff>
                  </from>
                  <to>
                    <xdr:col>25</xdr:col>
                    <xdr:colOff>885825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6" r:id="rId284" name="Spinner 982">
              <controlPr defaultSize="0" autoPict="0">
                <anchor moveWithCells="1" sizeWithCells="1">
                  <from>
                    <xdr:col>25</xdr:col>
                    <xdr:colOff>47625</xdr:colOff>
                    <xdr:row>157</xdr:row>
                    <xdr:rowOff>28575</xdr:rowOff>
                  </from>
                  <to>
                    <xdr:col>25</xdr:col>
                    <xdr:colOff>866775</xdr:colOff>
                    <xdr:row>157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7" r:id="rId285" name="Spinner 983">
              <controlPr defaultSize="0" autoPict="0">
                <anchor moveWithCells="1" sizeWithCells="1">
                  <from>
                    <xdr:col>25</xdr:col>
                    <xdr:colOff>57150</xdr:colOff>
                    <xdr:row>158</xdr:row>
                    <xdr:rowOff>47625</xdr:rowOff>
                  </from>
                  <to>
                    <xdr:col>25</xdr:col>
                    <xdr:colOff>876300</xdr:colOff>
                    <xdr:row>158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8" r:id="rId286" name="Spinner 984">
              <controlPr defaultSize="0" autoPict="0">
                <anchor moveWithCells="1" sizeWithCells="1">
                  <from>
                    <xdr:col>25</xdr:col>
                    <xdr:colOff>57150</xdr:colOff>
                    <xdr:row>159</xdr:row>
                    <xdr:rowOff>57150</xdr:rowOff>
                  </from>
                  <to>
                    <xdr:col>25</xdr:col>
                    <xdr:colOff>876300</xdr:colOff>
                    <xdr:row>159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9" r:id="rId287" name="Spinner 985">
              <controlPr defaultSize="0" autoPict="0">
                <anchor moveWithCells="1" sizeWithCells="1">
                  <from>
                    <xdr:col>29</xdr:col>
                    <xdr:colOff>76200</xdr:colOff>
                    <xdr:row>154</xdr:row>
                    <xdr:rowOff>123825</xdr:rowOff>
                  </from>
                  <to>
                    <xdr:col>29</xdr:col>
                    <xdr:colOff>895350</xdr:colOff>
                    <xdr:row>154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0" r:id="rId288" name="Spinner 986">
              <controlPr defaultSize="0" autoPict="0">
                <anchor moveWithCells="1" sizeWithCells="1">
                  <from>
                    <xdr:col>29</xdr:col>
                    <xdr:colOff>76200</xdr:colOff>
                    <xdr:row>155</xdr:row>
                    <xdr:rowOff>123825</xdr:rowOff>
                  </from>
                  <to>
                    <xdr:col>29</xdr:col>
                    <xdr:colOff>895350</xdr:colOff>
                    <xdr:row>155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1" r:id="rId289" name="Spinner 987">
              <controlPr defaultSize="0" autoPict="0">
                <anchor moveWithCells="1" sizeWithCells="1">
                  <from>
                    <xdr:col>29</xdr:col>
                    <xdr:colOff>66675</xdr:colOff>
                    <xdr:row>156</xdr:row>
                    <xdr:rowOff>85725</xdr:rowOff>
                  </from>
                  <to>
                    <xdr:col>29</xdr:col>
                    <xdr:colOff>885825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2" r:id="rId290" name="Spinner 988">
              <controlPr defaultSize="0" autoPict="0">
                <anchor moveWithCells="1" sizeWithCells="1">
                  <from>
                    <xdr:col>29</xdr:col>
                    <xdr:colOff>66675</xdr:colOff>
                    <xdr:row>157</xdr:row>
                    <xdr:rowOff>104775</xdr:rowOff>
                  </from>
                  <to>
                    <xdr:col>29</xdr:col>
                    <xdr:colOff>885825</xdr:colOff>
                    <xdr:row>157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3" r:id="rId291" name="Spinner 989">
              <controlPr defaultSize="0" autoPict="0">
                <anchor moveWithCells="1" sizeWithCells="1">
                  <from>
                    <xdr:col>29</xdr:col>
                    <xdr:colOff>66675</xdr:colOff>
                    <xdr:row>158</xdr:row>
                    <xdr:rowOff>47625</xdr:rowOff>
                  </from>
                  <to>
                    <xdr:col>29</xdr:col>
                    <xdr:colOff>885825</xdr:colOff>
                    <xdr:row>158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4" r:id="rId292" name="Spinner 990">
              <controlPr defaultSize="0" autoPict="0">
                <anchor moveWithCells="1" sizeWithCells="1">
                  <from>
                    <xdr:col>29</xdr:col>
                    <xdr:colOff>66675</xdr:colOff>
                    <xdr:row>159</xdr:row>
                    <xdr:rowOff>66675</xdr:rowOff>
                  </from>
                  <to>
                    <xdr:col>29</xdr:col>
                    <xdr:colOff>885825</xdr:colOff>
                    <xdr:row>159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5" r:id="rId293" name="Spinner 991">
              <controlPr defaultSize="0" autoPict="0">
                <anchor moveWithCells="1" sizeWithCells="1">
                  <from>
                    <xdr:col>33</xdr:col>
                    <xdr:colOff>47625</xdr:colOff>
                    <xdr:row>154</xdr:row>
                    <xdr:rowOff>142875</xdr:rowOff>
                  </from>
                  <to>
                    <xdr:col>33</xdr:col>
                    <xdr:colOff>866775</xdr:colOff>
                    <xdr:row>154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6" r:id="rId294" name="Spinner 992">
              <controlPr defaultSize="0" autoPict="0">
                <anchor moveWithCells="1" sizeWithCells="1">
                  <from>
                    <xdr:col>33</xdr:col>
                    <xdr:colOff>57150</xdr:colOff>
                    <xdr:row>155</xdr:row>
                    <xdr:rowOff>76200</xdr:rowOff>
                  </from>
                  <to>
                    <xdr:col>33</xdr:col>
                    <xdr:colOff>876300</xdr:colOff>
                    <xdr:row>155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7" r:id="rId295" name="Spinner 993">
              <controlPr defaultSize="0" autoPict="0">
                <anchor moveWithCells="1" sizeWithCells="1">
                  <from>
                    <xdr:col>33</xdr:col>
                    <xdr:colOff>57150</xdr:colOff>
                    <xdr:row>156</xdr:row>
                    <xdr:rowOff>104775</xdr:rowOff>
                  </from>
                  <to>
                    <xdr:col>33</xdr:col>
                    <xdr:colOff>876300</xdr:colOff>
                    <xdr:row>156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8" r:id="rId296" name="Spinner 994">
              <controlPr defaultSize="0" autoPict="0">
                <anchor moveWithCells="1" sizeWithCells="1">
                  <from>
                    <xdr:col>33</xdr:col>
                    <xdr:colOff>57150</xdr:colOff>
                    <xdr:row>157</xdr:row>
                    <xdr:rowOff>133350</xdr:rowOff>
                  </from>
                  <to>
                    <xdr:col>33</xdr:col>
                    <xdr:colOff>876300</xdr:colOff>
                    <xdr:row>157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9" r:id="rId297" name="Spinner 995">
              <controlPr defaultSize="0" autoPict="0">
                <anchor moveWithCells="1" sizeWithCells="1">
                  <from>
                    <xdr:col>33</xdr:col>
                    <xdr:colOff>66675</xdr:colOff>
                    <xdr:row>158</xdr:row>
                    <xdr:rowOff>123825</xdr:rowOff>
                  </from>
                  <to>
                    <xdr:col>33</xdr:col>
                    <xdr:colOff>885825</xdr:colOff>
                    <xdr:row>158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0" r:id="rId298" name="Spinner 996">
              <controlPr defaultSize="0" autoPict="0">
                <anchor moveWithCells="1" sizeWithCells="1">
                  <from>
                    <xdr:col>33</xdr:col>
                    <xdr:colOff>76200</xdr:colOff>
                    <xdr:row>159</xdr:row>
                    <xdr:rowOff>104775</xdr:rowOff>
                  </from>
                  <to>
                    <xdr:col>33</xdr:col>
                    <xdr:colOff>895350</xdr:colOff>
                    <xdr:row>159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1" r:id="rId299" name="Spinner 997">
              <controlPr defaultSize="0" autoPict="0">
                <anchor moveWithCells="1" sizeWithCells="1">
                  <from>
                    <xdr:col>38</xdr:col>
                    <xdr:colOff>38100</xdr:colOff>
                    <xdr:row>154</xdr:row>
                    <xdr:rowOff>38100</xdr:rowOff>
                  </from>
                  <to>
                    <xdr:col>38</xdr:col>
                    <xdr:colOff>819150</xdr:colOff>
                    <xdr:row>154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2" r:id="rId300" name="Spinner 998">
              <controlPr defaultSize="0" autoPict="0">
                <anchor moveWithCells="1" sizeWithCells="1">
                  <from>
                    <xdr:col>38</xdr:col>
                    <xdr:colOff>38100</xdr:colOff>
                    <xdr:row>155</xdr:row>
                    <xdr:rowOff>28575</xdr:rowOff>
                  </from>
                  <to>
                    <xdr:col>38</xdr:col>
                    <xdr:colOff>800100</xdr:colOff>
                    <xdr:row>155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3" r:id="rId301" name="Spinner 999">
              <controlPr defaultSize="0" autoPict="0">
                <anchor moveWithCells="1" sizeWithCells="1">
                  <from>
                    <xdr:col>38</xdr:col>
                    <xdr:colOff>19050</xdr:colOff>
                    <xdr:row>156</xdr:row>
                    <xdr:rowOff>104775</xdr:rowOff>
                  </from>
                  <to>
                    <xdr:col>38</xdr:col>
                    <xdr:colOff>819150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5" r:id="rId302" name="Spinner 1021">
              <controlPr defaultSize="0" autoPict="0">
                <anchor moveWithCells="1" sizeWithCells="1">
                  <from>
                    <xdr:col>25</xdr:col>
                    <xdr:colOff>57150</xdr:colOff>
                    <xdr:row>183</xdr:row>
                    <xdr:rowOff>66675</xdr:rowOff>
                  </from>
                  <to>
                    <xdr:col>25</xdr:col>
                    <xdr:colOff>876300</xdr:colOff>
                    <xdr:row>183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6" r:id="rId303" name="Spinner 1022">
              <controlPr defaultSize="0" autoPict="0">
                <anchor moveWithCells="1" sizeWithCells="1">
                  <from>
                    <xdr:col>25</xdr:col>
                    <xdr:colOff>66675</xdr:colOff>
                    <xdr:row>184</xdr:row>
                    <xdr:rowOff>38100</xdr:rowOff>
                  </from>
                  <to>
                    <xdr:col>25</xdr:col>
                    <xdr:colOff>885825</xdr:colOff>
                    <xdr:row>184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7" r:id="rId304" name="Spinner 1023">
              <controlPr defaultSize="0" autoPict="0">
                <anchor moveWithCells="1" sizeWithCells="1">
                  <from>
                    <xdr:col>25</xdr:col>
                    <xdr:colOff>47625</xdr:colOff>
                    <xdr:row>185</xdr:row>
                    <xdr:rowOff>66675</xdr:rowOff>
                  </from>
                  <to>
                    <xdr:col>25</xdr:col>
                    <xdr:colOff>866775</xdr:colOff>
                    <xdr:row>185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" r:id="rId305" name="Spinner 1024">
              <controlPr defaultSize="0" autoPict="0">
                <anchor moveWithCells="1" sizeWithCells="1">
                  <from>
                    <xdr:col>25</xdr:col>
                    <xdr:colOff>76200</xdr:colOff>
                    <xdr:row>186</xdr:row>
                    <xdr:rowOff>66675</xdr:rowOff>
                  </from>
                  <to>
                    <xdr:col>25</xdr:col>
                    <xdr:colOff>895350</xdr:colOff>
                    <xdr:row>186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9" r:id="rId306" name="Spinner 1025">
              <controlPr defaultSize="0" autoPict="0">
                <anchor moveWithCells="1" sizeWithCells="1">
                  <from>
                    <xdr:col>25</xdr:col>
                    <xdr:colOff>76200</xdr:colOff>
                    <xdr:row>187</xdr:row>
                    <xdr:rowOff>47625</xdr:rowOff>
                  </from>
                  <to>
                    <xdr:col>25</xdr:col>
                    <xdr:colOff>895350</xdr:colOff>
                    <xdr:row>187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307" name="Spinner 1026">
              <controlPr defaultSize="0" autoPict="0">
                <anchor moveWithCells="1" sizeWithCells="1">
                  <from>
                    <xdr:col>25</xdr:col>
                    <xdr:colOff>66675</xdr:colOff>
                    <xdr:row>188</xdr:row>
                    <xdr:rowOff>57150</xdr:rowOff>
                  </from>
                  <to>
                    <xdr:col>25</xdr:col>
                    <xdr:colOff>885825</xdr:colOff>
                    <xdr:row>188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308" name="Spinner 1027">
              <controlPr defaultSize="0" autoPict="0">
                <anchor moveWithCells="1" sizeWithCells="1">
                  <from>
                    <xdr:col>29</xdr:col>
                    <xdr:colOff>76200</xdr:colOff>
                    <xdr:row>183</xdr:row>
                    <xdr:rowOff>209550</xdr:rowOff>
                  </from>
                  <to>
                    <xdr:col>29</xdr:col>
                    <xdr:colOff>895350</xdr:colOff>
                    <xdr:row>183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309" name="Spinner 1028">
              <controlPr defaultSize="0" autoPict="0">
                <anchor moveWithCells="1" sizeWithCells="1">
                  <from>
                    <xdr:col>29</xdr:col>
                    <xdr:colOff>76200</xdr:colOff>
                    <xdr:row>184</xdr:row>
                    <xdr:rowOff>57150</xdr:rowOff>
                  </from>
                  <to>
                    <xdr:col>29</xdr:col>
                    <xdr:colOff>895350</xdr:colOff>
                    <xdr:row>184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310" name="Spinner 1029">
              <controlPr defaultSize="0" autoPict="0">
                <anchor moveWithCells="1" sizeWithCells="1">
                  <from>
                    <xdr:col>29</xdr:col>
                    <xdr:colOff>66675</xdr:colOff>
                    <xdr:row>185</xdr:row>
                    <xdr:rowOff>142875</xdr:rowOff>
                  </from>
                  <to>
                    <xdr:col>29</xdr:col>
                    <xdr:colOff>885825</xdr:colOff>
                    <xdr:row>185</xdr:row>
                    <xdr:rowOff>590550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311" name="Spinner 1030">
              <controlPr defaultSize="0" autoPict="0">
                <anchor moveWithCells="1" sizeWithCells="1">
                  <from>
                    <xdr:col>29</xdr:col>
                    <xdr:colOff>66675</xdr:colOff>
                    <xdr:row>186</xdr:row>
                    <xdr:rowOff>66675</xdr:rowOff>
                  </from>
                  <to>
                    <xdr:col>29</xdr:col>
                    <xdr:colOff>885825</xdr:colOff>
                    <xdr:row>186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312" name="Spinner 1031">
              <controlPr defaultSize="0" autoPict="0">
                <anchor moveWithCells="1" sizeWithCells="1">
                  <from>
                    <xdr:col>29</xdr:col>
                    <xdr:colOff>66675</xdr:colOff>
                    <xdr:row>187</xdr:row>
                    <xdr:rowOff>76200</xdr:rowOff>
                  </from>
                  <to>
                    <xdr:col>29</xdr:col>
                    <xdr:colOff>885825</xdr:colOff>
                    <xdr:row>187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313" name="Spinner 1032">
              <controlPr defaultSize="0" autoPict="0">
                <anchor moveWithCells="1" sizeWithCells="1">
                  <from>
                    <xdr:col>29</xdr:col>
                    <xdr:colOff>76200</xdr:colOff>
                    <xdr:row>188</xdr:row>
                    <xdr:rowOff>66675</xdr:rowOff>
                  </from>
                  <to>
                    <xdr:col>29</xdr:col>
                    <xdr:colOff>895350</xdr:colOff>
                    <xdr:row>188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314" name="Spinner 1033">
              <controlPr defaultSize="0" autoPict="0">
                <anchor moveWithCells="1" sizeWithCells="1">
                  <from>
                    <xdr:col>33</xdr:col>
                    <xdr:colOff>28575</xdr:colOff>
                    <xdr:row>183</xdr:row>
                    <xdr:rowOff>66675</xdr:rowOff>
                  </from>
                  <to>
                    <xdr:col>33</xdr:col>
                    <xdr:colOff>847725</xdr:colOff>
                    <xdr:row>183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315" name="Spinner 1034">
              <controlPr defaultSize="0" autoPict="0">
                <anchor moveWithCells="1" sizeWithCells="1">
                  <from>
                    <xdr:col>33</xdr:col>
                    <xdr:colOff>76200</xdr:colOff>
                    <xdr:row>184</xdr:row>
                    <xdr:rowOff>95250</xdr:rowOff>
                  </from>
                  <to>
                    <xdr:col>33</xdr:col>
                    <xdr:colOff>895350</xdr:colOff>
                    <xdr:row>184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316" name="Spinner 1035">
              <controlPr defaultSize="0" autoPict="0">
                <anchor moveWithCells="1" sizeWithCells="1">
                  <from>
                    <xdr:col>33</xdr:col>
                    <xdr:colOff>57150</xdr:colOff>
                    <xdr:row>185</xdr:row>
                    <xdr:rowOff>114300</xdr:rowOff>
                  </from>
                  <to>
                    <xdr:col>33</xdr:col>
                    <xdr:colOff>876300</xdr:colOff>
                    <xdr:row>185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317" name="Spinner 1036">
              <controlPr defaultSize="0" autoPict="0">
                <anchor moveWithCells="1" sizeWithCells="1">
                  <from>
                    <xdr:col>33</xdr:col>
                    <xdr:colOff>85725</xdr:colOff>
                    <xdr:row>186</xdr:row>
                    <xdr:rowOff>104775</xdr:rowOff>
                  </from>
                  <to>
                    <xdr:col>33</xdr:col>
                    <xdr:colOff>904875</xdr:colOff>
                    <xdr:row>186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318" name="Spinner 1037">
              <controlPr defaultSize="0" autoPict="0">
                <anchor moveWithCells="1" sizeWithCells="1">
                  <from>
                    <xdr:col>33</xdr:col>
                    <xdr:colOff>95250</xdr:colOff>
                    <xdr:row>187</xdr:row>
                    <xdr:rowOff>38100</xdr:rowOff>
                  </from>
                  <to>
                    <xdr:col>33</xdr:col>
                    <xdr:colOff>914400</xdr:colOff>
                    <xdr:row>187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319" name="Spinner 1038">
              <controlPr defaultSize="0" autoPict="0">
                <anchor moveWithCells="1" sizeWithCells="1">
                  <from>
                    <xdr:col>33</xdr:col>
                    <xdr:colOff>85725</xdr:colOff>
                    <xdr:row>188</xdr:row>
                    <xdr:rowOff>47625</xdr:rowOff>
                  </from>
                  <to>
                    <xdr:col>33</xdr:col>
                    <xdr:colOff>904875</xdr:colOff>
                    <xdr:row>188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320" name="Spinner 1039">
              <controlPr defaultSize="0" autoPict="0">
                <anchor moveWithCells="1" sizeWithCells="1">
                  <from>
                    <xdr:col>38</xdr:col>
                    <xdr:colOff>19050</xdr:colOff>
                    <xdr:row>183</xdr:row>
                    <xdr:rowOff>123825</xdr:rowOff>
                  </from>
                  <to>
                    <xdr:col>38</xdr:col>
                    <xdr:colOff>800100</xdr:colOff>
                    <xdr:row>183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321" name="Spinner 1040">
              <controlPr defaultSize="0" autoPict="0">
                <anchor moveWithCells="1" sizeWithCells="1">
                  <from>
                    <xdr:col>38</xdr:col>
                    <xdr:colOff>28575</xdr:colOff>
                    <xdr:row>184</xdr:row>
                    <xdr:rowOff>9525</xdr:rowOff>
                  </from>
                  <to>
                    <xdr:col>38</xdr:col>
                    <xdr:colOff>790575</xdr:colOff>
                    <xdr:row>184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322" name="Spinner 1041">
              <controlPr defaultSize="0" autoPict="0">
                <anchor moveWithCells="1" sizeWithCells="1">
                  <from>
                    <xdr:col>38</xdr:col>
                    <xdr:colOff>9525</xdr:colOff>
                    <xdr:row>185</xdr:row>
                    <xdr:rowOff>9525</xdr:rowOff>
                  </from>
                  <to>
                    <xdr:col>38</xdr:col>
                    <xdr:colOff>809625</xdr:colOff>
                    <xdr:row>185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323" name="Spinner 1042">
              <controlPr defaultSize="0" autoPict="0">
                <anchor moveWithCells="1" sizeWithCells="1">
                  <from>
                    <xdr:col>5</xdr:col>
                    <xdr:colOff>38100</xdr:colOff>
                    <xdr:row>220</xdr:row>
                    <xdr:rowOff>19050</xdr:rowOff>
                  </from>
                  <to>
                    <xdr:col>5</xdr:col>
                    <xdr:colOff>428625</xdr:colOff>
                    <xdr:row>220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324" name="Spinner 1043">
              <controlPr defaultSize="0" autoPict="0">
                <anchor moveWithCells="1" sizeWithCells="1">
                  <from>
                    <xdr:col>5</xdr:col>
                    <xdr:colOff>38100</xdr:colOff>
                    <xdr:row>219</xdr:row>
                    <xdr:rowOff>19050</xdr:rowOff>
                  </from>
                  <to>
                    <xdr:col>5</xdr:col>
                    <xdr:colOff>419100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325" name="Spinner 1044">
              <controlPr defaultSize="0" autoPict="0">
                <anchor moveWithCells="1" sizeWithCells="1">
                  <from>
                    <xdr:col>5</xdr:col>
                    <xdr:colOff>38100</xdr:colOff>
                    <xdr:row>218</xdr:row>
                    <xdr:rowOff>19050</xdr:rowOff>
                  </from>
                  <to>
                    <xdr:col>5</xdr:col>
                    <xdr:colOff>428625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326" name="Spinner 1045">
              <controlPr defaultSize="0" autoPict="0">
                <anchor moveWithCells="1" sizeWithCells="1">
                  <from>
                    <xdr:col>5</xdr:col>
                    <xdr:colOff>38100</xdr:colOff>
                    <xdr:row>217</xdr:row>
                    <xdr:rowOff>19050</xdr:rowOff>
                  </from>
                  <to>
                    <xdr:col>5</xdr:col>
                    <xdr:colOff>428625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327" name="Spinner 1046">
              <controlPr defaultSize="0" autoPict="0">
                <anchor moveWithCells="1" sizeWithCells="1">
                  <from>
                    <xdr:col>5</xdr:col>
                    <xdr:colOff>38100</xdr:colOff>
                    <xdr:row>216</xdr:row>
                    <xdr:rowOff>19050</xdr:rowOff>
                  </from>
                  <to>
                    <xdr:col>5</xdr:col>
                    <xdr:colOff>428625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328" name="Spinner 1047">
              <controlPr defaultSize="0" autoPict="0">
                <anchor moveWithCells="1" sizeWithCells="1">
                  <from>
                    <xdr:col>5</xdr:col>
                    <xdr:colOff>38100</xdr:colOff>
                    <xdr:row>215</xdr:row>
                    <xdr:rowOff>19050</xdr:rowOff>
                  </from>
                  <to>
                    <xdr:col>5</xdr:col>
                    <xdr:colOff>419100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329" name="Spinner 1048">
              <controlPr defaultSize="0" autoPict="0">
                <anchor moveWithCells="1" sizeWithCells="1">
                  <from>
                    <xdr:col>5</xdr:col>
                    <xdr:colOff>38100</xdr:colOff>
                    <xdr:row>214</xdr:row>
                    <xdr:rowOff>19050</xdr:rowOff>
                  </from>
                  <to>
                    <xdr:col>5</xdr:col>
                    <xdr:colOff>428625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330" name="Spinner 1049">
              <controlPr defaultSize="0" autoPict="0">
                <anchor moveWithCells="1" sizeWithCells="1">
                  <from>
                    <xdr:col>5</xdr:col>
                    <xdr:colOff>38100</xdr:colOff>
                    <xdr:row>213</xdr:row>
                    <xdr:rowOff>19050</xdr:rowOff>
                  </from>
                  <to>
                    <xdr:col>5</xdr:col>
                    <xdr:colOff>438150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331" name="Spinner 1050">
              <controlPr defaultSize="0" autoPict="0">
                <anchor moveWithCells="1" sizeWithCells="1">
                  <from>
                    <xdr:col>9</xdr:col>
                    <xdr:colOff>38100</xdr:colOff>
                    <xdr:row>220</xdr:row>
                    <xdr:rowOff>19050</xdr:rowOff>
                  </from>
                  <to>
                    <xdr:col>9</xdr:col>
                    <xdr:colOff>428625</xdr:colOff>
                    <xdr:row>220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32" name="Spinner 1051">
              <controlPr defaultSize="0" autoPict="0">
                <anchor moveWithCells="1" sizeWithCells="1">
                  <from>
                    <xdr:col>9</xdr:col>
                    <xdr:colOff>47625</xdr:colOff>
                    <xdr:row>219</xdr:row>
                    <xdr:rowOff>19050</xdr:rowOff>
                  </from>
                  <to>
                    <xdr:col>9</xdr:col>
                    <xdr:colOff>428625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33" name="Spinner 1052">
              <controlPr defaultSize="0" autoPict="0">
                <anchor moveWithCells="1" sizeWithCells="1">
                  <from>
                    <xdr:col>9</xdr:col>
                    <xdr:colOff>47625</xdr:colOff>
                    <xdr:row>218</xdr:row>
                    <xdr:rowOff>19050</xdr:rowOff>
                  </from>
                  <to>
                    <xdr:col>9</xdr:col>
                    <xdr:colOff>438150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34" name="Spinner 1053">
              <controlPr defaultSize="0" autoPict="0">
                <anchor moveWithCells="1" sizeWithCells="1">
                  <from>
                    <xdr:col>9</xdr:col>
                    <xdr:colOff>47625</xdr:colOff>
                    <xdr:row>217</xdr:row>
                    <xdr:rowOff>19050</xdr:rowOff>
                  </from>
                  <to>
                    <xdr:col>9</xdr:col>
                    <xdr:colOff>438150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5" name="Spinner 1054">
              <controlPr defaultSize="0" autoPict="0">
                <anchor moveWithCells="1" sizeWithCells="1">
                  <from>
                    <xdr:col>9</xdr:col>
                    <xdr:colOff>47625</xdr:colOff>
                    <xdr:row>216</xdr:row>
                    <xdr:rowOff>19050</xdr:rowOff>
                  </from>
                  <to>
                    <xdr:col>9</xdr:col>
                    <xdr:colOff>438150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36" name="Spinner 1055">
              <controlPr defaultSize="0" autoPict="0">
                <anchor moveWithCells="1" sizeWithCells="1">
                  <from>
                    <xdr:col>9</xdr:col>
                    <xdr:colOff>47625</xdr:colOff>
                    <xdr:row>215</xdr:row>
                    <xdr:rowOff>19050</xdr:rowOff>
                  </from>
                  <to>
                    <xdr:col>9</xdr:col>
                    <xdr:colOff>428625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37" name="Spinner 1056">
              <controlPr defaultSize="0" autoPict="0">
                <anchor moveWithCells="1" sizeWithCells="1">
                  <from>
                    <xdr:col>9</xdr:col>
                    <xdr:colOff>47625</xdr:colOff>
                    <xdr:row>214</xdr:row>
                    <xdr:rowOff>19050</xdr:rowOff>
                  </from>
                  <to>
                    <xdr:col>9</xdr:col>
                    <xdr:colOff>438150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38" name="Spinner 1057">
              <controlPr defaultSize="0" autoPict="0">
                <anchor moveWithCells="1" sizeWithCells="1">
                  <from>
                    <xdr:col>9</xdr:col>
                    <xdr:colOff>47625</xdr:colOff>
                    <xdr:row>213</xdr:row>
                    <xdr:rowOff>19050</xdr:rowOff>
                  </from>
                  <to>
                    <xdr:col>9</xdr:col>
                    <xdr:colOff>447675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39" name="Spinner 1059">
              <controlPr defaultSize="0" autoPict="0">
                <anchor moveWithCells="1" sizeWithCells="1">
                  <from>
                    <xdr:col>13</xdr:col>
                    <xdr:colOff>47625</xdr:colOff>
                    <xdr:row>219</xdr:row>
                    <xdr:rowOff>19050</xdr:rowOff>
                  </from>
                  <to>
                    <xdr:col>13</xdr:col>
                    <xdr:colOff>428625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40" name="Spinner 1060">
              <controlPr defaultSize="0" autoPict="0">
                <anchor moveWithCells="1" sizeWithCells="1">
                  <from>
                    <xdr:col>13</xdr:col>
                    <xdr:colOff>47625</xdr:colOff>
                    <xdr:row>218</xdr:row>
                    <xdr:rowOff>19050</xdr:rowOff>
                  </from>
                  <to>
                    <xdr:col>13</xdr:col>
                    <xdr:colOff>438150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341" name="Spinner 1061">
              <controlPr defaultSize="0" autoPict="0">
                <anchor moveWithCells="1" sizeWithCells="1">
                  <from>
                    <xdr:col>13</xdr:col>
                    <xdr:colOff>47625</xdr:colOff>
                    <xdr:row>217</xdr:row>
                    <xdr:rowOff>19050</xdr:rowOff>
                  </from>
                  <to>
                    <xdr:col>13</xdr:col>
                    <xdr:colOff>438150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342" name="Spinner 1062">
              <controlPr defaultSize="0" autoPict="0">
                <anchor moveWithCells="1" sizeWithCells="1">
                  <from>
                    <xdr:col>13</xdr:col>
                    <xdr:colOff>47625</xdr:colOff>
                    <xdr:row>216</xdr:row>
                    <xdr:rowOff>19050</xdr:rowOff>
                  </from>
                  <to>
                    <xdr:col>13</xdr:col>
                    <xdr:colOff>438150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343" name="Spinner 1063">
              <controlPr defaultSize="0" autoPict="0">
                <anchor moveWithCells="1" sizeWithCells="1">
                  <from>
                    <xdr:col>13</xdr:col>
                    <xdr:colOff>47625</xdr:colOff>
                    <xdr:row>215</xdr:row>
                    <xdr:rowOff>19050</xdr:rowOff>
                  </from>
                  <to>
                    <xdr:col>13</xdr:col>
                    <xdr:colOff>428625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344" name="Spinner 1064">
              <controlPr defaultSize="0" autoPict="0">
                <anchor moveWithCells="1" sizeWithCells="1">
                  <from>
                    <xdr:col>13</xdr:col>
                    <xdr:colOff>47625</xdr:colOff>
                    <xdr:row>214</xdr:row>
                    <xdr:rowOff>19050</xdr:rowOff>
                  </from>
                  <to>
                    <xdr:col>13</xdr:col>
                    <xdr:colOff>438150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345" name="Spinner 1065">
              <controlPr defaultSize="0" autoPict="0">
                <anchor moveWithCells="1" sizeWithCells="1">
                  <from>
                    <xdr:col>13</xdr:col>
                    <xdr:colOff>47625</xdr:colOff>
                    <xdr:row>213</xdr:row>
                    <xdr:rowOff>19050</xdr:rowOff>
                  </from>
                  <to>
                    <xdr:col>13</xdr:col>
                    <xdr:colOff>447675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346" name="Spinner 1066">
              <controlPr defaultSize="0" autoPict="0">
                <anchor moveWithCells="1" sizeWithCells="1">
                  <from>
                    <xdr:col>18</xdr:col>
                    <xdr:colOff>28575</xdr:colOff>
                    <xdr:row>213</xdr:row>
                    <xdr:rowOff>28575</xdr:rowOff>
                  </from>
                  <to>
                    <xdr:col>18</xdr:col>
                    <xdr:colOff>876300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347" name="Spinner 1067">
              <controlPr defaultSize="0" autoPict="0">
                <anchor moveWithCells="1" sizeWithCells="1">
                  <from>
                    <xdr:col>18</xdr:col>
                    <xdr:colOff>19050</xdr:colOff>
                    <xdr:row>214</xdr:row>
                    <xdr:rowOff>19050</xdr:rowOff>
                  </from>
                  <to>
                    <xdr:col>18</xdr:col>
                    <xdr:colOff>866775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348" name="Spinner 1068">
              <controlPr defaultSize="0" autoPict="0">
                <anchor moveWithCells="1" sizeWithCells="1">
                  <from>
                    <xdr:col>18</xdr:col>
                    <xdr:colOff>19050</xdr:colOff>
                    <xdr:row>215</xdr:row>
                    <xdr:rowOff>38100</xdr:rowOff>
                  </from>
                  <to>
                    <xdr:col>18</xdr:col>
                    <xdr:colOff>876300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349" name="Spinner 1069">
              <controlPr defaultSize="0" autoPict="0">
                <anchor moveWithCells="1" sizeWithCells="1">
                  <from>
                    <xdr:col>18</xdr:col>
                    <xdr:colOff>38100</xdr:colOff>
                    <xdr:row>219</xdr:row>
                    <xdr:rowOff>28575</xdr:rowOff>
                  </from>
                  <to>
                    <xdr:col>19</xdr:col>
                    <xdr:colOff>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350" name="Spinner 1070">
              <controlPr defaultSize="0" autoPict="0">
                <anchor moveWithCells="1" sizeWithCells="1">
                  <from>
                    <xdr:col>25</xdr:col>
                    <xdr:colOff>57150</xdr:colOff>
                    <xdr:row>213</xdr:row>
                    <xdr:rowOff>47625</xdr:rowOff>
                  </from>
                  <to>
                    <xdr:col>25</xdr:col>
                    <xdr:colOff>876300</xdr:colOff>
                    <xdr:row>213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351" name="Spinner 1071">
              <controlPr defaultSize="0" autoPict="0">
                <anchor moveWithCells="1" sizeWithCells="1">
                  <from>
                    <xdr:col>25</xdr:col>
                    <xdr:colOff>47625</xdr:colOff>
                    <xdr:row>214</xdr:row>
                    <xdr:rowOff>19050</xdr:rowOff>
                  </from>
                  <to>
                    <xdr:col>25</xdr:col>
                    <xdr:colOff>866775</xdr:colOff>
                    <xdr:row>214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352" name="Spinner 1072">
              <controlPr defaultSize="0" autoPict="0">
                <anchor moveWithCells="1" sizeWithCells="1">
                  <from>
                    <xdr:col>25</xdr:col>
                    <xdr:colOff>57150</xdr:colOff>
                    <xdr:row>215</xdr:row>
                    <xdr:rowOff>38100</xdr:rowOff>
                  </from>
                  <to>
                    <xdr:col>25</xdr:col>
                    <xdr:colOff>876300</xdr:colOff>
                    <xdr:row>215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353" name="Spinner 1073">
              <controlPr defaultSize="0" autoPict="0">
                <anchor moveWithCells="1" sizeWithCells="1">
                  <from>
                    <xdr:col>25</xdr:col>
                    <xdr:colOff>66675</xdr:colOff>
                    <xdr:row>216</xdr:row>
                    <xdr:rowOff>57150</xdr:rowOff>
                  </from>
                  <to>
                    <xdr:col>25</xdr:col>
                    <xdr:colOff>885825</xdr:colOff>
                    <xdr:row>216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8" r:id="rId354" name="Spinner 1074">
              <controlPr defaultSize="0" autoPict="0">
                <anchor moveWithCells="1" sizeWithCells="1">
                  <from>
                    <xdr:col>25</xdr:col>
                    <xdr:colOff>66675</xdr:colOff>
                    <xdr:row>217</xdr:row>
                    <xdr:rowOff>47625</xdr:rowOff>
                  </from>
                  <to>
                    <xdr:col>25</xdr:col>
                    <xdr:colOff>885825</xdr:colOff>
                    <xdr:row>217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9" r:id="rId355" name="Spinner 1075">
              <controlPr defaultSize="0" autoPict="0">
                <anchor moveWithCells="1" sizeWithCells="1">
                  <from>
                    <xdr:col>25</xdr:col>
                    <xdr:colOff>66675</xdr:colOff>
                    <xdr:row>218</xdr:row>
                    <xdr:rowOff>47625</xdr:rowOff>
                  </from>
                  <to>
                    <xdr:col>25</xdr:col>
                    <xdr:colOff>885825</xdr:colOff>
                    <xdr:row>218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0" r:id="rId356" name="Spinner 1076">
              <controlPr defaultSize="0" autoPict="0">
                <anchor moveWithCells="1" sizeWithCells="1">
                  <from>
                    <xdr:col>29</xdr:col>
                    <xdr:colOff>76200</xdr:colOff>
                    <xdr:row>213</xdr:row>
                    <xdr:rowOff>95250</xdr:rowOff>
                  </from>
                  <to>
                    <xdr:col>29</xdr:col>
                    <xdr:colOff>895350</xdr:colOff>
                    <xdr:row>213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1" r:id="rId357" name="Spinner 1077">
              <controlPr defaultSize="0" autoPict="0">
                <anchor moveWithCells="1" sizeWithCells="1">
                  <from>
                    <xdr:col>29</xdr:col>
                    <xdr:colOff>76200</xdr:colOff>
                    <xdr:row>214</xdr:row>
                    <xdr:rowOff>95250</xdr:rowOff>
                  </from>
                  <to>
                    <xdr:col>29</xdr:col>
                    <xdr:colOff>895350</xdr:colOff>
                    <xdr:row>214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2" r:id="rId358" name="Spinner 1078">
              <controlPr defaultSize="0" autoPict="0">
                <anchor moveWithCells="1" sizeWithCells="1">
                  <from>
                    <xdr:col>29</xdr:col>
                    <xdr:colOff>66675</xdr:colOff>
                    <xdr:row>215</xdr:row>
                    <xdr:rowOff>104775</xdr:rowOff>
                  </from>
                  <to>
                    <xdr:col>29</xdr:col>
                    <xdr:colOff>885825</xdr:colOff>
                    <xdr:row>215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3" r:id="rId359" name="Spinner 1079">
              <controlPr defaultSize="0" autoPict="0">
                <anchor moveWithCells="1" sizeWithCells="1">
                  <from>
                    <xdr:col>29</xdr:col>
                    <xdr:colOff>57150</xdr:colOff>
                    <xdr:row>216</xdr:row>
                    <xdr:rowOff>66675</xdr:rowOff>
                  </from>
                  <to>
                    <xdr:col>29</xdr:col>
                    <xdr:colOff>876300</xdr:colOff>
                    <xdr:row>216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4" r:id="rId360" name="Spinner 1080">
              <controlPr defaultSize="0" autoPict="0">
                <anchor moveWithCells="1" sizeWithCells="1">
                  <from>
                    <xdr:col>29</xdr:col>
                    <xdr:colOff>57150</xdr:colOff>
                    <xdr:row>217</xdr:row>
                    <xdr:rowOff>66675</xdr:rowOff>
                  </from>
                  <to>
                    <xdr:col>29</xdr:col>
                    <xdr:colOff>876300</xdr:colOff>
                    <xdr:row>217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5" r:id="rId361" name="Spinner 1081">
              <controlPr defaultSize="0" autoPict="0">
                <anchor moveWithCells="1" sizeWithCells="1">
                  <from>
                    <xdr:col>29</xdr:col>
                    <xdr:colOff>66675</xdr:colOff>
                    <xdr:row>218</xdr:row>
                    <xdr:rowOff>47625</xdr:rowOff>
                  </from>
                  <to>
                    <xdr:col>29</xdr:col>
                    <xdr:colOff>885825</xdr:colOff>
                    <xdr:row>218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6" r:id="rId362" name="Spinner 1082">
              <controlPr defaultSize="0" autoPict="0">
                <anchor moveWithCells="1" sizeWithCells="1">
                  <from>
                    <xdr:col>33</xdr:col>
                    <xdr:colOff>76200</xdr:colOff>
                    <xdr:row>213</xdr:row>
                    <xdr:rowOff>104775</xdr:rowOff>
                  </from>
                  <to>
                    <xdr:col>33</xdr:col>
                    <xdr:colOff>895350</xdr:colOff>
                    <xdr:row>213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7" r:id="rId363" name="Spinner 1083">
              <controlPr defaultSize="0" autoPict="0">
                <anchor moveWithCells="1" sizeWithCells="1">
                  <from>
                    <xdr:col>33</xdr:col>
                    <xdr:colOff>66675</xdr:colOff>
                    <xdr:row>214</xdr:row>
                    <xdr:rowOff>57150</xdr:rowOff>
                  </from>
                  <to>
                    <xdr:col>33</xdr:col>
                    <xdr:colOff>885825</xdr:colOff>
                    <xdr:row>214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8" r:id="rId364" name="Spinner 1084">
              <controlPr defaultSize="0" autoPict="0">
                <anchor moveWithCells="1" sizeWithCells="1">
                  <from>
                    <xdr:col>33</xdr:col>
                    <xdr:colOff>57150</xdr:colOff>
                    <xdr:row>215</xdr:row>
                    <xdr:rowOff>66675</xdr:rowOff>
                  </from>
                  <to>
                    <xdr:col>33</xdr:col>
                    <xdr:colOff>876300</xdr:colOff>
                    <xdr:row>215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9" r:id="rId365" name="Spinner 1085">
              <controlPr defaultSize="0" autoPict="0">
                <anchor moveWithCells="1" sizeWithCells="1">
                  <from>
                    <xdr:col>33</xdr:col>
                    <xdr:colOff>76200</xdr:colOff>
                    <xdr:row>216</xdr:row>
                    <xdr:rowOff>85725</xdr:rowOff>
                  </from>
                  <to>
                    <xdr:col>33</xdr:col>
                    <xdr:colOff>895350</xdr:colOff>
                    <xdr:row>216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0" r:id="rId366" name="Spinner 1086">
              <controlPr defaultSize="0" autoPict="0">
                <anchor moveWithCells="1" sizeWithCells="1">
                  <from>
                    <xdr:col>33</xdr:col>
                    <xdr:colOff>85725</xdr:colOff>
                    <xdr:row>217</xdr:row>
                    <xdr:rowOff>38100</xdr:rowOff>
                  </from>
                  <to>
                    <xdr:col>33</xdr:col>
                    <xdr:colOff>904875</xdr:colOff>
                    <xdr:row>217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1" r:id="rId367" name="Spinner 1087">
              <controlPr defaultSize="0" autoPict="0">
                <anchor moveWithCells="1" sizeWithCells="1">
                  <from>
                    <xdr:col>33</xdr:col>
                    <xdr:colOff>66675</xdr:colOff>
                    <xdr:row>218</xdr:row>
                    <xdr:rowOff>38100</xdr:rowOff>
                  </from>
                  <to>
                    <xdr:col>33</xdr:col>
                    <xdr:colOff>885825</xdr:colOff>
                    <xdr:row>218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2" r:id="rId368" name="Spinner 1088">
              <controlPr defaultSize="0" autoPict="0">
                <anchor moveWithCells="1" sizeWithCells="1">
                  <from>
                    <xdr:col>38</xdr:col>
                    <xdr:colOff>38100</xdr:colOff>
                    <xdr:row>213</xdr:row>
                    <xdr:rowOff>28575</xdr:rowOff>
                  </from>
                  <to>
                    <xdr:col>38</xdr:col>
                    <xdr:colOff>809625</xdr:colOff>
                    <xdr:row>213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3" r:id="rId369" name="Spinner 1089">
              <controlPr defaultSize="0" autoPict="0">
                <anchor moveWithCells="1" sizeWithCells="1">
                  <from>
                    <xdr:col>38</xdr:col>
                    <xdr:colOff>28575</xdr:colOff>
                    <xdr:row>214</xdr:row>
                    <xdr:rowOff>28575</xdr:rowOff>
                  </from>
                  <to>
                    <xdr:col>38</xdr:col>
                    <xdr:colOff>800100</xdr:colOff>
                    <xdr:row>214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4" r:id="rId370" name="Spinner 1090">
              <controlPr defaultSize="0" autoPict="0">
                <anchor moveWithCells="1" sizeWithCells="1">
                  <from>
                    <xdr:col>38</xdr:col>
                    <xdr:colOff>19050</xdr:colOff>
                    <xdr:row>215</xdr:row>
                    <xdr:rowOff>19050</xdr:rowOff>
                  </from>
                  <to>
                    <xdr:col>38</xdr:col>
                    <xdr:colOff>819150</xdr:colOff>
                    <xdr:row>215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5" r:id="rId371" name="Spinner 1091">
              <controlPr defaultSize="0" autoPict="0">
                <anchor moveWithCells="1" sizeWithCells="1">
                  <from>
                    <xdr:col>13</xdr:col>
                    <xdr:colOff>47625</xdr:colOff>
                    <xdr:row>220</xdr:row>
                    <xdr:rowOff>19050</xdr:rowOff>
                  </from>
                  <to>
                    <xdr:col>13</xdr:col>
                    <xdr:colOff>428625</xdr:colOff>
                    <xdr:row>220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6" r:id="rId372" name="Spinner 1092">
              <controlPr defaultSize="0" autoPict="0">
                <anchor moveWithCells="1" sizeWithCells="1">
                  <from>
                    <xdr:col>5</xdr:col>
                    <xdr:colOff>38100</xdr:colOff>
                    <xdr:row>250</xdr:row>
                    <xdr:rowOff>19050</xdr:rowOff>
                  </from>
                  <to>
                    <xdr:col>5</xdr:col>
                    <xdr:colOff>428625</xdr:colOff>
                    <xdr:row>250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7" r:id="rId373" name="Spinner 1093">
              <controlPr defaultSize="0" autoPict="0">
                <anchor moveWithCells="1" sizeWithCells="1">
                  <from>
                    <xdr:col>5</xdr:col>
                    <xdr:colOff>38100</xdr:colOff>
                    <xdr:row>249</xdr:row>
                    <xdr:rowOff>19050</xdr:rowOff>
                  </from>
                  <to>
                    <xdr:col>5</xdr:col>
                    <xdr:colOff>419100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8" r:id="rId374" name="Spinner 1094">
              <controlPr defaultSize="0" autoPict="0">
                <anchor moveWithCells="1" sizeWithCells="1">
                  <from>
                    <xdr:col>5</xdr:col>
                    <xdr:colOff>38100</xdr:colOff>
                    <xdr:row>248</xdr:row>
                    <xdr:rowOff>19050</xdr:rowOff>
                  </from>
                  <to>
                    <xdr:col>5</xdr:col>
                    <xdr:colOff>428625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9" r:id="rId375" name="Spinner 1095">
              <controlPr defaultSize="0" autoPict="0">
                <anchor moveWithCells="1" sizeWithCells="1">
                  <from>
                    <xdr:col>5</xdr:col>
                    <xdr:colOff>38100</xdr:colOff>
                    <xdr:row>247</xdr:row>
                    <xdr:rowOff>19050</xdr:rowOff>
                  </from>
                  <to>
                    <xdr:col>5</xdr:col>
                    <xdr:colOff>428625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0" r:id="rId376" name="Spinner 1096">
              <controlPr defaultSize="0" autoPict="0">
                <anchor moveWithCells="1" sizeWithCells="1">
                  <from>
                    <xdr:col>5</xdr:col>
                    <xdr:colOff>38100</xdr:colOff>
                    <xdr:row>246</xdr:row>
                    <xdr:rowOff>19050</xdr:rowOff>
                  </from>
                  <to>
                    <xdr:col>5</xdr:col>
                    <xdr:colOff>428625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1" r:id="rId377" name="Spinner 1097">
              <controlPr defaultSize="0" autoPict="0">
                <anchor moveWithCells="1" sizeWithCells="1">
                  <from>
                    <xdr:col>5</xdr:col>
                    <xdr:colOff>38100</xdr:colOff>
                    <xdr:row>245</xdr:row>
                    <xdr:rowOff>19050</xdr:rowOff>
                  </from>
                  <to>
                    <xdr:col>5</xdr:col>
                    <xdr:colOff>419100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2" r:id="rId378" name="Spinner 1098">
              <controlPr defaultSize="0" autoPict="0">
                <anchor moveWithCells="1" sizeWithCells="1">
                  <from>
                    <xdr:col>5</xdr:col>
                    <xdr:colOff>38100</xdr:colOff>
                    <xdr:row>244</xdr:row>
                    <xdr:rowOff>19050</xdr:rowOff>
                  </from>
                  <to>
                    <xdr:col>5</xdr:col>
                    <xdr:colOff>428625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3" r:id="rId379" name="Spinner 1099">
              <controlPr defaultSize="0" autoPict="0">
                <anchor moveWithCells="1" sizeWithCells="1">
                  <from>
                    <xdr:col>5</xdr:col>
                    <xdr:colOff>38100</xdr:colOff>
                    <xdr:row>243</xdr:row>
                    <xdr:rowOff>19050</xdr:rowOff>
                  </from>
                  <to>
                    <xdr:col>5</xdr:col>
                    <xdr:colOff>438150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4" r:id="rId380" name="Spinner 1100">
              <controlPr defaultSize="0" autoPict="0">
                <anchor moveWithCells="1" sizeWithCells="1">
                  <from>
                    <xdr:col>9</xdr:col>
                    <xdr:colOff>38100</xdr:colOff>
                    <xdr:row>250</xdr:row>
                    <xdr:rowOff>19050</xdr:rowOff>
                  </from>
                  <to>
                    <xdr:col>9</xdr:col>
                    <xdr:colOff>428625</xdr:colOff>
                    <xdr:row>250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5" r:id="rId381" name="Spinner 1101">
              <controlPr defaultSize="0" autoPict="0">
                <anchor moveWithCells="1" sizeWithCells="1">
                  <from>
                    <xdr:col>9</xdr:col>
                    <xdr:colOff>47625</xdr:colOff>
                    <xdr:row>249</xdr:row>
                    <xdr:rowOff>19050</xdr:rowOff>
                  </from>
                  <to>
                    <xdr:col>9</xdr:col>
                    <xdr:colOff>428625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6" r:id="rId382" name="Spinner 1102">
              <controlPr defaultSize="0" autoPict="0">
                <anchor moveWithCells="1" sizeWithCells="1">
                  <from>
                    <xdr:col>9</xdr:col>
                    <xdr:colOff>47625</xdr:colOff>
                    <xdr:row>248</xdr:row>
                    <xdr:rowOff>19050</xdr:rowOff>
                  </from>
                  <to>
                    <xdr:col>9</xdr:col>
                    <xdr:colOff>438150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7" r:id="rId383" name="Spinner 1103">
              <controlPr defaultSize="0" autoPict="0">
                <anchor moveWithCells="1" sizeWithCells="1">
                  <from>
                    <xdr:col>9</xdr:col>
                    <xdr:colOff>47625</xdr:colOff>
                    <xdr:row>247</xdr:row>
                    <xdr:rowOff>19050</xdr:rowOff>
                  </from>
                  <to>
                    <xdr:col>9</xdr:col>
                    <xdr:colOff>438150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8" r:id="rId384" name="Spinner 1104">
              <controlPr defaultSize="0" autoPict="0">
                <anchor moveWithCells="1" sizeWithCells="1">
                  <from>
                    <xdr:col>9</xdr:col>
                    <xdr:colOff>47625</xdr:colOff>
                    <xdr:row>246</xdr:row>
                    <xdr:rowOff>19050</xdr:rowOff>
                  </from>
                  <to>
                    <xdr:col>9</xdr:col>
                    <xdr:colOff>438150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9" r:id="rId385" name="Spinner 1105">
              <controlPr defaultSize="0" autoPict="0">
                <anchor moveWithCells="1" sizeWithCells="1">
                  <from>
                    <xdr:col>9</xdr:col>
                    <xdr:colOff>47625</xdr:colOff>
                    <xdr:row>245</xdr:row>
                    <xdr:rowOff>19050</xdr:rowOff>
                  </from>
                  <to>
                    <xdr:col>9</xdr:col>
                    <xdr:colOff>428625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0" r:id="rId386" name="Spinner 1106">
              <controlPr defaultSize="0" autoPict="0">
                <anchor moveWithCells="1" sizeWithCells="1">
                  <from>
                    <xdr:col>9</xdr:col>
                    <xdr:colOff>47625</xdr:colOff>
                    <xdr:row>244</xdr:row>
                    <xdr:rowOff>19050</xdr:rowOff>
                  </from>
                  <to>
                    <xdr:col>9</xdr:col>
                    <xdr:colOff>438150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1" r:id="rId387" name="Spinner 1107">
              <controlPr defaultSize="0" autoPict="0">
                <anchor moveWithCells="1" sizeWithCells="1">
                  <from>
                    <xdr:col>9</xdr:col>
                    <xdr:colOff>47625</xdr:colOff>
                    <xdr:row>243</xdr:row>
                    <xdr:rowOff>19050</xdr:rowOff>
                  </from>
                  <to>
                    <xdr:col>9</xdr:col>
                    <xdr:colOff>447675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2" r:id="rId388" name="Spinner 1108">
              <controlPr defaultSize="0" autoPict="0">
                <anchor moveWithCells="1" sizeWithCells="1">
                  <from>
                    <xdr:col>13</xdr:col>
                    <xdr:colOff>47625</xdr:colOff>
                    <xdr:row>249</xdr:row>
                    <xdr:rowOff>19050</xdr:rowOff>
                  </from>
                  <to>
                    <xdr:col>13</xdr:col>
                    <xdr:colOff>428625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3" r:id="rId389" name="Spinner 1109">
              <controlPr defaultSize="0" autoPict="0">
                <anchor moveWithCells="1" sizeWithCells="1">
                  <from>
                    <xdr:col>13</xdr:col>
                    <xdr:colOff>47625</xdr:colOff>
                    <xdr:row>248</xdr:row>
                    <xdr:rowOff>19050</xdr:rowOff>
                  </from>
                  <to>
                    <xdr:col>13</xdr:col>
                    <xdr:colOff>438150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4" r:id="rId390" name="Spinner 1110">
              <controlPr defaultSize="0" autoPict="0">
                <anchor moveWithCells="1" sizeWithCells="1">
                  <from>
                    <xdr:col>13</xdr:col>
                    <xdr:colOff>47625</xdr:colOff>
                    <xdr:row>247</xdr:row>
                    <xdr:rowOff>19050</xdr:rowOff>
                  </from>
                  <to>
                    <xdr:col>13</xdr:col>
                    <xdr:colOff>438150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5" r:id="rId391" name="Spinner 1111">
              <controlPr defaultSize="0" autoPict="0">
                <anchor moveWithCells="1" sizeWithCells="1">
                  <from>
                    <xdr:col>13</xdr:col>
                    <xdr:colOff>47625</xdr:colOff>
                    <xdr:row>246</xdr:row>
                    <xdr:rowOff>19050</xdr:rowOff>
                  </from>
                  <to>
                    <xdr:col>13</xdr:col>
                    <xdr:colOff>438150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6" r:id="rId392" name="Spinner 1112">
              <controlPr defaultSize="0" autoPict="0">
                <anchor moveWithCells="1" sizeWithCells="1">
                  <from>
                    <xdr:col>13</xdr:col>
                    <xdr:colOff>47625</xdr:colOff>
                    <xdr:row>245</xdr:row>
                    <xdr:rowOff>19050</xdr:rowOff>
                  </from>
                  <to>
                    <xdr:col>13</xdr:col>
                    <xdr:colOff>428625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7" r:id="rId393" name="Spinner 1113">
              <controlPr defaultSize="0" autoPict="0">
                <anchor moveWithCells="1" sizeWithCells="1">
                  <from>
                    <xdr:col>13</xdr:col>
                    <xdr:colOff>47625</xdr:colOff>
                    <xdr:row>244</xdr:row>
                    <xdr:rowOff>19050</xdr:rowOff>
                  </from>
                  <to>
                    <xdr:col>13</xdr:col>
                    <xdr:colOff>438150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8" r:id="rId394" name="Spinner 1114">
              <controlPr defaultSize="0" autoPict="0">
                <anchor moveWithCells="1" sizeWithCells="1">
                  <from>
                    <xdr:col>13</xdr:col>
                    <xdr:colOff>47625</xdr:colOff>
                    <xdr:row>243</xdr:row>
                    <xdr:rowOff>19050</xdr:rowOff>
                  </from>
                  <to>
                    <xdr:col>13</xdr:col>
                    <xdr:colOff>447675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9" r:id="rId395" name="Spinner 1115">
              <controlPr defaultSize="0" autoPict="0">
                <anchor moveWithCells="1" sizeWithCells="1">
                  <from>
                    <xdr:col>18</xdr:col>
                    <xdr:colOff>28575</xdr:colOff>
                    <xdr:row>243</xdr:row>
                    <xdr:rowOff>28575</xdr:rowOff>
                  </from>
                  <to>
                    <xdr:col>18</xdr:col>
                    <xdr:colOff>876300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0" r:id="rId396" name="Spinner 1116">
              <controlPr defaultSize="0" autoPict="0">
                <anchor moveWithCells="1" sizeWithCells="1">
                  <from>
                    <xdr:col>18</xdr:col>
                    <xdr:colOff>19050</xdr:colOff>
                    <xdr:row>244</xdr:row>
                    <xdr:rowOff>19050</xdr:rowOff>
                  </from>
                  <to>
                    <xdr:col>18</xdr:col>
                    <xdr:colOff>866775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1" r:id="rId397" name="Spinner 1117">
              <controlPr defaultSize="0" autoPict="0">
                <anchor moveWithCells="1" sizeWithCells="1">
                  <from>
                    <xdr:col>18</xdr:col>
                    <xdr:colOff>19050</xdr:colOff>
                    <xdr:row>245</xdr:row>
                    <xdr:rowOff>38100</xdr:rowOff>
                  </from>
                  <to>
                    <xdr:col>18</xdr:col>
                    <xdr:colOff>876300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2" r:id="rId398" name="Spinner 1118">
              <controlPr defaultSize="0" autoPict="0">
                <anchor moveWithCells="1" sizeWithCells="1">
                  <from>
                    <xdr:col>18</xdr:col>
                    <xdr:colOff>38100</xdr:colOff>
                    <xdr:row>249</xdr:row>
                    <xdr:rowOff>28575</xdr:rowOff>
                  </from>
                  <to>
                    <xdr:col>19</xdr:col>
                    <xdr:colOff>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3" r:id="rId399" name="Spinner 1119">
              <controlPr defaultSize="0" autoPict="0">
                <anchor moveWithCells="1" sizeWithCells="1">
                  <from>
                    <xdr:col>25</xdr:col>
                    <xdr:colOff>57150</xdr:colOff>
                    <xdr:row>243</xdr:row>
                    <xdr:rowOff>47625</xdr:rowOff>
                  </from>
                  <to>
                    <xdr:col>25</xdr:col>
                    <xdr:colOff>876300</xdr:colOff>
                    <xdr:row>243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4" r:id="rId400" name="Spinner 1120">
              <controlPr defaultSize="0" autoPict="0">
                <anchor moveWithCells="1" sizeWithCells="1">
                  <from>
                    <xdr:col>25</xdr:col>
                    <xdr:colOff>47625</xdr:colOff>
                    <xdr:row>244</xdr:row>
                    <xdr:rowOff>19050</xdr:rowOff>
                  </from>
                  <to>
                    <xdr:col>25</xdr:col>
                    <xdr:colOff>866775</xdr:colOff>
                    <xdr:row>244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5" r:id="rId401" name="Spinner 1121">
              <controlPr defaultSize="0" autoPict="0">
                <anchor moveWithCells="1" sizeWithCells="1">
                  <from>
                    <xdr:col>25</xdr:col>
                    <xdr:colOff>57150</xdr:colOff>
                    <xdr:row>245</xdr:row>
                    <xdr:rowOff>38100</xdr:rowOff>
                  </from>
                  <to>
                    <xdr:col>25</xdr:col>
                    <xdr:colOff>876300</xdr:colOff>
                    <xdr:row>245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6" r:id="rId402" name="Spinner 1122">
              <controlPr defaultSize="0" autoPict="0">
                <anchor moveWithCells="1" sizeWithCells="1">
                  <from>
                    <xdr:col>25</xdr:col>
                    <xdr:colOff>66675</xdr:colOff>
                    <xdr:row>246</xdr:row>
                    <xdr:rowOff>57150</xdr:rowOff>
                  </from>
                  <to>
                    <xdr:col>25</xdr:col>
                    <xdr:colOff>885825</xdr:colOff>
                    <xdr:row>246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7" r:id="rId403" name="Spinner 1123">
              <controlPr defaultSize="0" autoPict="0">
                <anchor moveWithCells="1" sizeWithCells="1">
                  <from>
                    <xdr:col>25</xdr:col>
                    <xdr:colOff>66675</xdr:colOff>
                    <xdr:row>247</xdr:row>
                    <xdr:rowOff>47625</xdr:rowOff>
                  </from>
                  <to>
                    <xdr:col>25</xdr:col>
                    <xdr:colOff>885825</xdr:colOff>
                    <xdr:row>247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8" r:id="rId404" name="Spinner 1124">
              <controlPr defaultSize="0" autoPict="0">
                <anchor moveWithCells="1" sizeWithCells="1">
                  <from>
                    <xdr:col>25</xdr:col>
                    <xdr:colOff>66675</xdr:colOff>
                    <xdr:row>248</xdr:row>
                    <xdr:rowOff>47625</xdr:rowOff>
                  </from>
                  <to>
                    <xdr:col>25</xdr:col>
                    <xdr:colOff>885825</xdr:colOff>
                    <xdr:row>248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9" r:id="rId405" name="Spinner 1125">
              <controlPr defaultSize="0" autoPict="0">
                <anchor moveWithCells="1" sizeWithCells="1">
                  <from>
                    <xdr:col>29</xdr:col>
                    <xdr:colOff>76200</xdr:colOff>
                    <xdr:row>243</xdr:row>
                    <xdr:rowOff>95250</xdr:rowOff>
                  </from>
                  <to>
                    <xdr:col>29</xdr:col>
                    <xdr:colOff>895350</xdr:colOff>
                    <xdr:row>243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" r:id="rId406" name="Spinner 1126">
              <controlPr defaultSize="0" autoPict="0">
                <anchor moveWithCells="1" sizeWithCells="1">
                  <from>
                    <xdr:col>29</xdr:col>
                    <xdr:colOff>76200</xdr:colOff>
                    <xdr:row>244</xdr:row>
                    <xdr:rowOff>95250</xdr:rowOff>
                  </from>
                  <to>
                    <xdr:col>29</xdr:col>
                    <xdr:colOff>895350</xdr:colOff>
                    <xdr:row>244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" r:id="rId407" name="Spinner 1127">
              <controlPr defaultSize="0" autoPict="0">
                <anchor moveWithCells="1" sizeWithCells="1">
                  <from>
                    <xdr:col>29</xdr:col>
                    <xdr:colOff>66675</xdr:colOff>
                    <xdr:row>245</xdr:row>
                    <xdr:rowOff>104775</xdr:rowOff>
                  </from>
                  <to>
                    <xdr:col>29</xdr:col>
                    <xdr:colOff>885825</xdr:colOff>
                    <xdr:row>245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2" r:id="rId408" name="Spinner 1128">
              <controlPr defaultSize="0" autoPict="0">
                <anchor moveWithCells="1" sizeWithCells="1">
                  <from>
                    <xdr:col>29</xdr:col>
                    <xdr:colOff>57150</xdr:colOff>
                    <xdr:row>246</xdr:row>
                    <xdr:rowOff>66675</xdr:rowOff>
                  </from>
                  <to>
                    <xdr:col>29</xdr:col>
                    <xdr:colOff>876300</xdr:colOff>
                    <xdr:row>246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3" r:id="rId409" name="Spinner 1129">
              <controlPr defaultSize="0" autoPict="0">
                <anchor moveWithCells="1" sizeWithCells="1">
                  <from>
                    <xdr:col>29</xdr:col>
                    <xdr:colOff>57150</xdr:colOff>
                    <xdr:row>247</xdr:row>
                    <xdr:rowOff>66675</xdr:rowOff>
                  </from>
                  <to>
                    <xdr:col>29</xdr:col>
                    <xdr:colOff>876300</xdr:colOff>
                    <xdr:row>247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4" r:id="rId410" name="Spinner 1130">
              <controlPr defaultSize="0" autoPict="0">
                <anchor moveWithCells="1" sizeWithCells="1">
                  <from>
                    <xdr:col>29</xdr:col>
                    <xdr:colOff>66675</xdr:colOff>
                    <xdr:row>248</xdr:row>
                    <xdr:rowOff>47625</xdr:rowOff>
                  </from>
                  <to>
                    <xdr:col>29</xdr:col>
                    <xdr:colOff>885825</xdr:colOff>
                    <xdr:row>248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5" r:id="rId411" name="Spinner 1131">
              <controlPr defaultSize="0" autoPict="0">
                <anchor moveWithCells="1" sizeWithCells="1">
                  <from>
                    <xdr:col>33</xdr:col>
                    <xdr:colOff>76200</xdr:colOff>
                    <xdr:row>243</xdr:row>
                    <xdr:rowOff>104775</xdr:rowOff>
                  </from>
                  <to>
                    <xdr:col>33</xdr:col>
                    <xdr:colOff>895350</xdr:colOff>
                    <xdr:row>243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6" r:id="rId412" name="Spinner 1132">
              <controlPr defaultSize="0" autoPict="0">
                <anchor moveWithCells="1" sizeWithCells="1">
                  <from>
                    <xdr:col>33</xdr:col>
                    <xdr:colOff>66675</xdr:colOff>
                    <xdr:row>244</xdr:row>
                    <xdr:rowOff>57150</xdr:rowOff>
                  </from>
                  <to>
                    <xdr:col>33</xdr:col>
                    <xdr:colOff>885825</xdr:colOff>
                    <xdr:row>244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7" r:id="rId413" name="Spinner 1133">
              <controlPr defaultSize="0" autoPict="0">
                <anchor moveWithCells="1" sizeWithCells="1">
                  <from>
                    <xdr:col>33</xdr:col>
                    <xdr:colOff>57150</xdr:colOff>
                    <xdr:row>245</xdr:row>
                    <xdr:rowOff>66675</xdr:rowOff>
                  </from>
                  <to>
                    <xdr:col>33</xdr:col>
                    <xdr:colOff>876300</xdr:colOff>
                    <xdr:row>245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8" r:id="rId414" name="Spinner 1134">
              <controlPr defaultSize="0" autoPict="0">
                <anchor moveWithCells="1" sizeWithCells="1">
                  <from>
                    <xdr:col>33</xdr:col>
                    <xdr:colOff>76200</xdr:colOff>
                    <xdr:row>246</xdr:row>
                    <xdr:rowOff>85725</xdr:rowOff>
                  </from>
                  <to>
                    <xdr:col>33</xdr:col>
                    <xdr:colOff>895350</xdr:colOff>
                    <xdr:row>246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9" r:id="rId415" name="Spinner 1135">
              <controlPr defaultSize="0" autoPict="0">
                <anchor moveWithCells="1" sizeWithCells="1">
                  <from>
                    <xdr:col>33</xdr:col>
                    <xdr:colOff>85725</xdr:colOff>
                    <xdr:row>247</xdr:row>
                    <xdr:rowOff>38100</xdr:rowOff>
                  </from>
                  <to>
                    <xdr:col>33</xdr:col>
                    <xdr:colOff>904875</xdr:colOff>
                    <xdr:row>247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0" r:id="rId416" name="Spinner 1136">
              <controlPr defaultSize="0" autoPict="0">
                <anchor moveWithCells="1" sizeWithCells="1">
                  <from>
                    <xdr:col>33</xdr:col>
                    <xdr:colOff>66675</xdr:colOff>
                    <xdr:row>248</xdr:row>
                    <xdr:rowOff>38100</xdr:rowOff>
                  </from>
                  <to>
                    <xdr:col>33</xdr:col>
                    <xdr:colOff>885825</xdr:colOff>
                    <xdr:row>248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1" r:id="rId417" name="Spinner 1137">
              <controlPr defaultSize="0" autoPict="0">
                <anchor moveWithCells="1" sizeWithCells="1">
                  <from>
                    <xdr:col>38</xdr:col>
                    <xdr:colOff>38100</xdr:colOff>
                    <xdr:row>243</xdr:row>
                    <xdr:rowOff>28575</xdr:rowOff>
                  </from>
                  <to>
                    <xdr:col>38</xdr:col>
                    <xdr:colOff>809625</xdr:colOff>
                    <xdr:row>243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2" r:id="rId418" name="Spinner 1138">
              <controlPr defaultSize="0" autoPict="0">
                <anchor moveWithCells="1" sizeWithCells="1">
                  <from>
                    <xdr:col>38</xdr:col>
                    <xdr:colOff>28575</xdr:colOff>
                    <xdr:row>244</xdr:row>
                    <xdr:rowOff>28575</xdr:rowOff>
                  </from>
                  <to>
                    <xdr:col>38</xdr:col>
                    <xdr:colOff>800100</xdr:colOff>
                    <xdr:row>244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3" r:id="rId419" name="Spinner 1139">
              <controlPr defaultSize="0" autoPict="0">
                <anchor moveWithCells="1" sizeWithCells="1">
                  <from>
                    <xdr:col>38</xdr:col>
                    <xdr:colOff>19050</xdr:colOff>
                    <xdr:row>245</xdr:row>
                    <xdr:rowOff>19050</xdr:rowOff>
                  </from>
                  <to>
                    <xdr:col>38</xdr:col>
                    <xdr:colOff>819150</xdr:colOff>
                    <xdr:row>245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4" r:id="rId420" name="Spinner 1140">
              <controlPr defaultSize="0" autoPict="0">
                <anchor moveWithCells="1" sizeWithCells="1">
                  <from>
                    <xdr:col>13</xdr:col>
                    <xdr:colOff>47625</xdr:colOff>
                    <xdr:row>250</xdr:row>
                    <xdr:rowOff>19050</xdr:rowOff>
                  </from>
                  <to>
                    <xdr:col>13</xdr:col>
                    <xdr:colOff>428625</xdr:colOff>
                    <xdr:row>250</xdr:row>
                    <xdr:rowOff>752475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COA by Card</vt:lpstr>
      <vt:lpstr>TTV By Card</vt:lpstr>
      <vt:lpstr>MSF By Card</vt:lpstr>
      <vt:lpstr>GP Summary</vt:lpstr>
      <vt:lpstr>GP by Card Type</vt:lpstr>
      <vt:lpstr>Annualized</vt:lpstr>
      <vt:lpstr>Scenarios</vt:lpstr>
      <vt:lpstr>Pie Chart</vt:lpstr>
      <vt:lpstr>What If Options</vt:lpstr>
      <vt:lpstr>Working Paper 1</vt:lpstr>
      <vt:lpstr>Working Paper 2</vt:lpstr>
      <vt:lpstr>Working Paper 3</vt:lpstr>
      <vt:lpstr>What If Back 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Vernali</dc:creator>
  <cp:keywords/>
  <dc:description/>
  <cp:lastModifiedBy>Dia Sanjaasuren</cp:lastModifiedBy>
  <cp:revision/>
  <dcterms:created xsi:type="dcterms:W3CDTF">2025-03-12T03:53:28Z</dcterms:created>
  <dcterms:modified xsi:type="dcterms:W3CDTF">2025-06-23T02:21:14Z</dcterms:modified>
  <cp:category/>
  <cp:contentStatus/>
</cp:coreProperties>
</file>